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ivotTables/pivotTable1.xml" ContentType="application/vnd.openxmlformats-officedocument.spreadsheetml.pivotTable+xml"/>
  <Override PartName="/xl/comments4.xml" ContentType="application/vnd.openxmlformats-officedocument.spreadsheetml.comments+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15" yWindow="-15" windowWidth="10800" windowHeight="10140"/>
  </bookViews>
  <sheets>
    <sheet name="NEW...Tables 87-90" sheetId="5" r:id="rId1"/>
    <sheet name="OLD...Tables" sheetId="7" r:id="rId2"/>
    <sheet name="NEW...Tables 91-112" sheetId="6" r:id="rId3"/>
    <sheet name="OLD...Tabs" sheetId="8" r:id="rId4"/>
    <sheet name="Pivot Table for Data Exchange" sheetId="2" r:id="rId5"/>
    <sheet name="E-learning credit hours" sheetId="1" r:id="rId6"/>
    <sheet name="Format for DE pivot" sheetId="10" r:id="rId7"/>
    <sheet name="Summary Table for Fact Book" sheetId="9" r:id="rId8"/>
    <sheet name="Pivot Table for Fact Book" sheetId="3" r:id="rId9"/>
    <sheet name="Format for FB Pivot Tab" sheetId="11" r:id="rId10"/>
  </sheets>
  <definedNames>
    <definedName name="_xlnm.Print_Area" localSheetId="0">'NEW...Tables 87-90'!$A$1:$P$116</definedName>
    <definedName name="_xlnm.Print_Area" localSheetId="2">'NEW...Tables 91-112'!$A$1:$P$463</definedName>
    <definedName name="_xlnm.Print_Area" localSheetId="1">OLD...Tables!$A$1:$P$113</definedName>
    <definedName name="_xlnm.Print_Area" localSheetId="3">OLD...Tabs!$A$1:$P$463</definedName>
    <definedName name="Type10ug1" localSheetId="5">'E-learning credit hours'!#REF!</definedName>
    <definedName name="Type10ug2" localSheetId="5">'E-learning credit hours'!#REF!</definedName>
    <definedName name="Type10ug3" localSheetId="5">'E-learning credit hours'!#REF!</definedName>
    <definedName name="Type10ug4" localSheetId="5">'E-learning credit hours'!#REF!</definedName>
    <definedName name="Type10ug5" localSheetId="5">'E-learning credit hours'!#REF!</definedName>
    <definedName name="Type11gr1_1" localSheetId="5">'E-learning credit hours'!#REF!</definedName>
    <definedName name="Type11gr2" localSheetId="5">'E-learning credit hours'!#REF!</definedName>
    <definedName name="Type11gr3_1" localSheetId="5">'E-learning credit hours'!#REF!</definedName>
    <definedName name="Type11gr4_1" localSheetId="5">'E-learning credit hours'!#REF!</definedName>
    <definedName name="Type11gr5_1" localSheetId="5">'E-learning credit hours'!#REF!</definedName>
    <definedName name="Type11ug1_1" localSheetId="5">'E-learning credit hours'!#REF!</definedName>
    <definedName name="Type11ug2" localSheetId="5">'E-learning credit hours'!#REF!</definedName>
    <definedName name="Type11ug3" localSheetId="5">'E-learning credit hours'!#REF!</definedName>
    <definedName name="Type11ug4" localSheetId="5">'E-learning credit hours'!#REF!</definedName>
    <definedName name="Type11ug5_1" localSheetId="5">'E-learning credit hours'!#REF!</definedName>
  </definedNames>
  <calcPr calcId="145621"/>
  <pivotCaches>
    <pivotCache cacheId="0" r:id="rId11"/>
    <pivotCache cacheId="1" r:id="rId12"/>
  </pivotCaches>
</workbook>
</file>

<file path=xl/calcChain.xml><?xml version="1.0" encoding="utf-8"?>
<calcChain xmlns="http://schemas.openxmlformats.org/spreadsheetml/2006/main">
  <c r="Q31" i="6" l="1"/>
  <c r="P59" i="6"/>
  <c r="P58" i="6"/>
  <c r="P57" i="6"/>
  <c r="P56" i="6"/>
  <c r="P54" i="6"/>
  <c r="P53" i="6"/>
  <c r="P52" i="6"/>
  <c r="P51" i="6"/>
  <c r="P49" i="6"/>
  <c r="P48" i="6"/>
  <c r="P47" i="6"/>
  <c r="P46" i="6"/>
  <c r="P44" i="6"/>
  <c r="P43" i="6"/>
  <c r="P42" i="6"/>
  <c r="P41" i="6"/>
  <c r="O59" i="6"/>
  <c r="N59" i="6"/>
  <c r="M59" i="6"/>
  <c r="O58" i="6"/>
  <c r="N58" i="6"/>
  <c r="M58" i="6"/>
  <c r="O57" i="6"/>
  <c r="N57" i="6"/>
  <c r="M57" i="6"/>
  <c r="O56" i="6"/>
  <c r="N56" i="6"/>
  <c r="M56" i="6"/>
  <c r="O54" i="6"/>
  <c r="N54" i="6"/>
  <c r="M54" i="6"/>
  <c r="O53" i="6"/>
  <c r="N53" i="6"/>
  <c r="M53" i="6"/>
  <c r="O52" i="6"/>
  <c r="N52" i="6"/>
  <c r="M52" i="6"/>
  <c r="O51" i="6"/>
  <c r="N51" i="6"/>
  <c r="M51" i="6"/>
  <c r="O49" i="6"/>
  <c r="N49" i="6"/>
  <c r="M49" i="6"/>
  <c r="O48" i="6"/>
  <c r="N48" i="6"/>
  <c r="M48" i="6"/>
  <c r="O47" i="6"/>
  <c r="N47" i="6"/>
  <c r="M47" i="6"/>
  <c r="O46" i="6"/>
  <c r="N46" i="6"/>
  <c r="M46" i="6"/>
  <c r="O44" i="6"/>
  <c r="N44" i="6"/>
  <c r="M44" i="6"/>
  <c r="O43" i="6"/>
  <c r="N43" i="6"/>
  <c r="M43" i="6"/>
  <c r="O42" i="6"/>
  <c r="N42" i="6"/>
  <c r="M42" i="6"/>
  <c r="O41" i="6"/>
  <c r="N41" i="6"/>
  <c r="M41" i="6"/>
  <c r="K59" i="6"/>
  <c r="J59" i="6"/>
  <c r="K58" i="6"/>
  <c r="J58" i="6"/>
  <c r="K57" i="6"/>
  <c r="J57" i="6"/>
  <c r="K56" i="6"/>
  <c r="J56" i="6"/>
  <c r="K54" i="6"/>
  <c r="J54" i="6"/>
  <c r="K53" i="6"/>
  <c r="J53" i="6"/>
  <c r="K52" i="6"/>
  <c r="J52" i="6"/>
  <c r="K51" i="6"/>
  <c r="J51" i="6"/>
  <c r="K49" i="6"/>
  <c r="J49" i="6"/>
  <c r="K48" i="6"/>
  <c r="J48" i="6"/>
  <c r="K47" i="6"/>
  <c r="J47" i="6"/>
  <c r="K46" i="6"/>
  <c r="J46" i="6"/>
  <c r="K44" i="6"/>
  <c r="J44" i="6"/>
  <c r="K43" i="6"/>
  <c r="J43" i="6"/>
  <c r="K42" i="6"/>
  <c r="J42" i="6"/>
  <c r="K41" i="6"/>
  <c r="J41" i="6"/>
  <c r="H59" i="6"/>
  <c r="G59" i="6"/>
  <c r="F59" i="6"/>
  <c r="E59" i="6"/>
  <c r="H58" i="6"/>
  <c r="G58" i="6"/>
  <c r="F58" i="6"/>
  <c r="E58" i="6"/>
  <c r="H57" i="6"/>
  <c r="G57" i="6"/>
  <c r="F57" i="6"/>
  <c r="E57" i="6"/>
  <c r="H56" i="6"/>
  <c r="G56" i="6"/>
  <c r="F56" i="6"/>
  <c r="E56" i="6"/>
  <c r="H54" i="6"/>
  <c r="G54" i="6"/>
  <c r="F54" i="6"/>
  <c r="E54" i="6"/>
  <c r="H53" i="6"/>
  <c r="G53" i="6"/>
  <c r="F53" i="6"/>
  <c r="E53" i="6"/>
  <c r="H52" i="6"/>
  <c r="G52" i="6"/>
  <c r="F52" i="6"/>
  <c r="E52" i="6"/>
  <c r="H51" i="6"/>
  <c r="G51" i="6"/>
  <c r="F51" i="6"/>
  <c r="E51" i="6"/>
  <c r="H49" i="6"/>
  <c r="G49" i="6"/>
  <c r="F49" i="6"/>
  <c r="E49" i="6"/>
  <c r="H48" i="6"/>
  <c r="G48" i="6"/>
  <c r="F48" i="6"/>
  <c r="E48" i="6"/>
  <c r="H47" i="6"/>
  <c r="G47" i="6"/>
  <c r="F47" i="6"/>
  <c r="E47" i="6"/>
  <c r="H46" i="6"/>
  <c r="G46" i="6"/>
  <c r="F46" i="6"/>
  <c r="E46" i="6"/>
  <c r="H44" i="6"/>
  <c r="G44" i="6"/>
  <c r="F44" i="6"/>
  <c r="E44" i="6"/>
  <c r="H43" i="6"/>
  <c r="G43" i="6"/>
  <c r="F43" i="6"/>
  <c r="E43" i="6"/>
  <c r="H42" i="6"/>
  <c r="G42" i="6"/>
  <c r="F42" i="6"/>
  <c r="E42" i="6"/>
  <c r="H41" i="6"/>
  <c r="G41" i="6"/>
  <c r="F41" i="6"/>
  <c r="E41" i="6"/>
  <c r="C59" i="6"/>
  <c r="C58" i="6"/>
  <c r="C57" i="6"/>
  <c r="C56" i="6"/>
  <c r="C54" i="6"/>
  <c r="C53" i="6"/>
  <c r="C52" i="6"/>
  <c r="C51" i="6"/>
  <c r="C49" i="6"/>
  <c r="C48" i="6"/>
  <c r="C47" i="6"/>
  <c r="C46" i="6"/>
  <c r="C44" i="6"/>
  <c r="C43" i="6"/>
  <c r="C42" i="6"/>
  <c r="C41" i="6"/>
  <c r="B59" i="6"/>
  <c r="B58" i="6"/>
  <c r="B57" i="6"/>
  <c r="B56" i="6"/>
  <c r="B54" i="6"/>
  <c r="B53" i="6"/>
  <c r="B52" i="6"/>
  <c r="B51" i="6"/>
  <c r="B49" i="6"/>
  <c r="B48" i="6"/>
  <c r="B47" i="6"/>
  <c r="B46" i="6"/>
  <c r="B44" i="6"/>
  <c r="B43" i="6"/>
  <c r="B42" i="6"/>
  <c r="B41" i="6"/>
  <c r="O16" i="6" l="1"/>
  <c r="T237" i="1" l="1"/>
  <c r="U237" i="1"/>
  <c r="T238" i="1"/>
  <c r="U238" i="1"/>
  <c r="T239" i="1"/>
  <c r="U239" i="1"/>
  <c r="T240" i="1"/>
  <c r="U240" i="1"/>
  <c r="T241" i="1"/>
  <c r="U241" i="1"/>
  <c r="F237" i="1"/>
  <c r="G237" i="1"/>
  <c r="F238" i="1"/>
  <c r="G238" i="1"/>
  <c r="F239" i="1"/>
  <c r="G239" i="1"/>
  <c r="T8" i="1" l="1"/>
  <c r="U8" i="1"/>
  <c r="T9" i="1"/>
  <c r="U9" i="1"/>
  <c r="T10" i="1"/>
  <c r="U10" i="1"/>
  <c r="T11" i="1"/>
  <c r="U11" i="1"/>
  <c r="T12" i="1"/>
  <c r="U12" i="1"/>
  <c r="T13" i="1"/>
  <c r="U13" i="1"/>
  <c r="T14" i="1"/>
  <c r="U14" i="1"/>
  <c r="T15" i="1"/>
  <c r="U15" i="1"/>
  <c r="T16" i="1"/>
  <c r="U16" i="1"/>
  <c r="T17" i="1"/>
  <c r="U17" i="1"/>
  <c r="T18" i="1"/>
  <c r="U18" i="1"/>
  <c r="T19" i="1"/>
  <c r="U19" i="1"/>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T93" i="1"/>
  <c r="U93" i="1"/>
  <c r="T94" i="1"/>
  <c r="U94" i="1"/>
  <c r="T95" i="1"/>
  <c r="U95" i="1"/>
  <c r="T96" i="1"/>
  <c r="U96" i="1"/>
  <c r="T97" i="1"/>
  <c r="U97" i="1"/>
  <c r="T98" i="1"/>
  <c r="U98" i="1"/>
  <c r="T99" i="1"/>
  <c r="U99" i="1"/>
  <c r="T100" i="1"/>
  <c r="U100" i="1"/>
  <c r="T101" i="1"/>
  <c r="U101" i="1"/>
  <c r="T102" i="1"/>
  <c r="U102" i="1"/>
  <c r="T103" i="1"/>
  <c r="U103" i="1"/>
  <c r="T104" i="1"/>
  <c r="U104" i="1"/>
  <c r="T105" i="1"/>
  <c r="U105" i="1"/>
  <c r="T106" i="1"/>
  <c r="U106" i="1"/>
  <c r="T107" i="1"/>
  <c r="U107" i="1"/>
  <c r="T108" i="1"/>
  <c r="U108" i="1"/>
  <c r="T109" i="1"/>
  <c r="U109" i="1"/>
  <c r="T110" i="1"/>
  <c r="U110" i="1"/>
  <c r="T111" i="1"/>
  <c r="U111" i="1"/>
  <c r="T112" i="1"/>
  <c r="U112" i="1"/>
  <c r="T113" i="1"/>
  <c r="U113" i="1"/>
  <c r="T114" i="1"/>
  <c r="U114" i="1"/>
  <c r="T115" i="1"/>
  <c r="U115" i="1"/>
  <c r="T116" i="1"/>
  <c r="U116" i="1"/>
  <c r="T117" i="1"/>
  <c r="U117" i="1"/>
  <c r="T118" i="1"/>
  <c r="U118" i="1"/>
  <c r="T119" i="1"/>
  <c r="U119" i="1"/>
  <c r="T120" i="1"/>
  <c r="U120" i="1"/>
  <c r="T121" i="1"/>
  <c r="U121" i="1"/>
  <c r="T122" i="1"/>
  <c r="U122" i="1"/>
  <c r="T123" i="1"/>
  <c r="U123" i="1"/>
  <c r="F8" i="1"/>
  <c r="G8" i="1"/>
  <c r="F9" i="1"/>
  <c r="G9" i="1"/>
  <c r="F10" i="1"/>
  <c r="G10" i="1"/>
  <c r="F11" i="1"/>
  <c r="G11" i="1"/>
  <c r="F12" i="1"/>
  <c r="G12" i="1"/>
  <c r="F13" i="1"/>
  <c r="G13" i="1"/>
  <c r="F14" i="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30" i="1"/>
  <c r="G30" i="1"/>
  <c r="F31" i="1"/>
  <c r="G31" i="1"/>
  <c r="F32" i="1"/>
  <c r="G32" i="1"/>
  <c r="F33" i="1"/>
  <c r="G33" i="1"/>
  <c r="F34" i="1"/>
  <c r="G34" i="1"/>
  <c r="F35" i="1"/>
  <c r="G35" i="1"/>
  <c r="F36" i="1"/>
  <c r="G36" i="1"/>
  <c r="F37" i="1"/>
  <c r="G37" i="1"/>
  <c r="F38" i="1"/>
  <c r="G38" i="1"/>
  <c r="F39" i="1"/>
  <c r="G39" i="1"/>
  <c r="F40" i="1"/>
  <c r="G40" i="1"/>
  <c r="F41" i="1"/>
  <c r="G41" i="1"/>
  <c r="F42" i="1"/>
  <c r="G42" i="1"/>
  <c r="F43" i="1"/>
  <c r="G43" i="1"/>
  <c r="F44" i="1"/>
  <c r="G44" i="1"/>
  <c r="F45" i="1"/>
  <c r="G45" i="1"/>
  <c r="F46" i="1"/>
  <c r="G46" i="1"/>
  <c r="F47" i="1"/>
  <c r="G47" i="1"/>
  <c r="F48" i="1"/>
  <c r="G48" i="1"/>
  <c r="F49" i="1"/>
  <c r="G49" i="1"/>
  <c r="F50" i="1"/>
  <c r="G50" i="1"/>
  <c r="F51" i="1"/>
  <c r="G51" i="1"/>
  <c r="F52" i="1"/>
  <c r="G52" i="1"/>
  <c r="F53" i="1"/>
  <c r="G53" i="1"/>
  <c r="F54" i="1"/>
  <c r="G54" i="1"/>
  <c r="F55" i="1"/>
  <c r="G55" i="1"/>
  <c r="F56" i="1"/>
  <c r="G56" i="1"/>
  <c r="F57" i="1"/>
  <c r="G57" i="1"/>
  <c r="F58" i="1"/>
  <c r="G58" i="1"/>
  <c r="F59" i="1"/>
  <c r="G59" i="1"/>
  <c r="F60" i="1"/>
  <c r="G60" i="1"/>
  <c r="F61" i="1"/>
  <c r="G61" i="1"/>
  <c r="F62" i="1"/>
  <c r="G62" i="1"/>
  <c r="F63" i="1"/>
  <c r="G63" i="1"/>
  <c r="F64" i="1"/>
  <c r="G64" i="1"/>
  <c r="F65" i="1"/>
  <c r="G65" i="1"/>
  <c r="F66" i="1"/>
  <c r="G66" i="1"/>
  <c r="F67" i="1"/>
  <c r="G67" i="1"/>
  <c r="F68" i="1"/>
  <c r="G68" i="1"/>
  <c r="F69" i="1"/>
  <c r="G69" i="1"/>
  <c r="F70" i="1"/>
  <c r="G70" i="1"/>
  <c r="F71" i="1"/>
  <c r="G71" i="1"/>
  <c r="F72" i="1"/>
  <c r="G72" i="1"/>
  <c r="F73" i="1"/>
  <c r="G73" i="1"/>
  <c r="F74" i="1"/>
  <c r="G74" i="1"/>
  <c r="F75" i="1"/>
  <c r="G75" i="1"/>
  <c r="F76" i="1"/>
  <c r="G76" i="1"/>
  <c r="F77" i="1"/>
  <c r="G77" i="1"/>
  <c r="F78" i="1"/>
  <c r="G78" i="1"/>
  <c r="F79" i="1"/>
  <c r="G79" i="1"/>
  <c r="F80" i="1"/>
  <c r="G80" i="1"/>
  <c r="F81" i="1"/>
  <c r="G81" i="1"/>
  <c r="F82" i="1"/>
  <c r="G82" i="1"/>
  <c r="F83" i="1"/>
  <c r="G83" i="1"/>
  <c r="F84" i="1"/>
  <c r="G84" i="1"/>
  <c r="F85" i="1"/>
  <c r="G85" i="1"/>
  <c r="F86" i="1"/>
  <c r="G86" i="1"/>
  <c r="F87" i="1"/>
  <c r="G87" i="1"/>
  <c r="F88" i="1"/>
  <c r="G88" i="1"/>
  <c r="F89" i="1"/>
  <c r="G89" i="1"/>
  <c r="F90" i="1"/>
  <c r="G90" i="1"/>
  <c r="F91" i="1"/>
  <c r="G91" i="1"/>
  <c r="F92" i="1"/>
  <c r="G92" i="1"/>
  <c r="F93" i="1"/>
  <c r="G93" i="1"/>
  <c r="F94" i="1"/>
  <c r="G94" i="1"/>
  <c r="F95" i="1"/>
  <c r="G95" i="1"/>
  <c r="F96" i="1"/>
  <c r="G96" i="1"/>
  <c r="F97" i="1"/>
  <c r="G97" i="1"/>
  <c r="F98" i="1"/>
  <c r="G98" i="1"/>
  <c r="F99" i="1"/>
  <c r="G99" i="1"/>
  <c r="F100" i="1"/>
  <c r="G100" i="1"/>
  <c r="F101" i="1"/>
  <c r="G101" i="1"/>
  <c r="F102" i="1"/>
  <c r="G102" i="1"/>
  <c r="F103" i="1"/>
  <c r="G103" i="1"/>
  <c r="F104" i="1"/>
  <c r="G104" i="1"/>
  <c r="F105" i="1"/>
  <c r="G105" i="1"/>
  <c r="F106" i="1"/>
  <c r="G106" i="1"/>
  <c r="F107" i="1"/>
  <c r="G107" i="1"/>
  <c r="F108" i="1"/>
  <c r="G108" i="1"/>
  <c r="F109" i="1"/>
  <c r="G109" i="1"/>
  <c r="F110" i="1"/>
  <c r="G110" i="1"/>
  <c r="F111" i="1"/>
  <c r="G111" i="1"/>
  <c r="F112" i="1"/>
  <c r="G112" i="1"/>
  <c r="F113" i="1"/>
  <c r="G113" i="1"/>
  <c r="F114" i="1"/>
  <c r="G114" i="1"/>
  <c r="F115" i="1"/>
  <c r="G115" i="1"/>
  <c r="F116" i="1"/>
  <c r="G116" i="1"/>
  <c r="F117" i="1"/>
  <c r="G117" i="1"/>
  <c r="F118" i="1"/>
  <c r="G118" i="1"/>
  <c r="F119" i="1"/>
  <c r="G119" i="1"/>
  <c r="F120" i="1"/>
  <c r="G120" i="1"/>
  <c r="F121" i="1"/>
  <c r="G121" i="1"/>
  <c r="F122" i="1"/>
  <c r="G122" i="1"/>
  <c r="F123" i="1"/>
  <c r="G123" i="1"/>
  <c r="F124" i="1"/>
  <c r="G124" i="1"/>
  <c r="T124" i="1" l="1"/>
  <c r="U124" i="1"/>
  <c r="T125" i="1"/>
  <c r="U125" i="1"/>
  <c r="T126" i="1"/>
  <c r="U126" i="1"/>
  <c r="T127" i="1"/>
  <c r="U127" i="1"/>
  <c r="T128" i="1"/>
  <c r="U128" i="1"/>
  <c r="T129" i="1"/>
  <c r="U129" i="1"/>
  <c r="T130" i="1"/>
  <c r="U130" i="1"/>
  <c r="T131" i="1"/>
  <c r="U131" i="1"/>
  <c r="T132" i="1"/>
  <c r="U132" i="1"/>
  <c r="T133" i="1"/>
  <c r="U133" i="1"/>
  <c r="T134" i="1"/>
  <c r="U134" i="1"/>
  <c r="T135" i="1"/>
  <c r="U135" i="1"/>
  <c r="T136" i="1"/>
  <c r="U136" i="1"/>
  <c r="T137" i="1"/>
  <c r="U137" i="1"/>
  <c r="T138" i="1"/>
  <c r="U138" i="1"/>
  <c r="T139" i="1"/>
  <c r="U139" i="1"/>
  <c r="T140" i="1"/>
  <c r="U140" i="1"/>
  <c r="T141" i="1"/>
  <c r="U141" i="1"/>
  <c r="T142" i="1"/>
  <c r="U142" i="1"/>
  <c r="T143" i="1"/>
  <c r="U143" i="1"/>
  <c r="T144" i="1"/>
  <c r="U144" i="1"/>
  <c r="T145" i="1"/>
  <c r="U145" i="1"/>
  <c r="T146" i="1"/>
  <c r="U146" i="1"/>
  <c r="T147" i="1"/>
  <c r="U147" i="1"/>
  <c r="T148" i="1"/>
  <c r="U148" i="1"/>
  <c r="T149" i="1"/>
  <c r="U149" i="1"/>
  <c r="T150" i="1"/>
  <c r="U150" i="1"/>
  <c r="T151" i="1"/>
  <c r="U151" i="1"/>
  <c r="T152" i="1"/>
  <c r="U152" i="1"/>
  <c r="T153" i="1"/>
  <c r="U153" i="1"/>
  <c r="T154" i="1"/>
  <c r="U154" i="1"/>
  <c r="T155" i="1"/>
  <c r="U155" i="1"/>
  <c r="T156" i="1"/>
  <c r="U156" i="1"/>
  <c r="T157" i="1"/>
  <c r="U157" i="1"/>
  <c r="T158" i="1"/>
  <c r="U158" i="1"/>
  <c r="T159" i="1"/>
  <c r="U159" i="1"/>
  <c r="T160" i="1"/>
  <c r="U160" i="1"/>
  <c r="T161" i="1"/>
  <c r="U161" i="1"/>
  <c r="T162" i="1"/>
  <c r="U162" i="1"/>
  <c r="T163" i="1"/>
  <c r="U163" i="1"/>
  <c r="T164" i="1"/>
  <c r="U164" i="1"/>
  <c r="T165" i="1"/>
  <c r="U165" i="1"/>
  <c r="T166" i="1"/>
  <c r="U166" i="1"/>
  <c r="T167" i="1"/>
  <c r="U167" i="1"/>
  <c r="T168" i="1"/>
  <c r="U168" i="1"/>
  <c r="T169" i="1"/>
  <c r="U169" i="1"/>
  <c r="T170" i="1"/>
  <c r="U170" i="1"/>
  <c r="T171" i="1"/>
  <c r="U171" i="1"/>
  <c r="T172" i="1"/>
  <c r="U172" i="1"/>
  <c r="T173" i="1"/>
  <c r="U173" i="1"/>
  <c r="T174" i="1"/>
  <c r="U174" i="1"/>
  <c r="T175" i="1"/>
  <c r="U175" i="1"/>
  <c r="T176" i="1"/>
  <c r="U176" i="1"/>
  <c r="T177" i="1"/>
  <c r="U177" i="1"/>
  <c r="T178" i="1"/>
  <c r="U178" i="1"/>
  <c r="T179" i="1"/>
  <c r="U179" i="1"/>
  <c r="T180" i="1"/>
  <c r="U180" i="1"/>
  <c r="T181" i="1"/>
  <c r="U181" i="1"/>
  <c r="T182" i="1"/>
  <c r="U182" i="1"/>
  <c r="T183" i="1"/>
  <c r="U183" i="1"/>
  <c r="T184" i="1"/>
  <c r="U184" i="1"/>
  <c r="T185" i="1"/>
  <c r="U185" i="1"/>
  <c r="T186" i="1"/>
  <c r="U186" i="1"/>
  <c r="T187" i="1"/>
  <c r="U187" i="1"/>
  <c r="T188" i="1"/>
  <c r="U188" i="1"/>
  <c r="T189" i="1"/>
  <c r="U189" i="1"/>
  <c r="T190" i="1"/>
  <c r="U190" i="1"/>
  <c r="T191" i="1"/>
  <c r="U191" i="1"/>
  <c r="T192" i="1"/>
  <c r="U192" i="1"/>
  <c r="T193" i="1"/>
  <c r="U193" i="1"/>
  <c r="T194" i="1"/>
  <c r="U194" i="1"/>
  <c r="T195" i="1"/>
  <c r="U195" i="1"/>
  <c r="T196" i="1"/>
  <c r="U196" i="1"/>
  <c r="T197" i="1"/>
  <c r="U197" i="1"/>
  <c r="T198" i="1"/>
  <c r="U198" i="1"/>
  <c r="T199" i="1"/>
  <c r="U199" i="1"/>
  <c r="T200" i="1"/>
  <c r="U200" i="1"/>
  <c r="T201" i="1"/>
  <c r="U201" i="1"/>
  <c r="T202" i="1"/>
  <c r="U202" i="1"/>
  <c r="T203" i="1"/>
  <c r="U203" i="1"/>
  <c r="T204" i="1"/>
  <c r="U204" i="1"/>
  <c r="T205" i="1"/>
  <c r="U205" i="1"/>
  <c r="T206" i="1"/>
  <c r="U206" i="1"/>
  <c r="T207" i="1"/>
  <c r="U207" i="1"/>
  <c r="T209" i="1"/>
  <c r="U209" i="1"/>
  <c r="T210" i="1"/>
  <c r="U210" i="1"/>
  <c r="T211" i="1"/>
  <c r="U211" i="1"/>
  <c r="T212" i="1"/>
  <c r="U212" i="1"/>
  <c r="T213" i="1"/>
  <c r="U213" i="1"/>
  <c r="T214" i="1"/>
  <c r="U214" i="1"/>
  <c r="T215" i="1"/>
  <c r="U215" i="1"/>
  <c r="T216" i="1"/>
  <c r="U216" i="1"/>
  <c r="T217" i="1"/>
  <c r="U217" i="1"/>
  <c r="T218" i="1"/>
  <c r="U218" i="1"/>
  <c r="T219" i="1"/>
  <c r="U219" i="1"/>
  <c r="T220" i="1"/>
  <c r="U220" i="1"/>
  <c r="T221" i="1"/>
  <c r="U221" i="1"/>
  <c r="T222" i="1"/>
  <c r="U222" i="1"/>
  <c r="T223" i="1"/>
  <c r="U223" i="1"/>
  <c r="T224" i="1"/>
  <c r="U224" i="1"/>
  <c r="T225" i="1"/>
  <c r="U225" i="1"/>
  <c r="T226" i="1"/>
  <c r="U226" i="1"/>
  <c r="T227" i="1"/>
  <c r="U227" i="1"/>
  <c r="T228" i="1"/>
  <c r="U228" i="1"/>
  <c r="T229" i="1"/>
  <c r="U229" i="1"/>
  <c r="T230" i="1"/>
  <c r="U230" i="1"/>
  <c r="T231" i="1"/>
  <c r="U231" i="1"/>
  <c r="T232" i="1"/>
  <c r="U232" i="1"/>
  <c r="T233" i="1"/>
  <c r="U233" i="1"/>
  <c r="T234" i="1"/>
  <c r="U234" i="1"/>
  <c r="T235" i="1"/>
  <c r="U235" i="1"/>
  <c r="T236" i="1"/>
  <c r="U236" i="1"/>
  <c r="T242" i="1"/>
  <c r="U242" i="1"/>
  <c r="T243" i="1"/>
  <c r="U243" i="1"/>
  <c r="T244" i="1"/>
  <c r="U244" i="1"/>
  <c r="T245" i="1"/>
  <c r="U245" i="1"/>
  <c r="T246" i="1"/>
  <c r="U246" i="1"/>
  <c r="T247" i="1"/>
  <c r="U247" i="1"/>
  <c r="T248" i="1"/>
  <c r="U248" i="1"/>
  <c r="T249" i="1"/>
  <c r="U249" i="1"/>
  <c r="T250" i="1"/>
  <c r="U250" i="1"/>
  <c r="T251" i="1"/>
  <c r="U251" i="1"/>
  <c r="T252" i="1"/>
  <c r="U252" i="1"/>
  <c r="T253" i="1"/>
  <c r="U253" i="1"/>
  <c r="T254" i="1"/>
  <c r="U254" i="1"/>
  <c r="T255" i="1"/>
  <c r="U255" i="1"/>
  <c r="T256" i="1"/>
  <c r="U256" i="1"/>
  <c r="T257" i="1"/>
  <c r="U257" i="1"/>
  <c r="T258" i="1"/>
  <c r="U258" i="1"/>
  <c r="T259" i="1"/>
  <c r="U259" i="1"/>
  <c r="T260" i="1"/>
  <c r="U260" i="1"/>
  <c r="T261" i="1"/>
  <c r="U261" i="1"/>
  <c r="T262" i="1"/>
  <c r="U262" i="1"/>
  <c r="T263" i="1"/>
  <c r="U263" i="1"/>
  <c r="T264" i="1"/>
  <c r="U264" i="1"/>
  <c r="T265" i="1"/>
  <c r="U265" i="1"/>
  <c r="F125" i="1"/>
  <c r="G125" i="1"/>
  <c r="F126" i="1"/>
  <c r="G126" i="1"/>
  <c r="F127" i="1"/>
  <c r="G127" i="1"/>
  <c r="F128" i="1"/>
  <c r="G128" i="1"/>
  <c r="F129" i="1"/>
  <c r="G129" i="1"/>
  <c r="F130" i="1"/>
  <c r="G130" i="1"/>
  <c r="F131" i="1"/>
  <c r="G131" i="1"/>
  <c r="F132" i="1"/>
  <c r="G132" i="1"/>
  <c r="F133" i="1"/>
  <c r="G133" i="1"/>
  <c r="F134" i="1"/>
  <c r="G134" i="1"/>
  <c r="F135" i="1"/>
  <c r="G135" i="1"/>
  <c r="F136" i="1"/>
  <c r="G136" i="1"/>
  <c r="F137" i="1"/>
  <c r="G137" i="1"/>
  <c r="F138" i="1"/>
  <c r="G138" i="1"/>
  <c r="F139" i="1"/>
  <c r="G139" i="1"/>
  <c r="F140" i="1"/>
  <c r="G140" i="1"/>
  <c r="F141" i="1"/>
  <c r="G141" i="1"/>
  <c r="F142" i="1"/>
  <c r="G142" i="1"/>
  <c r="F143" i="1"/>
  <c r="G143" i="1"/>
  <c r="F144" i="1"/>
  <c r="G144" i="1"/>
  <c r="F145" i="1"/>
  <c r="G145" i="1"/>
  <c r="F146" i="1"/>
  <c r="G146" i="1"/>
  <c r="F147" i="1"/>
  <c r="G147" i="1"/>
  <c r="F148" i="1"/>
  <c r="G148" i="1"/>
  <c r="F149" i="1"/>
  <c r="G149" i="1"/>
  <c r="F150" i="1"/>
  <c r="G150" i="1"/>
  <c r="F151" i="1"/>
  <c r="G151" i="1"/>
  <c r="F152" i="1"/>
  <c r="G152" i="1"/>
  <c r="F153" i="1"/>
  <c r="G153" i="1"/>
  <c r="F154" i="1"/>
  <c r="G154" i="1"/>
  <c r="F155" i="1"/>
  <c r="G155" i="1"/>
  <c r="F156" i="1"/>
  <c r="G156" i="1"/>
  <c r="F157" i="1"/>
  <c r="G157" i="1"/>
  <c r="F158" i="1"/>
  <c r="G158" i="1"/>
  <c r="F159" i="1"/>
  <c r="G159" i="1"/>
  <c r="F160" i="1"/>
  <c r="G160" i="1"/>
  <c r="F161" i="1"/>
  <c r="G161" i="1"/>
  <c r="F162" i="1"/>
  <c r="G162" i="1"/>
  <c r="F163" i="1"/>
  <c r="G163" i="1"/>
  <c r="F164" i="1"/>
  <c r="G164" i="1"/>
  <c r="F165" i="1"/>
  <c r="G165" i="1"/>
  <c r="F166" i="1"/>
  <c r="G166" i="1"/>
  <c r="F167" i="1"/>
  <c r="G167" i="1"/>
  <c r="F168" i="1"/>
  <c r="G168" i="1"/>
  <c r="F169" i="1"/>
  <c r="G169" i="1"/>
  <c r="F170" i="1"/>
  <c r="G170" i="1"/>
  <c r="F171" i="1"/>
  <c r="G171" i="1"/>
  <c r="F172" i="1"/>
  <c r="G172" i="1"/>
  <c r="F173" i="1"/>
  <c r="G173" i="1"/>
  <c r="F174" i="1"/>
  <c r="G174" i="1"/>
  <c r="F175" i="1"/>
  <c r="G175" i="1"/>
  <c r="F176" i="1"/>
  <c r="G176" i="1"/>
  <c r="F177" i="1"/>
  <c r="G177" i="1"/>
  <c r="F178" i="1"/>
  <c r="G178" i="1"/>
  <c r="F179" i="1"/>
  <c r="G179" i="1"/>
  <c r="F180" i="1"/>
  <c r="G180" i="1"/>
  <c r="F181" i="1"/>
  <c r="G181" i="1"/>
  <c r="F182" i="1"/>
  <c r="G182" i="1"/>
  <c r="F183" i="1"/>
  <c r="G183" i="1"/>
  <c r="F184" i="1"/>
  <c r="G184" i="1"/>
  <c r="F185" i="1"/>
  <c r="G185" i="1"/>
  <c r="F186" i="1"/>
  <c r="G186" i="1"/>
  <c r="F187" i="1"/>
  <c r="G187" i="1"/>
  <c r="F188" i="1"/>
  <c r="G188" i="1"/>
  <c r="F189" i="1"/>
  <c r="G189" i="1"/>
  <c r="F190" i="1"/>
  <c r="G190" i="1"/>
  <c r="F191" i="1"/>
  <c r="G191" i="1"/>
  <c r="F192" i="1"/>
  <c r="G192" i="1"/>
  <c r="F193" i="1"/>
  <c r="G193" i="1"/>
  <c r="F194" i="1"/>
  <c r="G194" i="1"/>
  <c r="F195" i="1"/>
  <c r="G195" i="1"/>
  <c r="F196" i="1"/>
  <c r="G196" i="1"/>
  <c r="F197" i="1"/>
  <c r="G197" i="1"/>
  <c r="F198" i="1"/>
  <c r="G198" i="1"/>
  <c r="F199" i="1"/>
  <c r="G199" i="1"/>
  <c r="F200" i="1"/>
  <c r="G200" i="1"/>
  <c r="F201" i="1"/>
  <c r="G201" i="1"/>
  <c r="F202" i="1"/>
  <c r="G202" i="1"/>
  <c r="F203" i="1"/>
  <c r="G203" i="1"/>
  <c r="F204" i="1"/>
  <c r="G204" i="1"/>
  <c r="F205" i="1"/>
  <c r="G205" i="1"/>
  <c r="F206" i="1"/>
  <c r="G206" i="1"/>
  <c r="F207" i="1"/>
  <c r="G207" i="1"/>
  <c r="F209" i="1"/>
  <c r="G209" i="1"/>
  <c r="F210" i="1"/>
  <c r="G210" i="1"/>
  <c r="F211" i="1"/>
  <c r="G211" i="1"/>
  <c r="F212" i="1"/>
  <c r="G212" i="1"/>
  <c r="F213" i="1"/>
  <c r="G213" i="1"/>
  <c r="F214" i="1"/>
  <c r="G214" i="1"/>
  <c r="F215" i="1"/>
  <c r="G215" i="1"/>
  <c r="F216" i="1"/>
  <c r="G216" i="1"/>
  <c r="F217" i="1"/>
  <c r="G217" i="1"/>
  <c r="F218" i="1"/>
  <c r="G218" i="1"/>
  <c r="F219" i="1"/>
  <c r="G219" i="1"/>
  <c r="F220" i="1"/>
  <c r="G220" i="1"/>
  <c r="F221" i="1"/>
  <c r="G221" i="1"/>
  <c r="F222" i="1"/>
  <c r="G222" i="1"/>
  <c r="F223" i="1"/>
  <c r="G223" i="1"/>
  <c r="F224" i="1"/>
  <c r="G224" i="1"/>
  <c r="F225" i="1"/>
  <c r="G225" i="1"/>
  <c r="F226" i="1"/>
  <c r="G226" i="1"/>
  <c r="F227" i="1"/>
  <c r="G227" i="1"/>
  <c r="F228" i="1"/>
  <c r="G228" i="1"/>
  <c r="F229" i="1"/>
  <c r="G229" i="1"/>
  <c r="F230" i="1"/>
  <c r="G230" i="1"/>
  <c r="F231" i="1"/>
  <c r="G231" i="1"/>
  <c r="F232" i="1"/>
  <c r="G232" i="1"/>
  <c r="F233" i="1"/>
  <c r="G233" i="1"/>
  <c r="F234" i="1"/>
  <c r="G234" i="1"/>
  <c r="F235" i="1"/>
  <c r="G235" i="1"/>
  <c r="F236" i="1"/>
  <c r="G236" i="1"/>
  <c r="F240" i="1"/>
  <c r="G240" i="1"/>
  <c r="F241" i="1"/>
  <c r="G241" i="1"/>
  <c r="F242" i="1"/>
  <c r="G242" i="1"/>
  <c r="F243" i="1"/>
  <c r="G243" i="1"/>
  <c r="F244" i="1"/>
  <c r="G244" i="1"/>
  <c r="F245" i="1"/>
  <c r="G245" i="1"/>
  <c r="F246" i="1"/>
  <c r="G246" i="1"/>
  <c r="F247" i="1"/>
  <c r="G247" i="1"/>
  <c r="F248" i="1"/>
  <c r="G248" i="1"/>
  <c r="F249" i="1"/>
  <c r="G249" i="1"/>
  <c r="F250" i="1"/>
  <c r="G250" i="1"/>
  <c r="F251" i="1"/>
  <c r="G251" i="1"/>
  <c r="F252" i="1"/>
  <c r="G252" i="1"/>
  <c r="F253" i="1"/>
  <c r="G253" i="1"/>
  <c r="F254" i="1"/>
  <c r="G254" i="1"/>
  <c r="F255" i="1"/>
  <c r="G255" i="1"/>
  <c r="F256" i="1"/>
  <c r="G256" i="1"/>
  <c r="F257" i="1"/>
  <c r="G257" i="1"/>
  <c r="F258" i="1"/>
  <c r="G258" i="1"/>
  <c r="F259" i="1"/>
  <c r="G259" i="1"/>
  <c r="F260" i="1"/>
  <c r="G260" i="1"/>
  <c r="F261" i="1"/>
  <c r="G261" i="1"/>
  <c r="F262" i="1"/>
  <c r="G262" i="1"/>
  <c r="G397" i="1" l="1"/>
  <c r="F397" i="1"/>
  <c r="G396" i="1"/>
  <c r="F396" i="1"/>
  <c r="G395" i="1"/>
  <c r="F395" i="1"/>
  <c r="G394" i="1"/>
  <c r="F394" i="1"/>
  <c r="G393" i="1"/>
  <c r="F393" i="1"/>
  <c r="G392" i="1"/>
  <c r="F392" i="1"/>
  <c r="G391" i="1"/>
  <c r="F391" i="1"/>
  <c r="G390" i="1"/>
  <c r="F390" i="1"/>
  <c r="G389" i="1"/>
  <c r="F389" i="1"/>
  <c r="G388" i="1"/>
  <c r="F388" i="1"/>
  <c r="G387" i="1"/>
  <c r="F387" i="1"/>
  <c r="G386" i="1"/>
  <c r="F386" i="1"/>
  <c r="G385" i="1"/>
  <c r="F385" i="1"/>
  <c r="G384" i="1"/>
  <c r="F384" i="1"/>
  <c r="G383" i="1"/>
  <c r="F383" i="1"/>
  <c r="G382" i="1"/>
  <c r="F382" i="1"/>
  <c r="G381" i="1"/>
  <c r="F381" i="1"/>
  <c r="G380" i="1"/>
  <c r="F380" i="1"/>
  <c r="G379" i="1"/>
  <c r="F379" i="1"/>
  <c r="G378" i="1"/>
  <c r="F378" i="1"/>
  <c r="G377" i="1"/>
  <c r="F377" i="1"/>
  <c r="G376" i="1"/>
  <c r="F376" i="1"/>
  <c r="G375" i="1"/>
  <c r="F375" i="1"/>
  <c r="G374" i="1"/>
  <c r="F374" i="1"/>
  <c r="G373" i="1"/>
  <c r="F373" i="1"/>
  <c r="G372" i="1"/>
  <c r="F372" i="1"/>
  <c r="G371" i="1"/>
  <c r="F371" i="1"/>
  <c r="G370" i="1"/>
  <c r="F370" i="1"/>
  <c r="G369" i="1"/>
  <c r="F369" i="1"/>
  <c r="G368" i="1"/>
  <c r="F368" i="1"/>
  <c r="G367" i="1"/>
  <c r="F367" i="1"/>
  <c r="G366" i="1"/>
  <c r="F366" i="1"/>
  <c r="G365" i="1"/>
  <c r="F365" i="1"/>
  <c r="G364" i="1"/>
  <c r="F364" i="1"/>
  <c r="G363" i="1"/>
  <c r="F363" i="1"/>
  <c r="G362" i="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U392" i="1" l="1"/>
  <c r="T392" i="1"/>
  <c r="U391" i="1"/>
  <c r="T391" i="1"/>
  <c r="U390" i="1"/>
  <c r="T390" i="1"/>
  <c r="U389" i="1"/>
  <c r="T389" i="1"/>
  <c r="U388" i="1"/>
  <c r="T388" i="1"/>
  <c r="U387" i="1"/>
  <c r="T387" i="1"/>
  <c r="U386" i="1"/>
  <c r="T386" i="1"/>
  <c r="U385" i="1"/>
  <c r="T385" i="1"/>
  <c r="U384" i="1"/>
  <c r="T384" i="1"/>
  <c r="U383" i="1"/>
  <c r="T383" i="1"/>
  <c r="U382" i="1"/>
  <c r="T382" i="1"/>
  <c r="U381" i="1"/>
  <c r="T381" i="1"/>
  <c r="U380" i="1"/>
  <c r="T380" i="1"/>
  <c r="U379" i="1"/>
  <c r="T379" i="1"/>
  <c r="U378" i="1"/>
  <c r="T378" i="1"/>
  <c r="U377" i="1"/>
  <c r="T377" i="1"/>
  <c r="U376" i="1"/>
  <c r="T376" i="1"/>
  <c r="U375" i="1"/>
  <c r="T375" i="1"/>
  <c r="U374" i="1"/>
  <c r="T374" i="1"/>
  <c r="U373" i="1"/>
  <c r="T373" i="1"/>
  <c r="U372" i="1"/>
  <c r="T372" i="1"/>
  <c r="U371" i="1"/>
  <c r="T371" i="1"/>
  <c r="U370" i="1"/>
  <c r="T370" i="1"/>
  <c r="U369" i="1"/>
  <c r="T369" i="1"/>
  <c r="U368" i="1"/>
  <c r="T368" i="1"/>
  <c r="U367" i="1"/>
  <c r="T367" i="1"/>
  <c r="U366" i="1"/>
  <c r="T366" i="1"/>
  <c r="U365" i="1"/>
  <c r="T365" i="1"/>
  <c r="U364" i="1"/>
  <c r="T364" i="1"/>
  <c r="U363" i="1"/>
  <c r="T363" i="1"/>
  <c r="U362" i="1"/>
  <c r="T362" i="1"/>
  <c r="U361" i="1"/>
  <c r="T361" i="1"/>
  <c r="T266" i="1" l="1"/>
  <c r="U266" i="1"/>
  <c r="T267" i="1"/>
  <c r="U267" i="1"/>
  <c r="T268" i="1"/>
  <c r="U268" i="1"/>
  <c r="T269" i="1"/>
  <c r="U269" i="1"/>
  <c r="T270" i="1"/>
  <c r="U270" i="1"/>
  <c r="T271" i="1"/>
  <c r="U271" i="1"/>
  <c r="T272" i="1"/>
  <c r="U272" i="1"/>
  <c r="T273" i="1"/>
  <c r="U273" i="1"/>
  <c r="T274" i="1"/>
  <c r="U274" i="1"/>
  <c r="T275" i="1"/>
  <c r="U275" i="1"/>
  <c r="T276" i="1"/>
  <c r="U276" i="1"/>
  <c r="T277" i="1"/>
  <c r="U277" i="1"/>
  <c r="T278" i="1"/>
  <c r="U278" i="1"/>
  <c r="T279" i="1"/>
  <c r="U279" i="1"/>
  <c r="T280" i="1"/>
  <c r="U280" i="1"/>
  <c r="T281" i="1"/>
  <c r="U281" i="1"/>
  <c r="T282" i="1"/>
  <c r="U282" i="1"/>
  <c r="T283" i="1"/>
  <c r="U283" i="1"/>
  <c r="T284" i="1"/>
  <c r="U284" i="1"/>
  <c r="T285" i="1"/>
  <c r="U285" i="1"/>
  <c r="T286" i="1"/>
  <c r="U286" i="1"/>
  <c r="T287" i="1"/>
  <c r="U287" i="1"/>
  <c r="T288" i="1"/>
  <c r="U288" i="1"/>
  <c r="T289" i="1"/>
  <c r="U289" i="1"/>
  <c r="T290" i="1"/>
  <c r="U290" i="1"/>
  <c r="T291" i="1"/>
  <c r="U291" i="1"/>
  <c r="T292" i="1"/>
  <c r="U292" i="1"/>
  <c r="T293" i="1"/>
  <c r="U293" i="1"/>
  <c r="T294" i="1"/>
  <c r="U294" i="1"/>
  <c r="T295" i="1"/>
  <c r="U295" i="1"/>
  <c r="T296" i="1"/>
  <c r="U296" i="1"/>
  <c r="T297" i="1"/>
  <c r="U297" i="1"/>
  <c r="T298" i="1"/>
  <c r="U298" i="1"/>
  <c r="T299" i="1"/>
  <c r="U299" i="1"/>
  <c r="T300" i="1"/>
  <c r="U300" i="1"/>
  <c r="T301" i="1"/>
  <c r="U301" i="1"/>
  <c r="T302" i="1"/>
  <c r="U302" i="1"/>
  <c r="T303" i="1"/>
  <c r="U303" i="1"/>
  <c r="T304" i="1"/>
  <c r="U304" i="1"/>
  <c r="T305" i="1"/>
  <c r="U305" i="1"/>
  <c r="T306" i="1"/>
  <c r="U306" i="1"/>
  <c r="T307" i="1"/>
  <c r="U307" i="1"/>
  <c r="T308" i="1"/>
  <c r="U308" i="1"/>
  <c r="T309" i="1"/>
  <c r="U309" i="1"/>
  <c r="T310" i="1"/>
  <c r="U310" i="1"/>
  <c r="T311" i="1"/>
  <c r="U311" i="1"/>
  <c r="T312" i="1"/>
  <c r="U312" i="1"/>
  <c r="T313" i="1"/>
  <c r="U313" i="1"/>
  <c r="T314" i="1"/>
  <c r="U314" i="1"/>
  <c r="T315" i="1"/>
  <c r="U315" i="1"/>
  <c r="T316" i="1"/>
  <c r="U316" i="1"/>
  <c r="T317" i="1"/>
  <c r="U317" i="1"/>
  <c r="T318" i="1"/>
  <c r="U318" i="1"/>
  <c r="T319" i="1"/>
  <c r="U319" i="1"/>
  <c r="T320" i="1"/>
  <c r="U320" i="1"/>
  <c r="T321" i="1"/>
  <c r="U321" i="1"/>
  <c r="T322" i="1"/>
  <c r="U322" i="1"/>
  <c r="T323" i="1"/>
  <c r="U323" i="1"/>
  <c r="T324" i="1"/>
  <c r="U324" i="1"/>
  <c r="T325" i="1"/>
  <c r="U325" i="1"/>
  <c r="T326" i="1"/>
  <c r="U326" i="1"/>
  <c r="T327" i="1"/>
  <c r="U327" i="1"/>
  <c r="T328" i="1"/>
  <c r="U328" i="1"/>
  <c r="T329" i="1"/>
  <c r="U329" i="1"/>
  <c r="T330" i="1"/>
  <c r="U330" i="1"/>
  <c r="T331" i="1"/>
  <c r="U331" i="1"/>
  <c r="T332" i="1"/>
  <c r="U332" i="1"/>
  <c r="T333" i="1"/>
  <c r="U333" i="1"/>
  <c r="T334" i="1"/>
  <c r="U334" i="1"/>
  <c r="T335" i="1"/>
  <c r="U335" i="1"/>
  <c r="T336" i="1"/>
  <c r="U336" i="1"/>
  <c r="T337" i="1"/>
  <c r="U337" i="1"/>
  <c r="T338" i="1"/>
  <c r="U338" i="1"/>
  <c r="T339" i="1"/>
  <c r="U339" i="1"/>
  <c r="T340" i="1"/>
  <c r="U340" i="1"/>
  <c r="T341" i="1"/>
  <c r="U341" i="1"/>
  <c r="T342" i="1"/>
  <c r="U342" i="1"/>
  <c r="T343" i="1"/>
  <c r="U343" i="1"/>
  <c r="T344" i="1"/>
  <c r="U344" i="1"/>
  <c r="T345" i="1"/>
  <c r="U345" i="1"/>
  <c r="T346" i="1"/>
  <c r="U346" i="1"/>
  <c r="T347" i="1"/>
  <c r="U347" i="1"/>
  <c r="T348" i="1"/>
  <c r="U348" i="1"/>
  <c r="T349" i="1"/>
  <c r="U349" i="1"/>
  <c r="T350" i="1"/>
  <c r="U350" i="1"/>
  <c r="T351" i="1"/>
  <c r="U351" i="1"/>
  <c r="T352" i="1"/>
  <c r="U352" i="1"/>
  <c r="T353" i="1"/>
  <c r="U353" i="1"/>
  <c r="T354" i="1"/>
  <c r="U354" i="1"/>
  <c r="T355" i="1"/>
  <c r="U355" i="1"/>
  <c r="T356" i="1"/>
  <c r="U356" i="1"/>
  <c r="T357" i="1"/>
  <c r="U357" i="1"/>
  <c r="T358" i="1"/>
  <c r="U358" i="1"/>
  <c r="T359" i="1"/>
  <c r="U359" i="1"/>
  <c r="T360" i="1"/>
  <c r="U360" i="1"/>
  <c r="T393" i="1"/>
  <c r="U393" i="1"/>
  <c r="T394" i="1"/>
  <c r="U394" i="1"/>
  <c r="T395" i="1"/>
  <c r="U395" i="1"/>
  <c r="T396" i="1"/>
  <c r="U396" i="1"/>
  <c r="T397" i="1"/>
  <c r="U397" i="1"/>
  <c r="T398" i="1"/>
  <c r="U398" i="1"/>
  <c r="T399" i="1"/>
  <c r="U399" i="1"/>
  <c r="T400" i="1"/>
  <c r="U400" i="1"/>
  <c r="T401" i="1"/>
  <c r="U401" i="1"/>
  <c r="T402" i="1"/>
  <c r="U402" i="1"/>
  <c r="T403" i="1"/>
  <c r="U403" i="1"/>
  <c r="T404" i="1"/>
  <c r="U404" i="1"/>
  <c r="T405" i="1"/>
  <c r="U405" i="1"/>
  <c r="T406" i="1"/>
  <c r="U406" i="1"/>
  <c r="T407" i="1"/>
  <c r="U407" i="1"/>
  <c r="T408" i="1"/>
  <c r="U408" i="1"/>
  <c r="T409" i="1"/>
  <c r="U409" i="1"/>
  <c r="T410" i="1"/>
  <c r="U410" i="1"/>
  <c r="T411" i="1"/>
  <c r="U411" i="1"/>
  <c r="T412" i="1"/>
  <c r="U412" i="1"/>
  <c r="T413" i="1"/>
  <c r="U413" i="1"/>
  <c r="T414" i="1"/>
  <c r="U414" i="1"/>
  <c r="T415" i="1"/>
  <c r="U415" i="1"/>
  <c r="T416" i="1"/>
  <c r="U416" i="1"/>
  <c r="T417" i="1"/>
  <c r="U417" i="1"/>
  <c r="T418" i="1"/>
  <c r="U418" i="1"/>
  <c r="T419" i="1"/>
  <c r="U419" i="1"/>
  <c r="T420" i="1"/>
  <c r="U420" i="1"/>
  <c r="T421" i="1"/>
  <c r="U421" i="1"/>
  <c r="T422" i="1"/>
  <c r="U422" i="1"/>
  <c r="T423" i="1"/>
  <c r="U423" i="1"/>
  <c r="T424" i="1"/>
  <c r="U424" i="1"/>
  <c r="T425" i="1"/>
  <c r="U425" i="1"/>
  <c r="T426" i="1"/>
  <c r="U426" i="1"/>
  <c r="T427" i="1"/>
  <c r="U427" i="1"/>
  <c r="T428" i="1"/>
  <c r="U428" i="1"/>
  <c r="T429" i="1"/>
  <c r="U429" i="1"/>
  <c r="T430" i="1"/>
  <c r="U430" i="1"/>
  <c r="T431" i="1"/>
  <c r="U431" i="1"/>
  <c r="T432" i="1"/>
  <c r="U432" i="1"/>
  <c r="T433" i="1"/>
  <c r="U433" i="1"/>
  <c r="T434" i="1"/>
  <c r="U434" i="1"/>
  <c r="T435" i="1"/>
  <c r="U435" i="1"/>
  <c r="T436" i="1"/>
  <c r="U436" i="1"/>
  <c r="T437" i="1"/>
  <c r="U437" i="1"/>
  <c r="T438" i="1"/>
  <c r="U438" i="1"/>
  <c r="T439" i="1"/>
  <c r="U439" i="1"/>
  <c r="T440" i="1"/>
  <c r="U440" i="1"/>
  <c r="T441" i="1"/>
  <c r="U441" i="1"/>
  <c r="T442" i="1"/>
  <c r="U442" i="1"/>
  <c r="T443" i="1"/>
  <c r="U443" i="1"/>
  <c r="T444" i="1"/>
  <c r="U444" i="1"/>
  <c r="T445" i="1"/>
  <c r="U445" i="1"/>
  <c r="T446" i="1"/>
  <c r="U446" i="1"/>
  <c r="T447" i="1"/>
  <c r="U447" i="1"/>
  <c r="T448" i="1"/>
  <c r="U448" i="1"/>
  <c r="T449" i="1"/>
  <c r="U449" i="1"/>
  <c r="T450" i="1"/>
  <c r="U450" i="1"/>
  <c r="T451" i="1"/>
  <c r="U451" i="1"/>
  <c r="T452" i="1"/>
  <c r="U452" i="1"/>
  <c r="T453" i="1"/>
  <c r="U453" i="1"/>
  <c r="T454" i="1"/>
  <c r="U454" i="1"/>
  <c r="T455" i="1"/>
  <c r="U455" i="1"/>
  <c r="T456" i="1"/>
  <c r="U456" i="1"/>
  <c r="T457" i="1"/>
  <c r="U457" i="1"/>
  <c r="T458" i="1"/>
  <c r="U458" i="1"/>
  <c r="T459" i="1"/>
  <c r="U459" i="1"/>
  <c r="T460" i="1"/>
  <c r="U460" i="1"/>
  <c r="T461" i="1"/>
  <c r="U461" i="1"/>
  <c r="T462" i="1"/>
  <c r="U462" i="1"/>
  <c r="T463" i="1"/>
  <c r="U463" i="1"/>
  <c r="T464" i="1"/>
  <c r="U464" i="1"/>
  <c r="T465" i="1"/>
  <c r="U465" i="1"/>
  <c r="T466" i="1"/>
  <c r="U466" i="1"/>
  <c r="T467" i="1"/>
  <c r="U467" i="1"/>
  <c r="T468" i="1"/>
  <c r="U468" i="1"/>
  <c r="T469" i="1"/>
  <c r="U469" i="1"/>
  <c r="T470" i="1"/>
  <c r="U470" i="1"/>
  <c r="T471" i="1"/>
  <c r="U471" i="1"/>
  <c r="T472" i="1"/>
  <c r="U472" i="1"/>
  <c r="T473" i="1"/>
  <c r="U473" i="1"/>
  <c r="T474" i="1"/>
  <c r="U474" i="1"/>
  <c r="T475" i="1"/>
  <c r="U475" i="1"/>
  <c r="T476" i="1"/>
  <c r="U476" i="1"/>
  <c r="T477" i="1"/>
  <c r="U477" i="1"/>
  <c r="T478" i="1"/>
  <c r="U478" i="1"/>
  <c r="T479" i="1"/>
  <c r="U479" i="1"/>
  <c r="T480" i="1"/>
  <c r="U480" i="1"/>
  <c r="T481" i="1"/>
  <c r="U481" i="1"/>
  <c r="T482" i="1"/>
  <c r="U482" i="1"/>
  <c r="T483" i="1"/>
  <c r="U483" i="1"/>
  <c r="T484" i="1"/>
  <c r="U484" i="1"/>
  <c r="T485" i="1"/>
  <c r="U485" i="1"/>
  <c r="T486" i="1"/>
  <c r="U486" i="1"/>
  <c r="T487" i="1"/>
  <c r="U487" i="1"/>
  <c r="T488" i="1"/>
  <c r="U488" i="1"/>
  <c r="T489" i="1"/>
  <c r="U489" i="1"/>
  <c r="T490" i="1"/>
  <c r="U490" i="1"/>
  <c r="T491" i="1"/>
  <c r="U491" i="1"/>
  <c r="T492" i="1"/>
  <c r="U492" i="1"/>
  <c r="T493" i="1"/>
  <c r="U493" i="1"/>
  <c r="T494" i="1"/>
  <c r="U494" i="1"/>
  <c r="T495" i="1"/>
  <c r="U495" i="1"/>
  <c r="T496" i="1"/>
  <c r="U496" i="1"/>
  <c r="T497" i="1"/>
  <c r="U497" i="1"/>
  <c r="T498" i="1"/>
  <c r="U498" i="1"/>
  <c r="T499" i="1"/>
  <c r="U499" i="1"/>
  <c r="T500" i="1"/>
  <c r="U500" i="1"/>
  <c r="T501" i="1"/>
  <c r="U501" i="1"/>
  <c r="T502" i="1"/>
  <c r="U502" i="1"/>
  <c r="T503" i="1"/>
  <c r="U503" i="1"/>
  <c r="T504" i="1"/>
  <c r="U504" i="1"/>
  <c r="T505" i="1"/>
  <c r="U505" i="1"/>
  <c r="T506" i="1"/>
  <c r="U506" i="1"/>
  <c r="T507" i="1"/>
  <c r="U507" i="1"/>
  <c r="T508" i="1"/>
  <c r="U508" i="1"/>
  <c r="T509" i="1"/>
  <c r="U509" i="1"/>
  <c r="T510" i="1"/>
  <c r="U510" i="1"/>
  <c r="T511" i="1"/>
  <c r="U511" i="1"/>
  <c r="T512" i="1"/>
  <c r="U512" i="1"/>
  <c r="T513" i="1"/>
  <c r="U513" i="1"/>
  <c r="T514" i="1"/>
  <c r="U514" i="1"/>
  <c r="T515" i="1"/>
  <c r="U515" i="1"/>
  <c r="T516" i="1"/>
  <c r="U516" i="1"/>
  <c r="T517" i="1"/>
  <c r="U517" i="1"/>
  <c r="T518" i="1"/>
  <c r="U518" i="1"/>
  <c r="T519" i="1"/>
  <c r="U519" i="1"/>
  <c r="T520" i="1"/>
  <c r="U520" i="1"/>
  <c r="T521" i="1"/>
  <c r="U521" i="1"/>
  <c r="T522" i="1"/>
  <c r="U522" i="1"/>
  <c r="T523" i="1"/>
  <c r="U523" i="1"/>
  <c r="T524" i="1"/>
  <c r="U524" i="1"/>
  <c r="T525" i="1"/>
  <c r="U525" i="1"/>
  <c r="T526" i="1"/>
  <c r="U526" i="1"/>
  <c r="T527" i="1"/>
  <c r="U527" i="1"/>
  <c r="T528" i="1"/>
  <c r="U528" i="1"/>
  <c r="T529" i="1"/>
  <c r="U529" i="1"/>
  <c r="T530" i="1"/>
  <c r="U530" i="1"/>
  <c r="T531" i="1"/>
  <c r="U531" i="1"/>
  <c r="T532" i="1"/>
  <c r="U532" i="1"/>
  <c r="T533" i="1"/>
  <c r="U533" i="1"/>
  <c r="T534" i="1"/>
  <c r="U534" i="1"/>
  <c r="T535" i="1"/>
  <c r="U535" i="1"/>
  <c r="T536" i="1"/>
  <c r="U536" i="1"/>
  <c r="T537" i="1"/>
  <c r="U537" i="1"/>
  <c r="T538" i="1"/>
  <c r="U538" i="1"/>
  <c r="T539" i="1"/>
  <c r="U539" i="1"/>
  <c r="T540" i="1"/>
  <c r="U540" i="1"/>
  <c r="T541" i="1"/>
  <c r="U541" i="1"/>
  <c r="T542" i="1"/>
  <c r="U542" i="1"/>
  <c r="T543" i="1"/>
  <c r="U543" i="1"/>
  <c r="T544" i="1"/>
  <c r="U544" i="1"/>
  <c r="T545" i="1"/>
  <c r="U545" i="1"/>
  <c r="T546" i="1"/>
  <c r="U546" i="1"/>
  <c r="T547" i="1"/>
  <c r="U547" i="1"/>
  <c r="T548" i="1"/>
  <c r="U548" i="1"/>
  <c r="T549" i="1"/>
  <c r="U549" i="1"/>
  <c r="T550" i="1"/>
  <c r="U550" i="1"/>
  <c r="T551" i="1"/>
  <c r="U551" i="1"/>
  <c r="T552" i="1"/>
  <c r="U552" i="1"/>
  <c r="T553" i="1"/>
  <c r="U553" i="1"/>
  <c r="T554" i="1"/>
  <c r="U554" i="1"/>
  <c r="T555" i="1"/>
  <c r="U555" i="1"/>
  <c r="T556" i="1"/>
  <c r="U556" i="1"/>
  <c r="T557" i="1"/>
  <c r="U557" i="1"/>
  <c r="T558" i="1"/>
  <c r="U558" i="1"/>
  <c r="T559" i="1"/>
  <c r="U559" i="1"/>
  <c r="T560" i="1"/>
  <c r="U560" i="1"/>
  <c r="T561" i="1"/>
  <c r="U561" i="1"/>
  <c r="T562" i="1"/>
  <c r="U562" i="1"/>
  <c r="T563" i="1"/>
  <c r="U563" i="1"/>
  <c r="T564" i="1"/>
  <c r="U564" i="1"/>
  <c r="T565" i="1"/>
  <c r="U565" i="1"/>
  <c r="T566" i="1"/>
  <c r="U566" i="1"/>
  <c r="T567" i="1"/>
  <c r="U567" i="1"/>
  <c r="T568" i="1"/>
  <c r="U568" i="1"/>
  <c r="T569" i="1"/>
  <c r="U569" i="1"/>
  <c r="T570" i="1"/>
  <c r="U570" i="1"/>
  <c r="T571" i="1"/>
  <c r="U571" i="1"/>
  <c r="T573" i="1"/>
  <c r="U573" i="1"/>
  <c r="T574" i="1"/>
  <c r="U574" i="1"/>
  <c r="T575" i="1"/>
  <c r="U575" i="1"/>
  <c r="T576" i="1"/>
  <c r="U576" i="1"/>
  <c r="T577" i="1"/>
  <c r="U577" i="1"/>
  <c r="T578" i="1"/>
  <c r="U578" i="1"/>
  <c r="T579" i="1"/>
  <c r="U579" i="1"/>
  <c r="T580" i="1"/>
  <c r="U580" i="1"/>
  <c r="T581" i="1"/>
  <c r="U581" i="1"/>
  <c r="T572" i="1"/>
  <c r="U572" i="1"/>
  <c r="T582" i="1"/>
  <c r="U582" i="1"/>
  <c r="T583" i="1"/>
  <c r="U583" i="1"/>
  <c r="T584" i="1"/>
  <c r="U584" i="1"/>
  <c r="T585" i="1"/>
  <c r="U585" i="1"/>
  <c r="T586" i="1"/>
  <c r="T587" i="1"/>
  <c r="T588" i="1"/>
  <c r="U588" i="1"/>
  <c r="T589" i="1"/>
  <c r="U589" i="1"/>
  <c r="T590" i="1"/>
  <c r="U590" i="1"/>
  <c r="F398" i="1"/>
  <c r="G398" i="1"/>
  <c r="F399" i="1"/>
  <c r="G399" i="1"/>
  <c r="F400" i="1"/>
  <c r="G400" i="1"/>
  <c r="F401" i="1"/>
  <c r="G401" i="1"/>
  <c r="F402" i="1"/>
  <c r="G402" i="1"/>
  <c r="F403" i="1"/>
  <c r="G403" i="1"/>
  <c r="F404" i="1"/>
  <c r="G404" i="1"/>
  <c r="F405" i="1"/>
  <c r="G405" i="1"/>
  <c r="F406" i="1"/>
  <c r="G406" i="1"/>
  <c r="F407" i="1"/>
  <c r="G407" i="1"/>
  <c r="F408" i="1"/>
  <c r="G408" i="1"/>
  <c r="F409" i="1"/>
  <c r="G409" i="1"/>
  <c r="F410" i="1"/>
  <c r="G410" i="1"/>
  <c r="F411" i="1"/>
  <c r="G411" i="1"/>
  <c r="F412" i="1"/>
  <c r="G412" i="1"/>
  <c r="F413" i="1"/>
  <c r="G413" i="1"/>
  <c r="F414" i="1"/>
  <c r="G414" i="1"/>
  <c r="F415" i="1"/>
  <c r="G415" i="1"/>
  <c r="F416" i="1"/>
  <c r="G416" i="1"/>
  <c r="F417" i="1"/>
  <c r="G417" i="1"/>
  <c r="F418" i="1"/>
  <c r="G418" i="1"/>
  <c r="F419" i="1"/>
  <c r="G419" i="1"/>
  <c r="F420" i="1"/>
  <c r="G420" i="1"/>
  <c r="F421" i="1"/>
  <c r="G421" i="1"/>
  <c r="F422" i="1"/>
  <c r="G422" i="1"/>
  <c r="F423" i="1"/>
  <c r="G423" i="1"/>
  <c r="F424" i="1"/>
  <c r="G424" i="1"/>
  <c r="F425" i="1"/>
  <c r="G425" i="1"/>
  <c r="F426" i="1"/>
  <c r="G426" i="1"/>
  <c r="F427" i="1"/>
  <c r="G427" i="1"/>
  <c r="F428" i="1"/>
  <c r="G428" i="1"/>
  <c r="F429" i="1"/>
  <c r="G429" i="1"/>
  <c r="F430" i="1"/>
  <c r="G430" i="1"/>
  <c r="F431" i="1"/>
  <c r="G431" i="1"/>
  <c r="F432" i="1"/>
  <c r="G432" i="1"/>
  <c r="F433" i="1"/>
  <c r="G433" i="1"/>
  <c r="F434" i="1"/>
  <c r="G434" i="1"/>
  <c r="F435" i="1"/>
  <c r="G435" i="1"/>
  <c r="F436" i="1"/>
  <c r="G436" i="1"/>
  <c r="F437" i="1"/>
  <c r="G437" i="1"/>
  <c r="F438" i="1"/>
  <c r="G438" i="1"/>
  <c r="F439" i="1"/>
  <c r="G439" i="1"/>
  <c r="F440" i="1"/>
  <c r="G440" i="1"/>
  <c r="F441" i="1"/>
  <c r="G441" i="1"/>
  <c r="F442" i="1"/>
  <c r="G442" i="1"/>
  <c r="F443" i="1"/>
  <c r="G443" i="1"/>
  <c r="F444" i="1"/>
  <c r="G444" i="1"/>
  <c r="F445" i="1"/>
  <c r="G445" i="1"/>
  <c r="F446" i="1"/>
  <c r="G446" i="1"/>
  <c r="F447" i="1"/>
  <c r="G447" i="1"/>
  <c r="F448" i="1"/>
  <c r="G448" i="1"/>
  <c r="F449" i="1"/>
  <c r="G449" i="1"/>
  <c r="F450" i="1"/>
  <c r="G450" i="1"/>
  <c r="F451" i="1"/>
  <c r="G451" i="1"/>
  <c r="F452" i="1"/>
  <c r="G452" i="1"/>
  <c r="F453" i="1"/>
  <c r="G453" i="1"/>
  <c r="F454" i="1"/>
  <c r="G454" i="1"/>
  <c r="F455" i="1"/>
  <c r="G455" i="1"/>
  <c r="F456" i="1"/>
  <c r="G456" i="1"/>
  <c r="F457" i="1"/>
  <c r="G457" i="1"/>
  <c r="F458" i="1"/>
  <c r="G458" i="1"/>
  <c r="F459" i="1"/>
  <c r="G459" i="1"/>
  <c r="F460" i="1"/>
  <c r="G460" i="1"/>
  <c r="F461" i="1"/>
  <c r="G461" i="1"/>
  <c r="F462" i="1"/>
  <c r="G462" i="1"/>
  <c r="F463" i="1"/>
  <c r="G463" i="1"/>
  <c r="F464" i="1"/>
  <c r="G464" i="1"/>
  <c r="F465" i="1"/>
  <c r="G465" i="1"/>
  <c r="F466" i="1"/>
  <c r="G466" i="1"/>
  <c r="F467" i="1"/>
  <c r="G467" i="1"/>
  <c r="F468" i="1"/>
  <c r="G468" i="1"/>
  <c r="F469" i="1"/>
  <c r="G469" i="1"/>
  <c r="F470" i="1"/>
  <c r="G470" i="1"/>
  <c r="F471" i="1"/>
  <c r="G471" i="1"/>
  <c r="F472" i="1"/>
  <c r="G472" i="1"/>
  <c r="F473" i="1"/>
  <c r="G473" i="1"/>
  <c r="F474" i="1"/>
  <c r="G474" i="1"/>
  <c r="F475" i="1"/>
  <c r="G475" i="1"/>
  <c r="F476" i="1"/>
  <c r="G476" i="1"/>
  <c r="F477" i="1"/>
  <c r="G477" i="1"/>
  <c r="F478" i="1"/>
  <c r="G478" i="1"/>
  <c r="F479" i="1"/>
  <c r="G479" i="1"/>
  <c r="F480" i="1"/>
  <c r="G480" i="1"/>
  <c r="F481" i="1"/>
  <c r="G481" i="1"/>
  <c r="F482" i="1"/>
  <c r="G482" i="1"/>
  <c r="F483" i="1"/>
  <c r="G483" i="1"/>
  <c r="F484" i="1"/>
  <c r="G484" i="1"/>
  <c r="F485" i="1"/>
  <c r="G485" i="1"/>
  <c r="F486" i="1"/>
  <c r="G486" i="1"/>
  <c r="F487" i="1"/>
  <c r="G487" i="1"/>
  <c r="F488" i="1"/>
  <c r="G488" i="1"/>
  <c r="F489" i="1"/>
  <c r="G489" i="1"/>
  <c r="F490" i="1"/>
  <c r="G490" i="1"/>
  <c r="F491" i="1"/>
  <c r="G491" i="1"/>
  <c r="F492" i="1"/>
  <c r="G492" i="1"/>
  <c r="F493" i="1"/>
  <c r="G493" i="1"/>
  <c r="F494" i="1"/>
  <c r="G494" i="1"/>
  <c r="F495" i="1"/>
  <c r="G495" i="1"/>
  <c r="F496" i="1"/>
  <c r="G496" i="1"/>
  <c r="F497" i="1"/>
  <c r="G497" i="1"/>
  <c r="F498" i="1"/>
  <c r="G498" i="1"/>
  <c r="F499" i="1"/>
  <c r="G499" i="1"/>
  <c r="F500" i="1"/>
  <c r="G500" i="1"/>
  <c r="F501" i="1"/>
  <c r="G501" i="1"/>
  <c r="F502" i="1"/>
  <c r="G502" i="1"/>
  <c r="F503" i="1"/>
  <c r="G503" i="1"/>
  <c r="F504" i="1"/>
  <c r="G504" i="1"/>
  <c r="F505" i="1"/>
  <c r="G505" i="1"/>
  <c r="F506" i="1"/>
  <c r="G506" i="1"/>
  <c r="F507" i="1"/>
  <c r="G507" i="1"/>
  <c r="F508" i="1"/>
  <c r="G508" i="1"/>
  <c r="F509" i="1"/>
  <c r="G509" i="1"/>
  <c r="F510" i="1"/>
  <c r="G510" i="1"/>
  <c r="F511" i="1"/>
  <c r="G511" i="1"/>
  <c r="F512" i="1"/>
  <c r="G512" i="1"/>
  <c r="F513" i="1"/>
  <c r="G513" i="1"/>
  <c r="F514" i="1"/>
  <c r="G514" i="1"/>
  <c r="F515" i="1"/>
  <c r="G515" i="1"/>
  <c r="F516" i="1"/>
  <c r="G516" i="1"/>
  <c r="F517" i="1"/>
  <c r="G517" i="1"/>
  <c r="F518" i="1"/>
  <c r="G518" i="1"/>
  <c r="F519" i="1"/>
  <c r="G519" i="1"/>
  <c r="F520" i="1"/>
  <c r="G520" i="1"/>
  <c r="F521" i="1"/>
  <c r="G521" i="1"/>
  <c r="F522" i="1"/>
  <c r="G522" i="1"/>
  <c r="F523" i="1"/>
  <c r="G523" i="1"/>
  <c r="F524" i="1"/>
  <c r="G524" i="1"/>
  <c r="F525" i="1"/>
  <c r="G525" i="1"/>
  <c r="F526" i="1"/>
  <c r="G526" i="1"/>
  <c r="F527" i="1"/>
  <c r="G527" i="1"/>
  <c r="F528" i="1"/>
  <c r="G528" i="1"/>
  <c r="F529" i="1"/>
  <c r="G529" i="1"/>
  <c r="F530" i="1"/>
  <c r="G530" i="1"/>
  <c r="F531" i="1"/>
  <c r="G531" i="1"/>
  <c r="F532" i="1"/>
  <c r="G532" i="1"/>
  <c r="F533" i="1"/>
  <c r="G533" i="1"/>
  <c r="F534" i="1"/>
  <c r="G534" i="1"/>
  <c r="F535" i="1"/>
  <c r="G535" i="1"/>
  <c r="F536" i="1"/>
  <c r="G536" i="1"/>
  <c r="F537" i="1"/>
  <c r="G537" i="1"/>
  <c r="F538" i="1"/>
  <c r="G538" i="1"/>
  <c r="F539" i="1"/>
  <c r="G539" i="1"/>
  <c r="F540" i="1"/>
  <c r="G540" i="1"/>
  <c r="F541" i="1"/>
  <c r="G541" i="1"/>
  <c r="F542" i="1"/>
  <c r="G542" i="1"/>
  <c r="F543" i="1"/>
  <c r="G543" i="1"/>
  <c r="F544" i="1"/>
  <c r="G544" i="1"/>
  <c r="F545" i="1"/>
  <c r="G545" i="1"/>
  <c r="F546" i="1"/>
  <c r="G546" i="1"/>
  <c r="F547" i="1"/>
  <c r="G547" i="1"/>
  <c r="F548" i="1"/>
  <c r="G548" i="1"/>
  <c r="F549" i="1"/>
  <c r="G549" i="1"/>
  <c r="F550" i="1"/>
  <c r="G550" i="1"/>
  <c r="F551" i="1"/>
  <c r="G551" i="1"/>
  <c r="F552" i="1"/>
  <c r="G552" i="1"/>
  <c r="F553" i="1"/>
  <c r="G553" i="1"/>
  <c r="F554" i="1"/>
  <c r="G554" i="1"/>
  <c r="F555" i="1"/>
  <c r="G555" i="1"/>
  <c r="F556" i="1"/>
  <c r="G556" i="1"/>
  <c r="F557" i="1"/>
  <c r="G557" i="1"/>
  <c r="F558" i="1"/>
  <c r="G558" i="1"/>
  <c r="F559" i="1"/>
  <c r="G559" i="1"/>
  <c r="F560" i="1"/>
  <c r="G560" i="1"/>
  <c r="F561" i="1"/>
  <c r="G561" i="1"/>
  <c r="F562" i="1"/>
  <c r="G562" i="1"/>
  <c r="F563" i="1"/>
  <c r="G563" i="1"/>
  <c r="F564" i="1"/>
  <c r="G564" i="1"/>
  <c r="F565" i="1"/>
  <c r="G565" i="1"/>
  <c r="F566" i="1"/>
  <c r="G566" i="1"/>
  <c r="F567" i="1"/>
  <c r="G567" i="1"/>
  <c r="F568" i="1"/>
  <c r="G568" i="1"/>
  <c r="F569" i="1"/>
  <c r="G569" i="1"/>
  <c r="F570" i="1"/>
  <c r="G570" i="1"/>
  <c r="F571" i="1"/>
  <c r="G571" i="1"/>
  <c r="F573" i="1"/>
  <c r="G573" i="1"/>
  <c r="F574" i="1"/>
  <c r="G574" i="1"/>
  <c r="F575" i="1"/>
  <c r="G575" i="1"/>
  <c r="F576" i="1"/>
  <c r="G576" i="1"/>
  <c r="F577" i="1"/>
  <c r="G577" i="1"/>
  <c r="F578" i="1"/>
  <c r="G578" i="1"/>
  <c r="F579" i="1"/>
  <c r="G579" i="1"/>
  <c r="F580" i="1"/>
  <c r="G580" i="1"/>
  <c r="F581" i="1"/>
  <c r="G581" i="1"/>
  <c r="F572" i="1"/>
  <c r="G572" i="1"/>
  <c r="F582" i="1"/>
  <c r="G582" i="1"/>
  <c r="F583" i="1"/>
  <c r="G583" i="1"/>
  <c r="F584" i="1"/>
  <c r="G584" i="1"/>
  <c r="F585" i="1"/>
  <c r="G585" i="1"/>
  <c r="F586" i="1"/>
  <c r="G586" i="1"/>
  <c r="F587" i="1"/>
  <c r="G587" i="1"/>
  <c r="F588" i="1"/>
  <c r="G588" i="1"/>
  <c r="F589" i="1"/>
  <c r="G589" i="1"/>
  <c r="T591" i="1" l="1"/>
  <c r="U591" i="1"/>
  <c r="T592" i="1"/>
  <c r="U592" i="1"/>
  <c r="T593" i="1"/>
  <c r="U593" i="1"/>
  <c r="T594" i="1"/>
  <c r="U594" i="1"/>
  <c r="T595" i="1"/>
  <c r="U595" i="1"/>
  <c r="T596" i="1"/>
  <c r="U596" i="1"/>
  <c r="T597" i="1"/>
  <c r="U597" i="1"/>
  <c r="T600" i="1"/>
  <c r="U600" i="1"/>
  <c r="T601" i="1"/>
  <c r="U601" i="1"/>
  <c r="T602" i="1"/>
  <c r="U602" i="1"/>
  <c r="T603" i="1"/>
  <c r="U603" i="1"/>
  <c r="T604" i="1"/>
  <c r="U604" i="1"/>
  <c r="T605" i="1"/>
  <c r="U605" i="1"/>
  <c r="T598" i="1"/>
  <c r="U598" i="1"/>
  <c r="T599" i="1"/>
  <c r="U599" i="1"/>
  <c r="T606" i="1"/>
  <c r="U606" i="1"/>
  <c r="T7" i="1"/>
  <c r="U7" i="1"/>
  <c r="F590" i="1"/>
  <c r="F591" i="1"/>
  <c r="G591" i="1"/>
  <c r="F592" i="1"/>
  <c r="G592" i="1"/>
  <c r="F593" i="1"/>
  <c r="G593" i="1"/>
  <c r="F594" i="1"/>
  <c r="G594" i="1"/>
  <c r="F595" i="1"/>
  <c r="G595" i="1"/>
  <c r="F596" i="1"/>
  <c r="G596" i="1"/>
  <c r="F597" i="1"/>
  <c r="G597" i="1"/>
  <c r="F600" i="1"/>
  <c r="G600" i="1"/>
  <c r="F601" i="1"/>
  <c r="G601" i="1"/>
  <c r="F602" i="1"/>
  <c r="G602" i="1"/>
  <c r="F603" i="1"/>
  <c r="G603" i="1"/>
  <c r="F604" i="1"/>
  <c r="G604" i="1"/>
  <c r="F605" i="1"/>
  <c r="G605" i="1"/>
  <c r="F598" i="1"/>
  <c r="F599" i="1"/>
  <c r="G599" i="1"/>
  <c r="F606" i="1"/>
  <c r="F7" i="1"/>
  <c r="G7" i="1"/>
  <c r="P606" i="1" l="1"/>
  <c r="G606" i="1" s="1"/>
  <c r="P598" i="1"/>
  <c r="G598" i="1" s="1"/>
  <c r="P590" i="1"/>
  <c r="G590" i="1" s="1"/>
  <c r="AD587" i="1"/>
  <c r="U587" i="1" s="1"/>
  <c r="AD586" i="1"/>
  <c r="U586" i="1" s="1"/>
  <c r="Q215" i="6" l="1"/>
  <c r="Q216" i="6"/>
  <c r="Q217" i="6"/>
  <c r="Q218" i="6"/>
  <c r="Q219" i="6"/>
  <c r="Q220" i="6"/>
  <c r="Q221" i="6"/>
  <c r="Q222" i="6"/>
  <c r="Q223" i="6"/>
  <c r="Q224" i="6"/>
  <c r="Q225" i="6"/>
  <c r="Q226" i="6"/>
  <c r="Q231" i="6"/>
  <c r="Q236" i="6"/>
  <c r="Q241" i="6"/>
  <c r="Q246" i="6"/>
  <c r="Q247" i="6"/>
  <c r="Q248" i="6"/>
  <c r="Q249" i="6"/>
  <c r="Q250" i="6"/>
  <c r="Q251" i="6"/>
  <c r="Q252" i="6"/>
  <c r="Q253" i="6"/>
  <c r="Q254" i="6"/>
  <c r="Q255" i="6"/>
  <c r="Q256" i="6"/>
  <c r="Q257" i="6"/>
  <c r="Q262" i="6"/>
  <c r="Q267" i="6"/>
  <c r="Q272" i="6"/>
  <c r="Q277" i="6"/>
  <c r="Q278" i="6"/>
  <c r="Q279" i="6"/>
  <c r="Q280" i="6"/>
  <c r="Q281" i="6"/>
  <c r="Q282" i="6"/>
  <c r="Q283" i="6"/>
  <c r="Q284" i="6"/>
  <c r="Q285" i="6"/>
  <c r="Q286" i="6"/>
  <c r="Q287" i="6"/>
  <c r="Q288" i="6"/>
  <c r="Q293" i="6"/>
  <c r="Q298" i="6"/>
  <c r="Q303" i="6"/>
  <c r="Q308" i="6"/>
  <c r="Q309" i="6"/>
  <c r="Q310" i="6"/>
  <c r="Q311" i="6"/>
  <c r="Q312" i="6"/>
  <c r="Q313" i="6"/>
  <c r="Q314" i="6"/>
  <c r="Q315" i="6"/>
  <c r="Q316" i="6"/>
  <c r="Q317" i="6"/>
  <c r="Q318" i="6"/>
  <c r="Q319" i="6"/>
  <c r="Q324" i="6"/>
  <c r="Q329" i="6"/>
  <c r="Q334" i="6"/>
  <c r="Q339" i="6"/>
  <c r="Q340" i="6"/>
  <c r="Q342" i="6"/>
  <c r="Q343" i="6"/>
  <c r="Q344" i="6"/>
  <c r="Q345" i="6"/>
  <c r="Q346" i="6"/>
  <c r="Q347" i="6"/>
  <c r="Q348" i="6"/>
  <c r="Q349" i="6"/>
  <c r="Q350" i="6"/>
  <c r="Q355" i="6"/>
  <c r="Q360" i="6"/>
  <c r="Q365" i="6"/>
  <c r="Q370" i="6"/>
  <c r="Q371" i="6"/>
  <c r="Q372" i="6"/>
  <c r="Q373" i="6"/>
  <c r="Q374" i="6"/>
  <c r="Q375" i="6"/>
  <c r="Q376" i="6"/>
  <c r="Q377" i="6"/>
  <c r="Q378" i="6"/>
  <c r="Q379" i="6"/>
  <c r="Q380" i="6"/>
  <c r="Q381" i="6"/>
  <c r="Q386" i="6"/>
  <c r="Q391" i="6"/>
  <c r="Q396" i="6"/>
  <c r="Q401" i="6"/>
  <c r="Q402" i="6"/>
  <c r="Q403" i="6"/>
  <c r="Q404" i="6"/>
  <c r="Q405" i="6"/>
  <c r="Q406" i="6"/>
  <c r="Q407" i="6"/>
  <c r="Q408" i="6"/>
  <c r="Q409" i="6"/>
  <c r="Q410" i="6"/>
  <c r="Q411" i="6"/>
  <c r="Q416" i="6"/>
  <c r="Q421" i="6"/>
  <c r="Q426" i="6"/>
  <c r="Q431" i="6"/>
  <c r="Q432" i="6"/>
  <c r="Q433" i="6"/>
  <c r="Q434" i="6"/>
  <c r="Q435" i="6"/>
  <c r="Q436" i="6"/>
  <c r="Q437" i="6"/>
  <c r="Q438" i="6"/>
  <c r="Q439" i="6"/>
  <c r="Q440" i="6"/>
  <c r="Q441" i="6"/>
  <c r="Q446" i="6"/>
  <c r="Q451" i="6"/>
  <c r="Q456" i="6"/>
  <c r="Q29" i="6"/>
  <c r="R29" i="6"/>
  <c r="Q30" i="6"/>
  <c r="R30" i="6"/>
  <c r="Q28" i="6"/>
  <c r="R28" i="6"/>
  <c r="R31" i="6"/>
  <c r="Q32" i="6"/>
  <c r="R32" i="6"/>
  <c r="Q33" i="6"/>
  <c r="R33" i="6"/>
  <c r="Q34" i="6"/>
  <c r="R34" i="6"/>
  <c r="Q35" i="6"/>
  <c r="R35" i="6"/>
  <c r="Q36" i="6"/>
  <c r="R36" i="6"/>
  <c r="Q37" i="6"/>
  <c r="R37" i="6"/>
  <c r="Q38" i="6"/>
  <c r="R38" i="6"/>
  <c r="Q39" i="6"/>
  <c r="R39" i="6"/>
  <c r="Q40" i="6"/>
  <c r="R40" i="6"/>
  <c r="Q45" i="6"/>
  <c r="R45" i="6"/>
  <c r="Q50" i="6"/>
  <c r="R50" i="6"/>
  <c r="Q55" i="6"/>
  <c r="R55" i="6"/>
  <c r="Q60" i="6"/>
  <c r="R60" i="6"/>
  <c r="Q61" i="6"/>
  <c r="R61" i="6"/>
  <c r="Q62" i="6"/>
  <c r="R62" i="6"/>
  <c r="Q63" i="6"/>
  <c r="R63" i="6"/>
  <c r="Q64" i="6"/>
  <c r="R64" i="6"/>
  <c r="Q65" i="6"/>
  <c r="R65" i="6"/>
  <c r="Q66" i="6"/>
  <c r="R66" i="6"/>
  <c r="Q67" i="6"/>
  <c r="R67" i="6"/>
  <c r="Q68" i="6"/>
  <c r="R68" i="6"/>
  <c r="Q69" i="6"/>
  <c r="R69" i="6"/>
  <c r="Q70" i="6"/>
  <c r="R70" i="6"/>
  <c r="Q71" i="6"/>
  <c r="R71" i="6"/>
  <c r="Q76" i="6"/>
  <c r="R76" i="6"/>
  <c r="Q81" i="6"/>
  <c r="R81" i="6"/>
  <c r="Q86" i="6"/>
  <c r="R86" i="6"/>
  <c r="Q91" i="6"/>
  <c r="R91" i="6"/>
  <c r="Q92" i="6"/>
  <c r="R92" i="6"/>
  <c r="Q93" i="6"/>
  <c r="R93" i="6"/>
  <c r="Q94" i="6"/>
  <c r="R94" i="6"/>
  <c r="Q95" i="6"/>
  <c r="R95" i="6"/>
  <c r="Q96" i="6"/>
  <c r="R96" i="6"/>
  <c r="Q97" i="6"/>
  <c r="R97" i="6"/>
  <c r="Q98" i="6"/>
  <c r="R98" i="6"/>
  <c r="Q99" i="6"/>
  <c r="R99" i="6"/>
  <c r="Q100" i="6"/>
  <c r="R100" i="6"/>
  <c r="Q101" i="6"/>
  <c r="R101" i="6"/>
  <c r="Q102" i="6"/>
  <c r="R102" i="6"/>
  <c r="Q107" i="6"/>
  <c r="R107" i="6"/>
  <c r="Q112" i="6"/>
  <c r="R112" i="6"/>
  <c r="Q117" i="6"/>
  <c r="R117" i="6"/>
  <c r="Q122" i="6"/>
  <c r="R122" i="6"/>
  <c r="Q123" i="6"/>
  <c r="R123" i="6"/>
  <c r="Q124" i="6"/>
  <c r="R124" i="6"/>
  <c r="Q125" i="6"/>
  <c r="R125" i="6"/>
  <c r="Q126" i="6"/>
  <c r="R126" i="6"/>
  <c r="Q127" i="6"/>
  <c r="R127" i="6"/>
  <c r="Q128" i="6"/>
  <c r="R128" i="6"/>
  <c r="Q129" i="6"/>
  <c r="R129" i="6"/>
  <c r="Q130" i="6"/>
  <c r="R130" i="6"/>
  <c r="Q131" i="6"/>
  <c r="R131" i="6"/>
  <c r="Q132" i="6"/>
  <c r="R132" i="6"/>
  <c r="Q133" i="6"/>
  <c r="R133" i="6"/>
  <c r="Q138" i="6"/>
  <c r="R138" i="6"/>
  <c r="Q143" i="6"/>
  <c r="R143" i="6"/>
  <c r="Q148" i="6"/>
  <c r="R148" i="6"/>
  <c r="Q153" i="6"/>
  <c r="R153" i="6"/>
  <c r="Q154" i="6"/>
  <c r="R154" i="6"/>
  <c r="Q156" i="6"/>
  <c r="R156" i="6"/>
  <c r="Q157" i="6"/>
  <c r="R157" i="6"/>
  <c r="Q158" i="6"/>
  <c r="R158" i="6"/>
  <c r="Q159" i="6"/>
  <c r="R159" i="6"/>
  <c r="Q160" i="6"/>
  <c r="R160" i="6"/>
  <c r="Q161" i="6"/>
  <c r="R161" i="6"/>
  <c r="Q162" i="6"/>
  <c r="R162" i="6"/>
  <c r="Q163" i="6"/>
  <c r="R163" i="6"/>
  <c r="Q164" i="6"/>
  <c r="R164" i="6"/>
  <c r="Q169" i="6"/>
  <c r="R169" i="6"/>
  <c r="Q174" i="6"/>
  <c r="R174" i="6"/>
  <c r="Q179" i="6"/>
  <c r="R179" i="6"/>
  <c r="Q184" i="6"/>
  <c r="R184" i="6"/>
  <c r="Q185" i="6"/>
  <c r="R185" i="6"/>
  <c r="Q186" i="6"/>
  <c r="R186" i="6"/>
  <c r="Q187" i="6"/>
  <c r="R187" i="6"/>
  <c r="Q188" i="6"/>
  <c r="R188" i="6"/>
  <c r="Q189" i="6"/>
  <c r="R189" i="6"/>
  <c r="Q190" i="6"/>
  <c r="R190" i="6"/>
  <c r="Q191" i="6"/>
  <c r="R191" i="6"/>
  <c r="Q192" i="6"/>
  <c r="R192" i="6"/>
  <c r="Q193" i="6"/>
  <c r="R193" i="6"/>
  <c r="Q194" i="6"/>
  <c r="R194" i="6"/>
  <c r="Q195" i="6"/>
  <c r="R195" i="6"/>
  <c r="Q200" i="6"/>
  <c r="R200" i="6"/>
  <c r="Q205" i="6"/>
  <c r="R205" i="6"/>
  <c r="Q210" i="6"/>
  <c r="R210" i="6"/>
  <c r="R215" i="6"/>
  <c r="R216" i="6"/>
  <c r="R217" i="6"/>
  <c r="R218" i="6"/>
  <c r="H460" i="6"/>
  <c r="G460" i="6"/>
  <c r="F460" i="6"/>
  <c r="E460" i="6"/>
  <c r="C460" i="6"/>
  <c r="B460" i="6"/>
  <c r="H459" i="6"/>
  <c r="G459" i="6"/>
  <c r="F459" i="6"/>
  <c r="E459" i="6"/>
  <c r="C459" i="6"/>
  <c r="B459" i="6"/>
  <c r="H458" i="6"/>
  <c r="G458" i="6"/>
  <c r="F458" i="6"/>
  <c r="E458" i="6"/>
  <c r="C458" i="6"/>
  <c r="B458" i="6"/>
  <c r="H457" i="6"/>
  <c r="G457" i="6"/>
  <c r="F457" i="6"/>
  <c r="E457" i="6"/>
  <c r="C457" i="6"/>
  <c r="B457" i="6"/>
  <c r="H455" i="6"/>
  <c r="G455" i="6"/>
  <c r="F455" i="6"/>
  <c r="E455" i="6"/>
  <c r="C455" i="6"/>
  <c r="B455" i="6"/>
  <c r="H454" i="6"/>
  <c r="G454" i="6"/>
  <c r="F454" i="6"/>
  <c r="E454" i="6"/>
  <c r="C454" i="6"/>
  <c r="B454" i="6"/>
  <c r="H453" i="6"/>
  <c r="G453" i="6"/>
  <c r="F453" i="6"/>
  <c r="E453" i="6"/>
  <c r="C453" i="6"/>
  <c r="B453" i="6"/>
  <c r="H452" i="6"/>
  <c r="G452" i="6"/>
  <c r="F452" i="6"/>
  <c r="E452" i="6"/>
  <c r="C452" i="6"/>
  <c r="B452" i="6"/>
  <c r="H450" i="6"/>
  <c r="G450" i="6"/>
  <c r="F450" i="6"/>
  <c r="E450" i="6"/>
  <c r="C450" i="6"/>
  <c r="B450" i="6"/>
  <c r="H449" i="6"/>
  <c r="G449" i="6"/>
  <c r="F449" i="6"/>
  <c r="E449" i="6"/>
  <c r="C449" i="6"/>
  <c r="B449" i="6"/>
  <c r="H448" i="6"/>
  <c r="G448" i="6"/>
  <c r="F448" i="6"/>
  <c r="E448" i="6"/>
  <c r="C448" i="6"/>
  <c r="B448" i="6"/>
  <c r="H447" i="6"/>
  <c r="G447" i="6"/>
  <c r="F447" i="6"/>
  <c r="E447" i="6"/>
  <c r="C447" i="6"/>
  <c r="B447" i="6"/>
  <c r="H445" i="6"/>
  <c r="G445" i="6"/>
  <c r="F445" i="6"/>
  <c r="E445" i="6"/>
  <c r="C445" i="6"/>
  <c r="B445" i="6"/>
  <c r="H444" i="6"/>
  <c r="G444" i="6"/>
  <c r="F444" i="6"/>
  <c r="E444" i="6"/>
  <c r="C444" i="6"/>
  <c r="B444" i="6"/>
  <c r="H443" i="6"/>
  <c r="G443" i="6"/>
  <c r="F443" i="6"/>
  <c r="E443" i="6"/>
  <c r="C443" i="6"/>
  <c r="B443" i="6"/>
  <c r="H442" i="6"/>
  <c r="G442" i="6"/>
  <c r="F442" i="6"/>
  <c r="E442" i="6"/>
  <c r="C442" i="6"/>
  <c r="B442" i="6"/>
  <c r="H430" i="6"/>
  <c r="G430" i="6"/>
  <c r="F430" i="6"/>
  <c r="E430" i="6"/>
  <c r="C430" i="6"/>
  <c r="B430" i="6"/>
  <c r="H429" i="6"/>
  <c r="G429" i="6"/>
  <c r="F429" i="6"/>
  <c r="E429" i="6"/>
  <c r="C429" i="6"/>
  <c r="B429" i="6"/>
  <c r="H428" i="6"/>
  <c r="G428" i="6"/>
  <c r="F428" i="6"/>
  <c r="E428" i="6"/>
  <c r="C428" i="6"/>
  <c r="B428" i="6"/>
  <c r="H427" i="6"/>
  <c r="G427" i="6"/>
  <c r="F427" i="6"/>
  <c r="E427" i="6"/>
  <c r="C427" i="6"/>
  <c r="B427" i="6"/>
  <c r="H425" i="6"/>
  <c r="G425" i="6"/>
  <c r="F425" i="6"/>
  <c r="E425" i="6"/>
  <c r="C425" i="6"/>
  <c r="B425" i="6"/>
  <c r="H424" i="6"/>
  <c r="G424" i="6"/>
  <c r="F424" i="6"/>
  <c r="E424" i="6"/>
  <c r="C424" i="6"/>
  <c r="B424" i="6"/>
  <c r="H423" i="6"/>
  <c r="G423" i="6"/>
  <c r="F423" i="6"/>
  <c r="E423" i="6"/>
  <c r="C423" i="6"/>
  <c r="B423" i="6"/>
  <c r="H422" i="6"/>
  <c r="G422" i="6"/>
  <c r="F422" i="6"/>
  <c r="E422" i="6"/>
  <c r="C422" i="6"/>
  <c r="B422" i="6"/>
  <c r="H420" i="6"/>
  <c r="G420" i="6"/>
  <c r="F420" i="6"/>
  <c r="E420" i="6"/>
  <c r="C420" i="6"/>
  <c r="B420" i="6"/>
  <c r="H419" i="6"/>
  <c r="G419" i="6"/>
  <c r="F419" i="6"/>
  <c r="E419" i="6"/>
  <c r="C419" i="6"/>
  <c r="B419" i="6"/>
  <c r="H418" i="6"/>
  <c r="G418" i="6"/>
  <c r="F418" i="6"/>
  <c r="E418" i="6"/>
  <c r="C418" i="6"/>
  <c r="B418" i="6"/>
  <c r="H417" i="6"/>
  <c r="G417" i="6"/>
  <c r="F417" i="6"/>
  <c r="E417" i="6"/>
  <c r="C417" i="6"/>
  <c r="B417" i="6"/>
  <c r="H415" i="6"/>
  <c r="G415" i="6"/>
  <c r="F415" i="6"/>
  <c r="E415" i="6"/>
  <c r="C415" i="6"/>
  <c r="B415" i="6"/>
  <c r="H414" i="6"/>
  <c r="G414" i="6"/>
  <c r="F414" i="6"/>
  <c r="E414" i="6"/>
  <c r="C414" i="6"/>
  <c r="B414" i="6"/>
  <c r="H413" i="6"/>
  <c r="G413" i="6"/>
  <c r="F413" i="6"/>
  <c r="E413" i="6"/>
  <c r="C413" i="6"/>
  <c r="B413" i="6"/>
  <c r="H412" i="6"/>
  <c r="G412" i="6"/>
  <c r="F412" i="6"/>
  <c r="E412" i="6"/>
  <c r="C412" i="6"/>
  <c r="B412" i="6"/>
  <c r="H400" i="6"/>
  <c r="G400" i="6"/>
  <c r="F400" i="6"/>
  <c r="E400" i="6"/>
  <c r="C400" i="6"/>
  <c r="B400" i="6"/>
  <c r="H399" i="6"/>
  <c r="G399" i="6"/>
  <c r="F399" i="6"/>
  <c r="E399" i="6"/>
  <c r="C399" i="6"/>
  <c r="B399" i="6"/>
  <c r="H398" i="6"/>
  <c r="G398" i="6"/>
  <c r="F398" i="6"/>
  <c r="E398" i="6"/>
  <c r="C398" i="6"/>
  <c r="B398" i="6"/>
  <c r="H397" i="6"/>
  <c r="G397" i="6"/>
  <c r="F397" i="6"/>
  <c r="E397" i="6"/>
  <c r="C397" i="6"/>
  <c r="B397" i="6"/>
  <c r="H395" i="6"/>
  <c r="G395" i="6"/>
  <c r="F395" i="6"/>
  <c r="E395" i="6"/>
  <c r="C395" i="6"/>
  <c r="B395" i="6"/>
  <c r="H394" i="6"/>
  <c r="G394" i="6"/>
  <c r="F394" i="6"/>
  <c r="E394" i="6"/>
  <c r="C394" i="6"/>
  <c r="B394" i="6"/>
  <c r="H393" i="6"/>
  <c r="G393" i="6"/>
  <c r="F393" i="6"/>
  <c r="E393" i="6"/>
  <c r="C393" i="6"/>
  <c r="B393" i="6"/>
  <c r="H392" i="6"/>
  <c r="G392" i="6"/>
  <c r="F392" i="6"/>
  <c r="E392" i="6"/>
  <c r="C392" i="6"/>
  <c r="B392" i="6"/>
  <c r="H390" i="6"/>
  <c r="G390" i="6"/>
  <c r="F390" i="6"/>
  <c r="E390" i="6"/>
  <c r="C390" i="6"/>
  <c r="B390" i="6"/>
  <c r="H389" i="6"/>
  <c r="G389" i="6"/>
  <c r="F389" i="6"/>
  <c r="E389" i="6"/>
  <c r="C389" i="6"/>
  <c r="B389" i="6"/>
  <c r="H388" i="6"/>
  <c r="G388" i="6"/>
  <c r="F388" i="6"/>
  <c r="E388" i="6"/>
  <c r="C388" i="6"/>
  <c r="B388" i="6"/>
  <c r="H387" i="6"/>
  <c r="G387" i="6"/>
  <c r="F387" i="6"/>
  <c r="E387" i="6"/>
  <c r="C387" i="6"/>
  <c r="B387" i="6"/>
  <c r="H385" i="6"/>
  <c r="G385" i="6"/>
  <c r="F385" i="6"/>
  <c r="E385" i="6"/>
  <c r="C385" i="6"/>
  <c r="B385" i="6"/>
  <c r="H384" i="6"/>
  <c r="G384" i="6"/>
  <c r="F384" i="6"/>
  <c r="E384" i="6"/>
  <c r="C384" i="6"/>
  <c r="B384" i="6"/>
  <c r="H383" i="6"/>
  <c r="G383" i="6"/>
  <c r="F383" i="6"/>
  <c r="E383" i="6"/>
  <c r="C383" i="6"/>
  <c r="B383" i="6"/>
  <c r="H382" i="6"/>
  <c r="G382" i="6"/>
  <c r="F382" i="6"/>
  <c r="E382" i="6"/>
  <c r="C382" i="6"/>
  <c r="B382" i="6"/>
  <c r="H369" i="6"/>
  <c r="G369" i="6"/>
  <c r="F369" i="6"/>
  <c r="E369" i="6"/>
  <c r="C369" i="6"/>
  <c r="B369" i="6"/>
  <c r="H368" i="6"/>
  <c r="G368" i="6"/>
  <c r="F368" i="6"/>
  <c r="E368" i="6"/>
  <c r="C368" i="6"/>
  <c r="B368" i="6"/>
  <c r="H367" i="6"/>
  <c r="G367" i="6"/>
  <c r="F367" i="6"/>
  <c r="E367" i="6"/>
  <c r="C367" i="6"/>
  <c r="B367" i="6"/>
  <c r="H366" i="6"/>
  <c r="G366" i="6"/>
  <c r="F366" i="6"/>
  <c r="E366" i="6"/>
  <c r="C366" i="6"/>
  <c r="B366" i="6"/>
  <c r="H364" i="6"/>
  <c r="G364" i="6"/>
  <c r="F364" i="6"/>
  <c r="E364" i="6"/>
  <c r="C364" i="6"/>
  <c r="B364" i="6"/>
  <c r="H363" i="6"/>
  <c r="G363" i="6"/>
  <c r="F363" i="6"/>
  <c r="E363" i="6"/>
  <c r="C363" i="6"/>
  <c r="B363" i="6"/>
  <c r="H362" i="6"/>
  <c r="G362" i="6"/>
  <c r="F362" i="6"/>
  <c r="E362" i="6"/>
  <c r="C362" i="6"/>
  <c r="B362" i="6"/>
  <c r="H361" i="6"/>
  <c r="G361" i="6"/>
  <c r="F361" i="6"/>
  <c r="E361" i="6"/>
  <c r="C361" i="6"/>
  <c r="B361" i="6"/>
  <c r="H359" i="6"/>
  <c r="G359" i="6"/>
  <c r="F359" i="6"/>
  <c r="E359" i="6"/>
  <c r="C359" i="6"/>
  <c r="B359" i="6"/>
  <c r="H358" i="6"/>
  <c r="G358" i="6"/>
  <c r="F358" i="6"/>
  <c r="E358" i="6"/>
  <c r="C358" i="6"/>
  <c r="B358" i="6"/>
  <c r="H357" i="6"/>
  <c r="G357" i="6"/>
  <c r="F357" i="6"/>
  <c r="E357" i="6"/>
  <c r="C357" i="6"/>
  <c r="B357" i="6"/>
  <c r="H356" i="6"/>
  <c r="G356" i="6"/>
  <c r="F356" i="6"/>
  <c r="E356" i="6"/>
  <c r="C356" i="6"/>
  <c r="B356" i="6"/>
  <c r="H354" i="6"/>
  <c r="G354" i="6"/>
  <c r="F354" i="6"/>
  <c r="E354" i="6"/>
  <c r="C354" i="6"/>
  <c r="B354" i="6"/>
  <c r="H353" i="6"/>
  <c r="G353" i="6"/>
  <c r="F353" i="6"/>
  <c r="E353" i="6"/>
  <c r="C353" i="6"/>
  <c r="B353" i="6"/>
  <c r="H352" i="6"/>
  <c r="G352" i="6"/>
  <c r="F352" i="6"/>
  <c r="E352" i="6"/>
  <c r="C352" i="6"/>
  <c r="B352" i="6"/>
  <c r="H351" i="6"/>
  <c r="G351" i="6"/>
  <c r="F351" i="6"/>
  <c r="E351" i="6"/>
  <c r="C351" i="6"/>
  <c r="B351" i="6"/>
  <c r="H338" i="6"/>
  <c r="G338" i="6"/>
  <c r="F338" i="6"/>
  <c r="E338" i="6"/>
  <c r="C338" i="6"/>
  <c r="B338" i="6"/>
  <c r="H337" i="6"/>
  <c r="G337" i="6"/>
  <c r="F337" i="6"/>
  <c r="E337" i="6"/>
  <c r="C337" i="6"/>
  <c r="B337" i="6"/>
  <c r="H336" i="6"/>
  <c r="G336" i="6"/>
  <c r="F336" i="6"/>
  <c r="E336" i="6"/>
  <c r="C336" i="6"/>
  <c r="B336" i="6"/>
  <c r="H335" i="6"/>
  <c r="G335" i="6"/>
  <c r="F335" i="6"/>
  <c r="E335" i="6"/>
  <c r="C335" i="6"/>
  <c r="B335" i="6"/>
  <c r="H333" i="6"/>
  <c r="G333" i="6"/>
  <c r="F333" i="6"/>
  <c r="E333" i="6"/>
  <c r="C333" i="6"/>
  <c r="B333" i="6"/>
  <c r="H332" i="6"/>
  <c r="G332" i="6"/>
  <c r="F332" i="6"/>
  <c r="E332" i="6"/>
  <c r="C332" i="6"/>
  <c r="B332" i="6"/>
  <c r="H331" i="6"/>
  <c r="G331" i="6"/>
  <c r="F331" i="6"/>
  <c r="E331" i="6"/>
  <c r="C331" i="6"/>
  <c r="B331" i="6"/>
  <c r="H330" i="6"/>
  <c r="G330" i="6"/>
  <c r="F330" i="6"/>
  <c r="E330" i="6"/>
  <c r="C330" i="6"/>
  <c r="B330" i="6"/>
  <c r="H328" i="6"/>
  <c r="G328" i="6"/>
  <c r="F328" i="6"/>
  <c r="E328" i="6"/>
  <c r="C328" i="6"/>
  <c r="B328" i="6"/>
  <c r="H327" i="6"/>
  <c r="G327" i="6"/>
  <c r="F327" i="6"/>
  <c r="E327" i="6"/>
  <c r="C327" i="6"/>
  <c r="B327" i="6"/>
  <c r="H326" i="6"/>
  <c r="G326" i="6"/>
  <c r="F326" i="6"/>
  <c r="E326" i="6"/>
  <c r="C326" i="6"/>
  <c r="B326" i="6"/>
  <c r="H325" i="6"/>
  <c r="G325" i="6"/>
  <c r="F325" i="6"/>
  <c r="E325" i="6"/>
  <c r="C325" i="6"/>
  <c r="B325" i="6"/>
  <c r="H323" i="6"/>
  <c r="G323" i="6"/>
  <c r="F323" i="6"/>
  <c r="E323" i="6"/>
  <c r="C323" i="6"/>
  <c r="B323" i="6"/>
  <c r="H322" i="6"/>
  <c r="G322" i="6"/>
  <c r="F322" i="6"/>
  <c r="E322" i="6"/>
  <c r="C322" i="6"/>
  <c r="B322" i="6"/>
  <c r="H321" i="6"/>
  <c r="G321" i="6"/>
  <c r="F321" i="6"/>
  <c r="E321" i="6"/>
  <c r="C321" i="6"/>
  <c r="B321" i="6"/>
  <c r="H320" i="6"/>
  <c r="G320" i="6"/>
  <c r="F320" i="6"/>
  <c r="E320" i="6"/>
  <c r="C320" i="6"/>
  <c r="B320" i="6"/>
  <c r="H307" i="6"/>
  <c r="G307" i="6"/>
  <c r="F307" i="6"/>
  <c r="E307" i="6"/>
  <c r="C307" i="6"/>
  <c r="B307" i="6"/>
  <c r="H306" i="6"/>
  <c r="G306" i="6"/>
  <c r="F306" i="6"/>
  <c r="E306" i="6"/>
  <c r="C306" i="6"/>
  <c r="B306" i="6"/>
  <c r="H305" i="6"/>
  <c r="G305" i="6"/>
  <c r="F305" i="6"/>
  <c r="E305" i="6"/>
  <c r="C305" i="6"/>
  <c r="B305" i="6"/>
  <c r="H304" i="6"/>
  <c r="G304" i="6"/>
  <c r="F304" i="6"/>
  <c r="E304" i="6"/>
  <c r="C304" i="6"/>
  <c r="B304" i="6"/>
  <c r="H302" i="6"/>
  <c r="G302" i="6"/>
  <c r="F302" i="6"/>
  <c r="E302" i="6"/>
  <c r="C302" i="6"/>
  <c r="B302" i="6"/>
  <c r="H301" i="6"/>
  <c r="G301" i="6"/>
  <c r="F301" i="6"/>
  <c r="E301" i="6"/>
  <c r="C301" i="6"/>
  <c r="B301" i="6"/>
  <c r="H300" i="6"/>
  <c r="G300" i="6"/>
  <c r="F300" i="6"/>
  <c r="E300" i="6"/>
  <c r="C300" i="6"/>
  <c r="B300" i="6"/>
  <c r="H299" i="6"/>
  <c r="G299" i="6"/>
  <c r="F299" i="6"/>
  <c r="E299" i="6"/>
  <c r="C299" i="6"/>
  <c r="B299" i="6"/>
  <c r="H297" i="6"/>
  <c r="G297" i="6"/>
  <c r="F297" i="6"/>
  <c r="E297" i="6"/>
  <c r="C297" i="6"/>
  <c r="B297" i="6"/>
  <c r="H296" i="6"/>
  <c r="G296" i="6"/>
  <c r="F296" i="6"/>
  <c r="E296" i="6"/>
  <c r="C296" i="6"/>
  <c r="B296" i="6"/>
  <c r="H295" i="6"/>
  <c r="G295" i="6"/>
  <c r="F295" i="6"/>
  <c r="E295" i="6"/>
  <c r="C295" i="6"/>
  <c r="B295" i="6"/>
  <c r="H294" i="6"/>
  <c r="G294" i="6"/>
  <c r="F294" i="6"/>
  <c r="E294" i="6"/>
  <c r="C294" i="6"/>
  <c r="B294" i="6"/>
  <c r="H292" i="6"/>
  <c r="G292" i="6"/>
  <c r="F292" i="6"/>
  <c r="E292" i="6"/>
  <c r="C292" i="6"/>
  <c r="B292" i="6"/>
  <c r="H291" i="6"/>
  <c r="G291" i="6"/>
  <c r="F291" i="6"/>
  <c r="E291" i="6"/>
  <c r="C291" i="6"/>
  <c r="B291" i="6"/>
  <c r="H290" i="6"/>
  <c r="G290" i="6"/>
  <c r="F290" i="6"/>
  <c r="E290" i="6"/>
  <c r="C290" i="6"/>
  <c r="B290" i="6"/>
  <c r="H289" i="6"/>
  <c r="G289" i="6"/>
  <c r="F289" i="6"/>
  <c r="E289" i="6"/>
  <c r="C289" i="6"/>
  <c r="B289" i="6"/>
  <c r="H276" i="6"/>
  <c r="G276" i="6"/>
  <c r="F276" i="6"/>
  <c r="E276" i="6"/>
  <c r="C276" i="6"/>
  <c r="B276" i="6"/>
  <c r="H275" i="6"/>
  <c r="G275" i="6"/>
  <c r="F275" i="6"/>
  <c r="E275" i="6"/>
  <c r="C275" i="6"/>
  <c r="B275" i="6"/>
  <c r="H274" i="6"/>
  <c r="G274" i="6"/>
  <c r="F274" i="6"/>
  <c r="E274" i="6"/>
  <c r="C274" i="6"/>
  <c r="B274" i="6"/>
  <c r="H273" i="6"/>
  <c r="G273" i="6"/>
  <c r="F273" i="6"/>
  <c r="E273" i="6"/>
  <c r="C273" i="6"/>
  <c r="B273" i="6"/>
  <c r="H271" i="6"/>
  <c r="G271" i="6"/>
  <c r="F271" i="6"/>
  <c r="E271" i="6"/>
  <c r="C271" i="6"/>
  <c r="B271" i="6"/>
  <c r="H270" i="6"/>
  <c r="G270" i="6"/>
  <c r="F270" i="6"/>
  <c r="E270" i="6"/>
  <c r="C270" i="6"/>
  <c r="B270" i="6"/>
  <c r="H269" i="6"/>
  <c r="G269" i="6"/>
  <c r="F269" i="6"/>
  <c r="E269" i="6"/>
  <c r="C269" i="6"/>
  <c r="B269" i="6"/>
  <c r="H268" i="6"/>
  <c r="G268" i="6"/>
  <c r="F268" i="6"/>
  <c r="E268" i="6"/>
  <c r="C268" i="6"/>
  <c r="B268" i="6"/>
  <c r="H266" i="6"/>
  <c r="G266" i="6"/>
  <c r="F266" i="6"/>
  <c r="E266" i="6"/>
  <c r="C266" i="6"/>
  <c r="B266" i="6"/>
  <c r="H265" i="6"/>
  <c r="G265" i="6"/>
  <c r="F265" i="6"/>
  <c r="E265" i="6"/>
  <c r="C265" i="6"/>
  <c r="B265" i="6"/>
  <c r="H264" i="6"/>
  <c r="G264" i="6"/>
  <c r="F264" i="6"/>
  <c r="E264" i="6"/>
  <c r="C264" i="6"/>
  <c r="B264" i="6"/>
  <c r="H263" i="6"/>
  <c r="G263" i="6"/>
  <c r="F263" i="6"/>
  <c r="E263" i="6"/>
  <c r="C263" i="6"/>
  <c r="B263" i="6"/>
  <c r="H261" i="6"/>
  <c r="G261" i="6"/>
  <c r="F261" i="6"/>
  <c r="E261" i="6"/>
  <c r="C261" i="6"/>
  <c r="B261" i="6"/>
  <c r="H260" i="6"/>
  <c r="G260" i="6"/>
  <c r="F260" i="6"/>
  <c r="E260" i="6"/>
  <c r="C260" i="6"/>
  <c r="B260" i="6"/>
  <c r="H259" i="6"/>
  <c r="G259" i="6"/>
  <c r="F259" i="6"/>
  <c r="E259" i="6"/>
  <c r="C259" i="6"/>
  <c r="B259" i="6"/>
  <c r="H258" i="6"/>
  <c r="G258" i="6"/>
  <c r="F258" i="6"/>
  <c r="E258" i="6"/>
  <c r="C258" i="6"/>
  <c r="B258" i="6"/>
  <c r="H245" i="6"/>
  <c r="G245" i="6"/>
  <c r="F245" i="6"/>
  <c r="E245" i="6"/>
  <c r="C245" i="6"/>
  <c r="B245" i="6"/>
  <c r="H244" i="6"/>
  <c r="G244" i="6"/>
  <c r="F244" i="6"/>
  <c r="E244" i="6"/>
  <c r="C244" i="6"/>
  <c r="B244" i="6"/>
  <c r="H243" i="6"/>
  <c r="G243" i="6"/>
  <c r="F243" i="6"/>
  <c r="E243" i="6"/>
  <c r="C243" i="6"/>
  <c r="B243" i="6"/>
  <c r="H242" i="6"/>
  <c r="G242" i="6"/>
  <c r="F242" i="6"/>
  <c r="E242" i="6"/>
  <c r="C242" i="6"/>
  <c r="B242" i="6"/>
  <c r="H240" i="6"/>
  <c r="G240" i="6"/>
  <c r="F240" i="6"/>
  <c r="E240" i="6"/>
  <c r="C240" i="6"/>
  <c r="B240" i="6"/>
  <c r="H239" i="6"/>
  <c r="G239" i="6"/>
  <c r="F239" i="6"/>
  <c r="E239" i="6"/>
  <c r="C239" i="6"/>
  <c r="B239" i="6"/>
  <c r="H238" i="6"/>
  <c r="G238" i="6"/>
  <c r="F238" i="6"/>
  <c r="E238" i="6"/>
  <c r="C238" i="6"/>
  <c r="B238" i="6"/>
  <c r="H237" i="6"/>
  <c r="G237" i="6"/>
  <c r="F237" i="6"/>
  <c r="E237" i="6"/>
  <c r="C237" i="6"/>
  <c r="B237" i="6"/>
  <c r="H235" i="6"/>
  <c r="G235" i="6"/>
  <c r="F235" i="6"/>
  <c r="E235" i="6"/>
  <c r="C235" i="6"/>
  <c r="B235" i="6"/>
  <c r="H234" i="6"/>
  <c r="G234" i="6"/>
  <c r="F234" i="6"/>
  <c r="E234" i="6"/>
  <c r="C234" i="6"/>
  <c r="B234" i="6"/>
  <c r="H233" i="6"/>
  <c r="G233" i="6"/>
  <c r="F233" i="6"/>
  <c r="E233" i="6"/>
  <c r="C233" i="6"/>
  <c r="B233" i="6"/>
  <c r="H232" i="6"/>
  <c r="G232" i="6"/>
  <c r="F232" i="6"/>
  <c r="E232" i="6"/>
  <c r="C232" i="6"/>
  <c r="B232" i="6"/>
  <c r="H230" i="6"/>
  <c r="G230" i="6"/>
  <c r="F230" i="6"/>
  <c r="E230" i="6"/>
  <c r="C230" i="6"/>
  <c r="B230" i="6"/>
  <c r="H229" i="6"/>
  <c r="G229" i="6"/>
  <c r="F229" i="6"/>
  <c r="E229" i="6"/>
  <c r="C229" i="6"/>
  <c r="B229" i="6"/>
  <c r="H228" i="6"/>
  <c r="G228" i="6"/>
  <c r="F228" i="6"/>
  <c r="E228" i="6"/>
  <c r="C228" i="6"/>
  <c r="B228" i="6"/>
  <c r="H227" i="6"/>
  <c r="G227" i="6"/>
  <c r="F227" i="6"/>
  <c r="E227" i="6"/>
  <c r="C227" i="6"/>
  <c r="B227" i="6"/>
  <c r="P214" i="6"/>
  <c r="O214" i="6"/>
  <c r="N214" i="6"/>
  <c r="M214" i="6"/>
  <c r="K214" i="6"/>
  <c r="J214" i="6"/>
  <c r="H214" i="6"/>
  <c r="G214" i="6"/>
  <c r="F214" i="6"/>
  <c r="E214" i="6"/>
  <c r="C214" i="6"/>
  <c r="B214" i="6"/>
  <c r="P213" i="6"/>
  <c r="O213" i="6"/>
  <c r="N213" i="6"/>
  <c r="M213" i="6"/>
  <c r="K213" i="6"/>
  <c r="J213" i="6"/>
  <c r="H213" i="6"/>
  <c r="G213" i="6"/>
  <c r="F213" i="6"/>
  <c r="E213" i="6"/>
  <c r="C213" i="6"/>
  <c r="B213" i="6"/>
  <c r="P212" i="6"/>
  <c r="O212" i="6"/>
  <c r="N212" i="6"/>
  <c r="M212" i="6"/>
  <c r="K212" i="6"/>
  <c r="J212" i="6"/>
  <c r="H212" i="6"/>
  <c r="G212" i="6"/>
  <c r="F212" i="6"/>
  <c r="E212" i="6"/>
  <c r="C212" i="6"/>
  <c r="B212" i="6"/>
  <c r="P211" i="6"/>
  <c r="O211" i="6"/>
  <c r="N211" i="6"/>
  <c r="M211" i="6"/>
  <c r="K211" i="6"/>
  <c r="J211" i="6"/>
  <c r="H211" i="6"/>
  <c r="G211" i="6"/>
  <c r="F211" i="6"/>
  <c r="E211" i="6"/>
  <c r="C211" i="6"/>
  <c r="B211" i="6"/>
  <c r="P209" i="6"/>
  <c r="O209" i="6"/>
  <c r="N209" i="6"/>
  <c r="M209" i="6"/>
  <c r="K209" i="6"/>
  <c r="J209" i="6"/>
  <c r="H209" i="6"/>
  <c r="G209" i="6"/>
  <c r="F209" i="6"/>
  <c r="E209" i="6"/>
  <c r="C209" i="6"/>
  <c r="B209" i="6"/>
  <c r="P208" i="6"/>
  <c r="O208" i="6"/>
  <c r="N208" i="6"/>
  <c r="M208" i="6"/>
  <c r="K208" i="6"/>
  <c r="J208" i="6"/>
  <c r="H208" i="6"/>
  <c r="G208" i="6"/>
  <c r="F208" i="6"/>
  <c r="E208" i="6"/>
  <c r="C208" i="6"/>
  <c r="B208" i="6"/>
  <c r="P207" i="6"/>
  <c r="O207" i="6"/>
  <c r="N207" i="6"/>
  <c r="M207" i="6"/>
  <c r="K207" i="6"/>
  <c r="J207" i="6"/>
  <c r="H207" i="6"/>
  <c r="G207" i="6"/>
  <c r="F207" i="6"/>
  <c r="E207" i="6"/>
  <c r="C207" i="6"/>
  <c r="B207" i="6"/>
  <c r="P206" i="6"/>
  <c r="O206" i="6"/>
  <c r="N206" i="6"/>
  <c r="M206" i="6"/>
  <c r="K206" i="6"/>
  <c r="J206" i="6"/>
  <c r="H206" i="6"/>
  <c r="G206" i="6"/>
  <c r="F206" i="6"/>
  <c r="E206" i="6"/>
  <c r="C206" i="6"/>
  <c r="B206" i="6"/>
  <c r="P204" i="6"/>
  <c r="O204" i="6"/>
  <c r="N204" i="6"/>
  <c r="M204" i="6"/>
  <c r="K204" i="6"/>
  <c r="J204" i="6"/>
  <c r="H204" i="6"/>
  <c r="G204" i="6"/>
  <c r="F204" i="6"/>
  <c r="E204" i="6"/>
  <c r="C204" i="6"/>
  <c r="B204" i="6"/>
  <c r="P203" i="6"/>
  <c r="O203" i="6"/>
  <c r="N203" i="6"/>
  <c r="M203" i="6"/>
  <c r="K203" i="6"/>
  <c r="J203" i="6"/>
  <c r="H203" i="6"/>
  <c r="G203" i="6"/>
  <c r="F203" i="6"/>
  <c r="E203" i="6"/>
  <c r="C203" i="6"/>
  <c r="B203" i="6"/>
  <c r="P202" i="6"/>
  <c r="O202" i="6"/>
  <c r="N202" i="6"/>
  <c r="M202" i="6"/>
  <c r="K202" i="6"/>
  <c r="J202" i="6"/>
  <c r="H202" i="6"/>
  <c r="G202" i="6"/>
  <c r="F202" i="6"/>
  <c r="E202" i="6"/>
  <c r="C202" i="6"/>
  <c r="B202" i="6"/>
  <c r="P201" i="6"/>
  <c r="O201" i="6"/>
  <c r="N201" i="6"/>
  <c r="M201" i="6"/>
  <c r="K201" i="6"/>
  <c r="J201" i="6"/>
  <c r="H201" i="6"/>
  <c r="G201" i="6"/>
  <c r="F201" i="6"/>
  <c r="E201" i="6"/>
  <c r="C201" i="6"/>
  <c r="B201" i="6"/>
  <c r="P199" i="6"/>
  <c r="O199" i="6"/>
  <c r="N199" i="6"/>
  <c r="M199" i="6"/>
  <c r="K199" i="6"/>
  <c r="J199" i="6"/>
  <c r="H199" i="6"/>
  <c r="G199" i="6"/>
  <c r="F199" i="6"/>
  <c r="E199" i="6"/>
  <c r="C199" i="6"/>
  <c r="B199" i="6"/>
  <c r="P198" i="6"/>
  <c r="O198" i="6"/>
  <c r="N198" i="6"/>
  <c r="M198" i="6"/>
  <c r="K198" i="6"/>
  <c r="J198" i="6"/>
  <c r="H198" i="6"/>
  <c r="G198" i="6"/>
  <c r="F198" i="6"/>
  <c r="E198" i="6"/>
  <c r="C198" i="6"/>
  <c r="B198" i="6"/>
  <c r="P197" i="6"/>
  <c r="O197" i="6"/>
  <c r="N197" i="6"/>
  <c r="M197" i="6"/>
  <c r="K197" i="6"/>
  <c r="J197" i="6"/>
  <c r="H197" i="6"/>
  <c r="G197" i="6"/>
  <c r="F197" i="6"/>
  <c r="E197" i="6"/>
  <c r="C197" i="6"/>
  <c r="B197" i="6"/>
  <c r="P196" i="6"/>
  <c r="O196" i="6"/>
  <c r="N196" i="6"/>
  <c r="M196" i="6"/>
  <c r="K196" i="6"/>
  <c r="J196" i="6"/>
  <c r="H196" i="6"/>
  <c r="G196" i="6"/>
  <c r="F196" i="6"/>
  <c r="E196" i="6"/>
  <c r="C196" i="6"/>
  <c r="B196" i="6"/>
  <c r="P183" i="6"/>
  <c r="O183" i="6"/>
  <c r="N183" i="6"/>
  <c r="M183" i="6"/>
  <c r="K183" i="6"/>
  <c r="J183" i="6"/>
  <c r="H183" i="6"/>
  <c r="G183" i="6"/>
  <c r="F183" i="6"/>
  <c r="E183" i="6"/>
  <c r="C183" i="6"/>
  <c r="B183" i="6"/>
  <c r="P182" i="6"/>
  <c r="O182" i="6"/>
  <c r="N182" i="6"/>
  <c r="M182" i="6"/>
  <c r="K182" i="6"/>
  <c r="J182" i="6"/>
  <c r="H182" i="6"/>
  <c r="G182" i="6"/>
  <c r="F182" i="6"/>
  <c r="E182" i="6"/>
  <c r="C182" i="6"/>
  <c r="B182" i="6"/>
  <c r="P181" i="6"/>
  <c r="O181" i="6"/>
  <c r="N181" i="6"/>
  <c r="M181" i="6"/>
  <c r="K181" i="6"/>
  <c r="J181" i="6"/>
  <c r="H181" i="6"/>
  <c r="G181" i="6"/>
  <c r="F181" i="6"/>
  <c r="E181" i="6"/>
  <c r="C181" i="6"/>
  <c r="B181" i="6"/>
  <c r="P180" i="6"/>
  <c r="O180" i="6"/>
  <c r="N180" i="6"/>
  <c r="M180" i="6"/>
  <c r="K180" i="6"/>
  <c r="J180" i="6"/>
  <c r="H180" i="6"/>
  <c r="G180" i="6"/>
  <c r="F180" i="6"/>
  <c r="E180" i="6"/>
  <c r="C180" i="6"/>
  <c r="B180" i="6"/>
  <c r="P178" i="6"/>
  <c r="O178" i="6"/>
  <c r="N178" i="6"/>
  <c r="M178" i="6"/>
  <c r="K178" i="6"/>
  <c r="J178" i="6"/>
  <c r="H178" i="6"/>
  <c r="G178" i="6"/>
  <c r="F178" i="6"/>
  <c r="E178" i="6"/>
  <c r="C178" i="6"/>
  <c r="B178" i="6"/>
  <c r="P177" i="6"/>
  <c r="O177" i="6"/>
  <c r="N177" i="6"/>
  <c r="M177" i="6"/>
  <c r="K177" i="6"/>
  <c r="J177" i="6"/>
  <c r="H177" i="6"/>
  <c r="G177" i="6"/>
  <c r="F177" i="6"/>
  <c r="E177" i="6"/>
  <c r="C177" i="6"/>
  <c r="B177" i="6"/>
  <c r="P176" i="6"/>
  <c r="O176" i="6"/>
  <c r="N176" i="6"/>
  <c r="M176" i="6"/>
  <c r="K176" i="6"/>
  <c r="J176" i="6"/>
  <c r="H176" i="6"/>
  <c r="G176" i="6"/>
  <c r="F176" i="6"/>
  <c r="E176" i="6"/>
  <c r="C176" i="6"/>
  <c r="B176" i="6"/>
  <c r="P175" i="6"/>
  <c r="O175" i="6"/>
  <c r="N175" i="6"/>
  <c r="M175" i="6"/>
  <c r="K175" i="6"/>
  <c r="J175" i="6"/>
  <c r="H175" i="6"/>
  <c r="G175" i="6"/>
  <c r="F175" i="6"/>
  <c r="E175" i="6"/>
  <c r="C175" i="6"/>
  <c r="B175" i="6"/>
  <c r="P173" i="6"/>
  <c r="O173" i="6"/>
  <c r="N173" i="6"/>
  <c r="M173" i="6"/>
  <c r="K173" i="6"/>
  <c r="J173" i="6"/>
  <c r="H173" i="6"/>
  <c r="G173" i="6"/>
  <c r="F173" i="6"/>
  <c r="E173" i="6"/>
  <c r="C173" i="6"/>
  <c r="B173" i="6"/>
  <c r="P172" i="6"/>
  <c r="O172" i="6"/>
  <c r="N172" i="6"/>
  <c r="M172" i="6"/>
  <c r="K172" i="6"/>
  <c r="J172" i="6"/>
  <c r="H172" i="6"/>
  <c r="G172" i="6"/>
  <c r="F172" i="6"/>
  <c r="E172" i="6"/>
  <c r="C172" i="6"/>
  <c r="B172" i="6"/>
  <c r="P171" i="6"/>
  <c r="O171" i="6"/>
  <c r="N171" i="6"/>
  <c r="M171" i="6"/>
  <c r="K171" i="6"/>
  <c r="J171" i="6"/>
  <c r="H171" i="6"/>
  <c r="G171" i="6"/>
  <c r="F171" i="6"/>
  <c r="E171" i="6"/>
  <c r="C171" i="6"/>
  <c r="B171" i="6"/>
  <c r="P170" i="6"/>
  <c r="O170" i="6"/>
  <c r="N170" i="6"/>
  <c r="M170" i="6"/>
  <c r="K170" i="6"/>
  <c r="J170" i="6"/>
  <c r="H170" i="6"/>
  <c r="G170" i="6"/>
  <c r="F170" i="6"/>
  <c r="E170" i="6"/>
  <c r="C170" i="6"/>
  <c r="B170" i="6"/>
  <c r="P168" i="6"/>
  <c r="O168" i="6"/>
  <c r="N168" i="6"/>
  <c r="M168" i="6"/>
  <c r="K168" i="6"/>
  <c r="J168" i="6"/>
  <c r="H168" i="6"/>
  <c r="G168" i="6"/>
  <c r="F168" i="6"/>
  <c r="E168" i="6"/>
  <c r="C168" i="6"/>
  <c r="B168" i="6"/>
  <c r="P167" i="6"/>
  <c r="O167" i="6"/>
  <c r="N167" i="6"/>
  <c r="M167" i="6"/>
  <c r="K167" i="6"/>
  <c r="J167" i="6"/>
  <c r="H167" i="6"/>
  <c r="G167" i="6"/>
  <c r="F167" i="6"/>
  <c r="E167" i="6"/>
  <c r="C167" i="6"/>
  <c r="B167" i="6"/>
  <c r="P166" i="6"/>
  <c r="O166" i="6"/>
  <c r="N166" i="6"/>
  <c r="M166" i="6"/>
  <c r="K166" i="6"/>
  <c r="J166" i="6"/>
  <c r="H166" i="6"/>
  <c r="G166" i="6"/>
  <c r="F166" i="6"/>
  <c r="E166" i="6"/>
  <c r="C166" i="6"/>
  <c r="B166" i="6"/>
  <c r="P165" i="6"/>
  <c r="O165" i="6"/>
  <c r="N165" i="6"/>
  <c r="M165" i="6"/>
  <c r="K165" i="6"/>
  <c r="J165" i="6"/>
  <c r="H165" i="6"/>
  <c r="G165" i="6"/>
  <c r="F165" i="6"/>
  <c r="E165" i="6"/>
  <c r="C165" i="6"/>
  <c r="B165" i="6"/>
  <c r="P152" i="6"/>
  <c r="O152" i="6"/>
  <c r="N152" i="6"/>
  <c r="M152" i="6"/>
  <c r="K152" i="6"/>
  <c r="J152" i="6"/>
  <c r="H152" i="6"/>
  <c r="G152" i="6"/>
  <c r="F152" i="6"/>
  <c r="E152" i="6"/>
  <c r="C152" i="6"/>
  <c r="B152" i="6"/>
  <c r="P151" i="6"/>
  <c r="O151" i="6"/>
  <c r="N151" i="6"/>
  <c r="M151" i="6"/>
  <c r="K151" i="6"/>
  <c r="J151" i="6"/>
  <c r="H151" i="6"/>
  <c r="G151" i="6"/>
  <c r="F151" i="6"/>
  <c r="E151" i="6"/>
  <c r="C151" i="6"/>
  <c r="B151" i="6"/>
  <c r="P150" i="6"/>
  <c r="O150" i="6"/>
  <c r="N150" i="6"/>
  <c r="M150" i="6"/>
  <c r="K150" i="6"/>
  <c r="J150" i="6"/>
  <c r="H150" i="6"/>
  <c r="G150" i="6"/>
  <c r="F150" i="6"/>
  <c r="E150" i="6"/>
  <c r="C150" i="6"/>
  <c r="B150" i="6"/>
  <c r="P149" i="6"/>
  <c r="O149" i="6"/>
  <c r="N149" i="6"/>
  <c r="M149" i="6"/>
  <c r="K149" i="6"/>
  <c r="J149" i="6"/>
  <c r="H149" i="6"/>
  <c r="G149" i="6"/>
  <c r="F149" i="6"/>
  <c r="E149" i="6"/>
  <c r="C149" i="6"/>
  <c r="B149" i="6"/>
  <c r="P147" i="6"/>
  <c r="O147" i="6"/>
  <c r="N147" i="6"/>
  <c r="M147" i="6"/>
  <c r="K147" i="6"/>
  <c r="J147" i="6"/>
  <c r="H147" i="6"/>
  <c r="G147" i="6"/>
  <c r="F147" i="6"/>
  <c r="E147" i="6"/>
  <c r="C147" i="6"/>
  <c r="B147" i="6"/>
  <c r="P146" i="6"/>
  <c r="O146" i="6"/>
  <c r="N146" i="6"/>
  <c r="M146" i="6"/>
  <c r="K146" i="6"/>
  <c r="J146" i="6"/>
  <c r="H146" i="6"/>
  <c r="G146" i="6"/>
  <c r="F146" i="6"/>
  <c r="E146" i="6"/>
  <c r="C146" i="6"/>
  <c r="B146" i="6"/>
  <c r="P145" i="6"/>
  <c r="O145" i="6"/>
  <c r="N145" i="6"/>
  <c r="M145" i="6"/>
  <c r="K145" i="6"/>
  <c r="J145" i="6"/>
  <c r="H145" i="6"/>
  <c r="G145" i="6"/>
  <c r="F145" i="6"/>
  <c r="E145" i="6"/>
  <c r="C145" i="6"/>
  <c r="B145" i="6"/>
  <c r="P144" i="6"/>
  <c r="O144" i="6"/>
  <c r="N144" i="6"/>
  <c r="M144" i="6"/>
  <c r="K144" i="6"/>
  <c r="J144" i="6"/>
  <c r="H144" i="6"/>
  <c r="G144" i="6"/>
  <c r="F144" i="6"/>
  <c r="E144" i="6"/>
  <c r="C144" i="6"/>
  <c r="B144" i="6"/>
  <c r="P142" i="6"/>
  <c r="O142" i="6"/>
  <c r="N142" i="6"/>
  <c r="M142" i="6"/>
  <c r="K142" i="6"/>
  <c r="J142" i="6"/>
  <c r="H142" i="6"/>
  <c r="G142" i="6"/>
  <c r="F142" i="6"/>
  <c r="E142" i="6"/>
  <c r="C142" i="6"/>
  <c r="B142" i="6"/>
  <c r="P141" i="6"/>
  <c r="O141" i="6"/>
  <c r="N141" i="6"/>
  <c r="M141" i="6"/>
  <c r="K141" i="6"/>
  <c r="J141" i="6"/>
  <c r="H141" i="6"/>
  <c r="G141" i="6"/>
  <c r="F141" i="6"/>
  <c r="E141" i="6"/>
  <c r="C141" i="6"/>
  <c r="B141" i="6"/>
  <c r="P140" i="6"/>
  <c r="O140" i="6"/>
  <c r="N140" i="6"/>
  <c r="M140" i="6"/>
  <c r="K140" i="6"/>
  <c r="J140" i="6"/>
  <c r="H140" i="6"/>
  <c r="G140" i="6"/>
  <c r="F140" i="6"/>
  <c r="E140" i="6"/>
  <c r="C140" i="6"/>
  <c r="B140" i="6"/>
  <c r="P139" i="6"/>
  <c r="O139" i="6"/>
  <c r="N139" i="6"/>
  <c r="M139" i="6"/>
  <c r="K139" i="6"/>
  <c r="J139" i="6"/>
  <c r="H139" i="6"/>
  <c r="G139" i="6"/>
  <c r="F139" i="6"/>
  <c r="E139" i="6"/>
  <c r="C139" i="6"/>
  <c r="B139" i="6"/>
  <c r="P137" i="6"/>
  <c r="O137" i="6"/>
  <c r="N137" i="6"/>
  <c r="M137" i="6"/>
  <c r="K137" i="6"/>
  <c r="J137" i="6"/>
  <c r="H137" i="6"/>
  <c r="G137" i="6"/>
  <c r="F137" i="6"/>
  <c r="E137" i="6"/>
  <c r="C137" i="6"/>
  <c r="B137" i="6"/>
  <c r="P136" i="6"/>
  <c r="O136" i="6"/>
  <c r="N136" i="6"/>
  <c r="M136" i="6"/>
  <c r="K136" i="6"/>
  <c r="J136" i="6"/>
  <c r="H136" i="6"/>
  <c r="G136" i="6"/>
  <c r="F136" i="6"/>
  <c r="E136" i="6"/>
  <c r="C136" i="6"/>
  <c r="B136" i="6"/>
  <c r="P135" i="6"/>
  <c r="O135" i="6"/>
  <c r="N135" i="6"/>
  <c r="M135" i="6"/>
  <c r="K135" i="6"/>
  <c r="J135" i="6"/>
  <c r="H135" i="6"/>
  <c r="G135" i="6"/>
  <c r="F135" i="6"/>
  <c r="E135" i="6"/>
  <c r="C135" i="6"/>
  <c r="B135" i="6"/>
  <c r="P134" i="6"/>
  <c r="O134" i="6"/>
  <c r="N134" i="6"/>
  <c r="M134" i="6"/>
  <c r="K134" i="6"/>
  <c r="J134" i="6"/>
  <c r="H134" i="6"/>
  <c r="G134" i="6"/>
  <c r="F134" i="6"/>
  <c r="E134" i="6"/>
  <c r="C134" i="6"/>
  <c r="B134" i="6"/>
  <c r="P121" i="6"/>
  <c r="O121" i="6"/>
  <c r="N121" i="6"/>
  <c r="M121" i="6"/>
  <c r="K121" i="6"/>
  <c r="J121" i="6"/>
  <c r="H121" i="6"/>
  <c r="G121" i="6"/>
  <c r="F121" i="6"/>
  <c r="E121" i="6"/>
  <c r="C121" i="6"/>
  <c r="B121" i="6"/>
  <c r="P120" i="6"/>
  <c r="O120" i="6"/>
  <c r="N120" i="6"/>
  <c r="M120" i="6"/>
  <c r="K120" i="6"/>
  <c r="J120" i="6"/>
  <c r="H120" i="6"/>
  <c r="G120" i="6"/>
  <c r="F120" i="6"/>
  <c r="E120" i="6"/>
  <c r="C120" i="6"/>
  <c r="B120" i="6"/>
  <c r="P119" i="6"/>
  <c r="O119" i="6"/>
  <c r="N119" i="6"/>
  <c r="M119" i="6"/>
  <c r="K119" i="6"/>
  <c r="J119" i="6"/>
  <c r="H119" i="6"/>
  <c r="G119" i="6"/>
  <c r="F119" i="6"/>
  <c r="E119" i="6"/>
  <c r="C119" i="6"/>
  <c r="B119" i="6"/>
  <c r="P118" i="6"/>
  <c r="O118" i="6"/>
  <c r="N118" i="6"/>
  <c r="M118" i="6"/>
  <c r="K118" i="6"/>
  <c r="J118" i="6"/>
  <c r="H118" i="6"/>
  <c r="G118" i="6"/>
  <c r="F118" i="6"/>
  <c r="E118" i="6"/>
  <c r="C118" i="6"/>
  <c r="B118" i="6"/>
  <c r="P116" i="6"/>
  <c r="O116" i="6"/>
  <c r="N116" i="6"/>
  <c r="M116" i="6"/>
  <c r="K116" i="6"/>
  <c r="J116" i="6"/>
  <c r="H116" i="6"/>
  <c r="G116" i="6"/>
  <c r="F116" i="6"/>
  <c r="E116" i="6"/>
  <c r="C116" i="6"/>
  <c r="B116" i="6"/>
  <c r="P115" i="6"/>
  <c r="O115" i="6"/>
  <c r="N115" i="6"/>
  <c r="M115" i="6"/>
  <c r="K115" i="6"/>
  <c r="J115" i="6"/>
  <c r="H115" i="6"/>
  <c r="G115" i="6"/>
  <c r="F115" i="6"/>
  <c r="E115" i="6"/>
  <c r="C115" i="6"/>
  <c r="B115" i="6"/>
  <c r="P114" i="6"/>
  <c r="O114" i="6"/>
  <c r="N114" i="6"/>
  <c r="M114" i="6"/>
  <c r="K114" i="6"/>
  <c r="J114" i="6"/>
  <c r="H114" i="6"/>
  <c r="G114" i="6"/>
  <c r="F114" i="6"/>
  <c r="E114" i="6"/>
  <c r="C114" i="6"/>
  <c r="B114" i="6"/>
  <c r="P113" i="6"/>
  <c r="O113" i="6"/>
  <c r="N113" i="6"/>
  <c r="M113" i="6"/>
  <c r="K113" i="6"/>
  <c r="J113" i="6"/>
  <c r="H113" i="6"/>
  <c r="G113" i="6"/>
  <c r="F113" i="6"/>
  <c r="E113" i="6"/>
  <c r="C113" i="6"/>
  <c r="B113" i="6"/>
  <c r="P111" i="6"/>
  <c r="O111" i="6"/>
  <c r="N111" i="6"/>
  <c r="M111" i="6"/>
  <c r="K111" i="6"/>
  <c r="J111" i="6"/>
  <c r="H111" i="6"/>
  <c r="G111" i="6"/>
  <c r="F111" i="6"/>
  <c r="E111" i="6"/>
  <c r="C111" i="6"/>
  <c r="B111" i="6"/>
  <c r="P110" i="6"/>
  <c r="O110" i="6"/>
  <c r="N110" i="6"/>
  <c r="M110" i="6"/>
  <c r="K110" i="6"/>
  <c r="J110" i="6"/>
  <c r="H110" i="6"/>
  <c r="G110" i="6"/>
  <c r="F110" i="6"/>
  <c r="E110" i="6"/>
  <c r="C110" i="6"/>
  <c r="B110" i="6"/>
  <c r="P109" i="6"/>
  <c r="O109" i="6"/>
  <c r="N109" i="6"/>
  <c r="M109" i="6"/>
  <c r="K109" i="6"/>
  <c r="J109" i="6"/>
  <c r="H109" i="6"/>
  <c r="G109" i="6"/>
  <c r="F109" i="6"/>
  <c r="E109" i="6"/>
  <c r="C109" i="6"/>
  <c r="B109" i="6"/>
  <c r="P108" i="6"/>
  <c r="O108" i="6"/>
  <c r="N108" i="6"/>
  <c r="M108" i="6"/>
  <c r="K108" i="6"/>
  <c r="J108" i="6"/>
  <c r="H108" i="6"/>
  <c r="G108" i="6"/>
  <c r="F108" i="6"/>
  <c r="E108" i="6"/>
  <c r="C108" i="6"/>
  <c r="B108" i="6"/>
  <c r="P106" i="6"/>
  <c r="O106" i="6"/>
  <c r="N106" i="6"/>
  <c r="M106" i="6"/>
  <c r="K106" i="6"/>
  <c r="J106" i="6"/>
  <c r="H106" i="6"/>
  <c r="G106" i="6"/>
  <c r="F106" i="6"/>
  <c r="E106" i="6"/>
  <c r="C106" i="6"/>
  <c r="B106" i="6"/>
  <c r="P105" i="6"/>
  <c r="O105" i="6"/>
  <c r="N105" i="6"/>
  <c r="M105" i="6"/>
  <c r="K105" i="6"/>
  <c r="J105" i="6"/>
  <c r="H105" i="6"/>
  <c r="G105" i="6"/>
  <c r="F105" i="6"/>
  <c r="E105" i="6"/>
  <c r="C105" i="6"/>
  <c r="B105" i="6"/>
  <c r="P104" i="6"/>
  <c r="O104" i="6"/>
  <c r="N104" i="6"/>
  <c r="M104" i="6"/>
  <c r="K104" i="6"/>
  <c r="J104" i="6"/>
  <c r="H104" i="6"/>
  <c r="G104" i="6"/>
  <c r="F104" i="6"/>
  <c r="E104" i="6"/>
  <c r="C104" i="6"/>
  <c r="B104" i="6"/>
  <c r="P103" i="6"/>
  <c r="O103" i="6"/>
  <c r="N103" i="6"/>
  <c r="M103" i="6"/>
  <c r="K103" i="6"/>
  <c r="J103" i="6"/>
  <c r="H103" i="6"/>
  <c r="G103" i="6"/>
  <c r="F103" i="6"/>
  <c r="E103" i="6"/>
  <c r="C103" i="6"/>
  <c r="B103" i="6"/>
  <c r="P90" i="6"/>
  <c r="O90" i="6"/>
  <c r="N90" i="6"/>
  <c r="M90" i="6"/>
  <c r="K90" i="6"/>
  <c r="J90" i="6"/>
  <c r="H90" i="6"/>
  <c r="G90" i="6"/>
  <c r="F90" i="6"/>
  <c r="E90" i="6"/>
  <c r="C90" i="6"/>
  <c r="B90" i="6"/>
  <c r="P89" i="6"/>
  <c r="O89" i="6"/>
  <c r="N89" i="6"/>
  <c r="M89" i="6"/>
  <c r="K89" i="6"/>
  <c r="J89" i="6"/>
  <c r="H89" i="6"/>
  <c r="G89" i="6"/>
  <c r="F89" i="6"/>
  <c r="E89" i="6"/>
  <c r="C89" i="6"/>
  <c r="B89" i="6"/>
  <c r="P88" i="6"/>
  <c r="O88" i="6"/>
  <c r="N88" i="6"/>
  <c r="M88" i="6"/>
  <c r="K88" i="6"/>
  <c r="J88" i="6"/>
  <c r="H88" i="6"/>
  <c r="G88" i="6"/>
  <c r="F88" i="6"/>
  <c r="E88" i="6"/>
  <c r="C88" i="6"/>
  <c r="B88" i="6"/>
  <c r="P87" i="6"/>
  <c r="O87" i="6"/>
  <c r="N87" i="6"/>
  <c r="M87" i="6"/>
  <c r="K87" i="6"/>
  <c r="J87" i="6"/>
  <c r="H87" i="6"/>
  <c r="G87" i="6"/>
  <c r="F87" i="6"/>
  <c r="E87" i="6"/>
  <c r="C87" i="6"/>
  <c r="B87" i="6"/>
  <c r="P85" i="6"/>
  <c r="O85" i="6"/>
  <c r="N85" i="6"/>
  <c r="M85" i="6"/>
  <c r="K85" i="6"/>
  <c r="J85" i="6"/>
  <c r="H85" i="6"/>
  <c r="G85" i="6"/>
  <c r="F85" i="6"/>
  <c r="E85" i="6"/>
  <c r="C85" i="6"/>
  <c r="B85" i="6"/>
  <c r="P84" i="6"/>
  <c r="O84" i="6"/>
  <c r="N84" i="6"/>
  <c r="M84" i="6"/>
  <c r="K84" i="6"/>
  <c r="J84" i="6"/>
  <c r="H84" i="6"/>
  <c r="G84" i="6"/>
  <c r="F84" i="6"/>
  <c r="E84" i="6"/>
  <c r="C84" i="6"/>
  <c r="B84" i="6"/>
  <c r="P83" i="6"/>
  <c r="O83" i="6"/>
  <c r="N83" i="6"/>
  <c r="M83" i="6"/>
  <c r="K83" i="6"/>
  <c r="J83" i="6"/>
  <c r="H83" i="6"/>
  <c r="G83" i="6"/>
  <c r="F83" i="6"/>
  <c r="E83" i="6"/>
  <c r="C83" i="6"/>
  <c r="B83" i="6"/>
  <c r="P82" i="6"/>
  <c r="O82" i="6"/>
  <c r="N82" i="6"/>
  <c r="M82" i="6"/>
  <c r="K82" i="6"/>
  <c r="J82" i="6"/>
  <c r="H82" i="6"/>
  <c r="G82" i="6"/>
  <c r="F82" i="6"/>
  <c r="E82" i="6"/>
  <c r="C82" i="6"/>
  <c r="B82" i="6"/>
  <c r="P80" i="6"/>
  <c r="O80" i="6"/>
  <c r="N80" i="6"/>
  <c r="M80" i="6"/>
  <c r="K80" i="6"/>
  <c r="J80" i="6"/>
  <c r="H80" i="6"/>
  <c r="G80" i="6"/>
  <c r="F80" i="6"/>
  <c r="E80" i="6"/>
  <c r="C80" i="6"/>
  <c r="B80" i="6"/>
  <c r="P79" i="6"/>
  <c r="O79" i="6"/>
  <c r="N79" i="6"/>
  <c r="M79" i="6"/>
  <c r="K79" i="6"/>
  <c r="J79" i="6"/>
  <c r="H79" i="6"/>
  <c r="G79" i="6"/>
  <c r="F79" i="6"/>
  <c r="E79" i="6"/>
  <c r="C79" i="6"/>
  <c r="B79" i="6"/>
  <c r="P78" i="6"/>
  <c r="O78" i="6"/>
  <c r="N78" i="6"/>
  <c r="M78" i="6"/>
  <c r="K78" i="6"/>
  <c r="J78" i="6"/>
  <c r="H78" i="6"/>
  <c r="G78" i="6"/>
  <c r="F78" i="6"/>
  <c r="E78" i="6"/>
  <c r="C78" i="6"/>
  <c r="B78" i="6"/>
  <c r="P77" i="6"/>
  <c r="O77" i="6"/>
  <c r="N77" i="6"/>
  <c r="M77" i="6"/>
  <c r="K77" i="6"/>
  <c r="J77" i="6"/>
  <c r="H77" i="6"/>
  <c r="G77" i="6"/>
  <c r="F77" i="6"/>
  <c r="E77" i="6"/>
  <c r="C77" i="6"/>
  <c r="B77" i="6"/>
  <c r="P75" i="6"/>
  <c r="O75" i="6"/>
  <c r="N75" i="6"/>
  <c r="M75" i="6"/>
  <c r="K75" i="6"/>
  <c r="J75" i="6"/>
  <c r="H75" i="6"/>
  <c r="G75" i="6"/>
  <c r="F75" i="6"/>
  <c r="E75" i="6"/>
  <c r="C75" i="6"/>
  <c r="B75" i="6"/>
  <c r="P74" i="6"/>
  <c r="O74" i="6"/>
  <c r="N74" i="6"/>
  <c r="M74" i="6"/>
  <c r="K74" i="6"/>
  <c r="J74" i="6"/>
  <c r="H74" i="6"/>
  <c r="G74" i="6"/>
  <c r="F74" i="6"/>
  <c r="E74" i="6"/>
  <c r="C74" i="6"/>
  <c r="B74" i="6"/>
  <c r="P73" i="6"/>
  <c r="O73" i="6"/>
  <c r="N73" i="6"/>
  <c r="M73" i="6"/>
  <c r="K73" i="6"/>
  <c r="J73" i="6"/>
  <c r="H73" i="6"/>
  <c r="G73" i="6"/>
  <c r="F73" i="6"/>
  <c r="E73" i="6"/>
  <c r="C73" i="6"/>
  <c r="B73" i="6"/>
  <c r="P72" i="6"/>
  <c r="O72" i="6"/>
  <c r="N72" i="6"/>
  <c r="M72" i="6"/>
  <c r="K72" i="6"/>
  <c r="J72" i="6"/>
  <c r="H72" i="6"/>
  <c r="G72" i="6"/>
  <c r="F72" i="6"/>
  <c r="E72" i="6"/>
  <c r="C72" i="6"/>
  <c r="B72" i="6"/>
  <c r="P27" i="6"/>
  <c r="O27" i="6"/>
  <c r="N27" i="6"/>
  <c r="M27" i="6"/>
  <c r="K27" i="6"/>
  <c r="J27" i="6"/>
  <c r="H27" i="6"/>
  <c r="G27" i="6"/>
  <c r="F27" i="6"/>
  <c r="E27" i="6"/>
  <c r="C27" i="6"/>
  <c r="B27" i="6"/>
  <c r="B26" i="6"/>
  <c r="L39" i="9"/>
  <c r="AG41" i="9"/>
  <c r="AF41" i="9"/>
  <c r="AE41" i="9"/>
  <c r="AD41" i="9"/>
  <c r="AC41" i="9"/>
  <c r="AB41" i="9"/>
  <c r="AG40" i="9"/>
  <c r="AF40" i="9"/>
  <c r="AE40" i="9"/>
  <c r="AD40" i="9"/>
  <c r="AC40" i="9"/>
  <c r="AB40" i="9"/>
  <c r="AG39" i="9"/>
  <c r="AF39" i="9"/>
  <c r="AE39" i="9"/>
  <c r="AD39" i="9"/>
  <c r="AC39" i="9"/>
  <c r="AB39" i="9"/>
  <c r="AG38" i="9"/>
  <c r="AF38" i="9"/>
  <c r="AE38" i="9"/>
  <c r="AD38" i="9"/>
  <c r="AC38" i="9"/>
  <c r="AB38" i="9"/>
  <c r="AG37" i="9"/>
  <c r="AF37" i="9"/>
  <c r="AE37" i="9"/>
  <c r="AD37" i="9"/>
  <c r="AC37" i="9"/>
  <c r="AB37" i="9"/>
  <c r="AF36" i="9"/>
  <c r="AE36" i="9"/>
  <c r="AG36" i="9"/>
  <c r="AD36" i="9"/>
  <c r="AC36" i="9"/>
  <c r="AB36" i="9"/>
  <c r="AG35" i="9"/>
  <c r="AF35" i="9"/>
  <c r="AE35" i="9"/>
  <c r="AD35" i="9"/>
  <c r="AC35" i="9"/>
  <c r="AB35" i="9"/>
  <c r="AG34" i="9"/>
  <c r="AF34" i="9"/>
  <c r="AE34" i="9"/>
  <c r="AD34" i="9"/>
  <c r="AC34" i="9"/>
  <c r="AB34" i="9"/>
  <c r="AG33" i="9"/>
  <c r="AF33" i="9"/>
  <c r="AE33" i="9"/>
  <c r="AD33" i="9"/>
  <c r="AC33" i="9"/>
  <c r="AB33" i="9"/>
  <c r="AG32" i="9"/>
  <c r="AF32" i="9"/>
  <c r="AE32" i="9"/>
  <c r="AD32" i="9"/>
  <c r="AC32" i="9"/>
  <c r="AB32" i="9"/>
  <c r="AD31" i="9"/>
  <c r="AC31" i="9"/>
  <c r="AB31" i="9"/>
  <c r="AG31" i="9"/>
  <c r="AF31" i="9"/>
  <c r="AE31" i="9"/>
  <c r="AG30" i="9"/>
  <c r="AF30" i="9"/>
  <c r="AE30" i="9"/>
  <c r="AD30" i="9"/>
  <c r="AC30" i="9"/>
  <c r="AB30" i="9"/>
  <c r="AG29" i="9"/>
  <c r="AF29" i="9"/>
  <c r="AE29" i="9"/>
  <c r="AD29" i="9"/>
  <c r="AC29" i="9"/>
  <c r="AB29" i="9"/>
  <c r="AG28" i="9"/>
  <c r="AF28" i="9"/>
  <c r="AE28" i="9"/>
  <c r="AD28" i="9"/>
  <c r="AC28" i="9"/>
  <c r="AB28" i="9"/>
  <c r="AG27" i="9"/>
  <c r="AF27" i="9"/>
  <c r="AE27" i="9"/>
  <c r="AD27" i="9"/>
  <c r="AC27" i="9"/>
  <c r="AB27" i="9"/>
  <c r="AG26" i="9"/>
  <c r="AF26" i="9"/>
  <c r="AE26" i="9"/>
  <c r="AD26" i="9"/>
  <c r="AC26" i="9"/>
  <c r="AB26" i="9"/>
  <c r="AG20" i="9"/>
  <c r="AF20" i="9"/>
  <c r="AE20" i="9"/>
  <c r="AD20" i="9"/>
  <c r="AC20" i="9"/>
  <c r="AB20" i="9"/>
  <c r="AF19" i="9"/>
  <c r="AE19" i="9"/>
  <c r="AD19" i="9"/>
  <c r="AC19" i="9"/>
  <c r="AB19" i="9"/>
  <c r="AG19" i="9"/>
  <c r="AG18" i="9"/>
  <c r="AF18" i="9"/>
  <c r="AE18" i="9"/>
  <c r="AC18" i="9"/>
  <c r="AB18" i="9"/>
  <c r="AD18" i="9"/>
  <c r="AG17" i="9"/>
  <c r="AF17" i="9"/>
  <c r="AE17" i="9"/>
  <c r="AD17" i="9"/>
  <c r="AC17" i="9"/>
  <c r="AB17" i="9"/>
  <c r="AG16" i="9"/>
  <c r="AF16" i="9"/>
  <c r="AE16" i="9"/>
  <c r="AD16" i="9"/>
  <c r="AC16" i="9"/>
  <c r="AB16" i="9"/>
  <c r="AG15" i="9"/>
  <c r="AF15" i="9"/>
  <c r="AE15" i="9"/>
  <c r="AD15" i="9"/>
  <c r="AC15" i="9"/>
  <c r="AB15" i="9"/>
  <c r="AG14" i="9"/>
  <c r="AF14" i="9"/>
  <c r="AE14" i="9"/>
  <c r="AD14" i="9"/>
  <c r="AC14" i="9"/>
  <c r="AB14" i="9"/>
  <c r="AG13" i="9"/>
  <c r="AF13" i="9"/>
  <c r="AE13" i="9"/>
  <c r="AD13" i="9"/>
  <c r="AC13" i="9"/>
  <c r="AB13" i="9"/>
  <c r="AG12" i="9"/>
  <c r="AF12" i="9"/>
  <c r="AE12" i="9"/>
  <c r="AD12" i="9"/>
  <c r="AC12" i="9"/>
  <c r="AB12" i="9"/>
  <c r="AG11" i="9"/>
  <c r="AF11" i="9"/>
  <c r="AE11" i="9"/>
  <c r="AD11" i="9"/>
  <c r="AC11" i="9"/>
  <c r="AB11" i="9"/>
  <c r="AG10" i="9"/>
  <c r="AF10" i="9"/>
  <c r="AE10" i="9"/>
  <c r="AD10" i="9"/>
  <c r="AC10" i="9"/>
  <c r="AB10" i="9"/>
  <c r="AG9" i="9"/>
  <c r="AF9" i="9"/>
  <c r="AE9" i="9"/>
  <c r="AD9" i="9"/>
  <c r="AC9" i="9"/>
  <c r="AB9" i="9"/>
  <c r="AG8" i="9"/>
  <c r="AD8" i="9"/>
  <c r="AC8" i="9"/>
  <c r="AF8" i="9"/>
  <c r="AE8" i="9"/>
  <c r="AB8" i="9"/>
  <c r="AG7" i="9"/>
  <c r="AF7" i="9"/>
  <c r="AE7" i="9"/>
  <c r="AD7" i="9"/>
  <c r="AC7" i="9"/>
  <c r="AB7" i="9"/>
  <c r="AE6" i="9"/>
  <c r="AD6" i="9"/>
  <c r="AC6" i="9"/>
  <c r="AB6" i="9"/>
  <c r="AG6" i="9"/>
  <c r="AF6" i="9"/>
  <c r="AG5" i="9"/>
  <c r="AF5" i="9"/>
  <c r="AE5" i="9"/>
  <c r="AD5" i="9"/>
  <c r="AC5" i="9"/>
  <c r="AB5" i="9"/>
  <c r="K8" i="5" l="1"/>
  <c r="K13" i="5"/>
  <c r="K23" i="5"/>
  <c r="L8" i="5"/>
  <c r="L13" i="5"/>
  <c r="L18" i="5"/>
  <c r="P8" i="5"/>
  <c r="P13" i="5"/>
  <c r="D424" i="6"/>
  <c r="N47" i="5" s="1"/>
  <c r="P12" i="5"/>
  <c r="P17" i="5"/>
  <c r="P22" i="5"/>
  <c r="E8" i="5"/>
  <c r="E10" i="5"/>
  <c r="E13" i="5"/>
  <c r="F8" i="5"/>
  <c r="F10" i="5"/>
  <c r="F13" i="5"/>
  <c r="F18" i="5"/>
  <c r="F23" i="5"/>
  <c r="F25" i="5"/>
  <c r="I9" i="5"/>
  <c r="I14" i="5"/>
  <c r="I24" i="5"/>
  <c r="J9" i="5"/>
  <c r="J14" i="5"/>
  <c r="J19" i="5"/>
  <c r="J24" i="5"/>
  <c r="K9" i="5"/>
  <c r="C67" i="5"/>
  <c r="C69" i="5"/>
  <c r="D67" i="5"/>
  <c r="D69" i="5"/>
  <c r="D74" i="5"/>
  <c r="D77" i="5"/>
  <c r="D79" i="5"/>
  <c r="D82" i="5"/>
  <c r="E67" i="5"/>
  <c r="E74" i="5"/>
  <c r="E82" i="5"/>
  <c r="D196" i="6"/>
  <c r="D198" i="6"/>
  <c r="G37" i="5" s="1"/>
  <c r="G69" i="5"/>
  <c r="D201" i="6"/>
  <c r="G40" i="5" s="1"/>
  <c r="D203" i="6"/>
  <c r="G42" i="5" s="1"/>
  <c r="G74" i="5"/>
  <c r="G77" i="5"/>
  <c r="G79" i="5"/>
  <c r="G82" i="5"/>
  <c r="K15" i="5"/>
  <c r="K20" i="5"/>
  <c r="K25" i="5"/>
  <c r="D363" i="6"/>
  <c r="Q363" i="6" s="1"/>
  <c r="O12" i="5"/>
  <c r="O17" i="5"/>
  <c r="D206" i="6"/>
  <c r="G45" i="5" s="1"/>
  <c r="D208" i="6"/>
  <c r="G47" i="5" s="1"/>
  <c r="D211" i="6"/>
  <c r="G50" i="5" s="1"/>
  <c r="D442" i="6"/>
  <c r="Q442" i="6" s="1"/>
  <c r="O10" i="5"/>
  <c r="D447" i="6"/>
  <c r="O40" i="5" s="1"/>
  <c r="O15" i="5"/>
  <c r="D452" i="6"/>
  <c r="Q452" i="6" s="1"/>
  <c r="O20" i="5"/>
  <c r="D457" i="6"/>
  <c r="O50" i="5" s="1"/>
  <c r="O25" i="5"/>
  <c r="D135" i="6"/>
  <c r="E36" i="5" s="1"/>
  <c r="D212" i="6"/>
  <c r="Q212" i="6" s="1"/>
  <c r="C9" i="5"/>
  <c r="C14" i="5"/>
  <c r="C17" i="5"/>
  <c r="C19" i="5"/>
  <c r="C22" i="5"/>
  <c r="D104" i="6"/>
  <c r="Q104" i="6" s="1"/>
  <c r="D106" i="6"/>
  <c r="D38" i="5" s="1"/>
  <c r="D12" i="5"/>
  <c r="D114" i="6"/>
  <c r="D46" i="5" s="1"/>
  <c r="D116" i="6"/>
  <c r="D48" i="5" s="1"/>
  <c r="D24" i="5"/>
  <c r="L47" i="6"/>
  <c r="B100" i="5" s="1"/>
  <c r="L166" i="6"/>
  <c r="R166" i="6" s="1"/>
  <c r="L168" i="6"/>
  <c r="F97" i="5" s="1"/>
  <c r="L171" i="6"/>
  <c r="F100" i="5" s="1"/>
  <c r="L173" i="6"/>
  <c r="F102" i="5" s="1"/>
  <c r="L176" i="6"/>
  <c r="F105" i="5" s="1"/>
  <c r="L178" i="6"/>
  <c r="R178" i="6" s="1"/>
  <c r="L181" i="6"/>
  <c r="F110" i="5" s="1"/>
  <c r="B68" i="5"/>
  <c r="B71" i="5"/>
  <c r="B76" i="5"/>
  <c r="C68" i="5"/>
  <c r="D71" i="5"/>
  <c r="D73" i="5"/>
  <c r="D78" i="5"/>
  <c r="D81" i="5"/>
  <c r="D83" i="5"/>
  <c r="Q196" i="6"/>
  <c r="L77" i="6"/>
  <c r="R77" i="6" s="1"/>
  <c r="L82" i="6"/>
  <c r="R82" i="6" s="1"/>
  <c r="L87" i="6"/>
  <c r="R87" i="6" s="1"/>
  <c r="L103" i="6"/>
  <c r="R103" i="6" s="1"/>
  <c r="L108" i="6"/>
  <c r="R108" i="6" s="1"/>
  <c r="L113" i="6"/>
  <c r="D104" i="5" s="1"/>
  <c r="L118" i="6"/>
  <c r="D109" i="5" s="1"/>
  <c r="D270" i="6"/>
  <c r="I47" i="5" s="1"/>
  <c r="D322" i="6"/>
  <c r="K37" i="5" s="1"/>
  <c r="D332" i="6"/>
  <c r="K47" i="5" s="1"/>
  <c r="D197" i="6"/>
  <c r="G36" i="5" s="1"/>
  <c r="D229" i="6"/>
  <c r="M37" i="5" s="1"/>
  <c r="L183" i="6"/>
  <c r="R183" i="6" s="1"/>
  <c r="D47" i="6"/>
  <c r="Q47" i="6" s="1"/>
  <c r="D49" i="6"/>
  <c r="B43" i="5" s="1"/>
  <c r="L57" i="6"/>
  <c r="B110" i="5" s="1"/>
  <c r="D85" i="6"/>
  <c r="Q85" i="6" s="1"/>
  <c r="K14" i="5"/>
  <c r="K19" i="5"/>
  <c r="K24" i="5"/>
  <c r="N9" i="5"/>
  <c r="D415" i="6"/>
  <c r="N38" i="5" s="1"/>
  <c r="O9" i="5"/>
  <c r="O19" i="5"/>
  <c r="O24" i="5"/>
  <c r="B8" i="5"/>
  <c r="B13" i="5"/>
  <c r="B15" i="5"/>
  <c r="B18" i="5"/>
  <c r="B20" i="5"/>
  <c r="L54" i="6"/>
  <c r="B107" i="5" s="1"/>
  <c r="B23" i="5"/>
  <c r="B25" i="5"/>
  <c r="L59" i="6"/>
  <c r="B112" i="5" s="1"/>
  <c r="D239" i="6"/>
  <c r="M47" i="5" s="1"/>
  <c r="D353" i="6"/>
  <c r="L37" i="5" s="1"/>
  <c r="D394" i="6"/>
  <c r="Q394" i="6" s="1"/>
  <c r="D333" i="6"/>
  <c r="K48" i="5" s="1"/>
  <c r="C8" i="5"/>
  <c r="C10" i="5"/>
  <c r="L75" i="6"/>
  <c r="C97" i="5" s="1"/>
  <c r="L78" i="6"/>
  <c r="R78" i="6" s="1"/>
  <c r="L80" i="6"/>
  <c r="C102" i="5" s="1"/>
  <c r="C18" i="5"/>
  <c r="L83" i="6"/>
  <c r="C105" i="5" s="1"/>
  <c r="C20" i="5"/>
  <c r="L85" i="6"/>
  <c r="C107" i="5" s="1"/>
  <c r="C23" i="5"/>
  <c r="L88" i="6"/>
  <c r="C110" i="5" s="1"/>
  <c r="L90" i="6"/>
  <c r="R90" i="6" s="1"/>
  <c r="D8" i="5"/>
  <c r="L104" i="6"/>
  <c r="R104" i="6" s="1"/>
  <c r="D10" i="5"/>
  <c r="L106" i="6"/>
  <c r="D97" i="5" s="1"/>
  <c r="D13" i="5"/>
  <c r="L109" i="6"/>
  <c r="D100" i="5" s="1"/>
  <c r="L111" i="6"/>
  <c r="R111" i="6" s="1"/>
  <c r="L114" i="6"/>
  <c r="D105" i="5" s="1"/>
  <c r="D20" i="5"/>
  <c r="L116" i="6"/>
  <c r="R116" i="6" s="1"/>
  <c r="L119" i="6"/>
  <c r="D110" i="5" s="1"/>
  <c r="D25" i="5"/>
  <c r="L121" i="6"/>
  <c r="D112" i="5" s="1"/>
  <c r="I12" i="5"/>
  <c r="I17" i="5"/>
  <c r="I22" i="5"/>
  <c r="J12" i="5"/>
  <c r="J17" i="5"/>
  <c r="J22" i="5"/>
  <c r="K12" i="5"/>
  <c r="K17" i="5"/>
  <c r="K22" i="5"/>
  <c r="O8" i="5"/>
  <c r="D444" i="6"/>
  <c r="Q444" i="6" s="1"/>
  <c r="O13" i="5"/>
  <c r="O18" i="5"/>
  <c r="D454" i="6"/>
  <c r="O47" i="5" s="1"/>
  <c r="D455" i="6"/>
  <c r="Q455" i="6" s="1"/>
  <c r="O23" i="5"/>
  <c r="D320" i="6"/>
  <c r="Q320" i="6" s="1"/>
  <c r="D325" i="6"/>
  <c r="Q325" i="6" s="1"/>
  <c r="D330" i="6"/>
  <c r="Q330" i="6" s="1"/>
  <c r="D335" i="6"/>
  <c r="K50" i="5" s="1"/>
  <c r="B9" i="5"/>
  <c r="B12" i="5"/>
  <c r="B14" i="5"/>
  <c r="B17" i="5"/>
  <c r="B19" i="5"/>
  <c r="B22" i="5"/>
  <c r="B24" i="5"/>
  <c r="E73" i="5"/>
  <c r="D145" i="6"/>
  <c r="E46" i="5" s="1"/>
  <c r="E78" i="5"/>
  <c r="E83" i="5"/>
  <c r="D351" i="6"/>
  <c r="Q351" i="6" s="1"/>
  <c r="L10" i="5"/>
  <c r="D356" i="6"/>
  <c r="Q356" i="6" s="1"/>
  <c r="L15" i="5"/>
  <c r="D361" i="6"/>
  <c r="L45" i="5" s="1"/>
  <c r="L20" i="5"/>
  <c r="P10" i="5"/>
  <c r="P20" i="5"/>
  <c r="P25" i="5"/>
  <c r="B67" i="5"/>
  <c r="E9" i="5"/>
  <c r="E12" i="5"/>
  <c r="L165" i="6"/>
  <c r="R165" i="6" s="1"/>
  <c r="L167" i="6"/>
  <c r="F96" i="5" s="1"/>
  <c r="D168" i="6"/>
  <c r="F38" i="5" s="1"/>
  <c r="L170" i="6"/>
  <c r="R170" i="6" s="1"/>
  <c r="F14" i="5"/>
  <c r="L172" i="6"/>
  <c r="F101" i="5" s="1"/>
  <c r="L175" i="6"/>
  <c r="R175" i="6" s="1"/>
  <c r="L177" i="6"/>
  <c r="F106" i="5" s="1"/>
  <c r="F22" i="5"/>
  <c r="L180" i="6"/>
  <c r="F109" i="5" s="1"/>
  <c r="L182" i="6"/>
  <c r="F111" i="5" s="1"/>
  <c r="D202" i="6"/>
  <c r="G41" i="5" s="1"/>
  <c r="L202" i="6"/>
  <c r="G100" i="5" s="1"/>
  <c r="D207" i="6"/>
  <c r="Q207" i="6" s="1"/>
  <c r="G78" i="5"/>
  <c r="P9" i="5"/>
  <c r="D385" i="6"/>
  <c r="P38" i="5" s="1"/>
  <c r="P14" i="5"/>
  <c r="P19" i="5"/>
  <c r="D27" i="6"/>
  <c r="H53" i="5" s="1"/>
  <c r="L42" i="6"/>
  <c r="R42" i="6" s="1"/>
  <c r="L44" i="6"/>
  <c r="B97" i="5" s="1"/>
  <c r="D52" i="6"/>
  <c r="B46" i="5" s="1"/>
  <c r="L52" i="6"/>
  <c r="B105" i="5" s="1"/>
  <c r="L53" i="6"/>
  <c r="B106" i="5" s="1"/>
  <c r="L72" i="6"/>
  <c r="R72" i="6" s="1"/>
  <c r="D73" i="6"/>
  <c r="Q73" i="6" s="1"/>
  <c r="L73" i="6"/>
  <c r="R73" i="6" s="1"/>
  <c r="D75" i="6"/>
  <c r="Q75" i="6" s="1"/>
  <c r="D83" i="6"/>
  <c r="C46" i="5" s="1"/>
  <c r="D44" i="6"/>
  <c r="B38" i="5" s="1"/>
  <c r="L46" i="6"/>
  <c r="R46" i="6" s="1"/>
  <c r="L49" i="6"/>
  <c r="B102" i="5" s="1"/>
  <c r="C71" i="5"/>
  <c r="C72" i="5"/>
  <c r="C73" i="5"/>
  <c r="C74" i="5"/>
  <c r="C76" i="5"/>
  <c r="C77" i="5"/>
  <c r="C79" i="5"/>
  <c r="C81" i="5"/>
  <c r="D88" i="6"/>
  <c r="C51" i="5" s="1"/>
  <c r="C83" i="5"/>
  <c r="D90" i="6"/>
  <c r="C53" i="5" s="1"/>
  <c r="C84" i="5"/>
  <c r="D258" i="6"/>
  <c r="Q258" i="6" s="1"/>
  <c r="I8" i="5"/>
  <c r="D260" i="6"/>
  <c r="I37" i="5" s="1"/>
  <c r="I10" i="5"/>
  <c r="D263" i="6"/>
  <c r="I40" i="5" s="1"/>
  <c r="D264" i="6"/>
  <c r="I41" i="5" s="1"/>
  <c r="D268" i="6"/>
  <c r="Q268" i="6" s="1"/>
  <c r="I18" i="5"/>
  <c r="I20" i="5"/>
  <c r="D273" i="6"/>
  <c r="Q273" i="6" s="1"/>
  <c r="D274" i="6"/>
  <c r="I51" i="5" s="1"/>
  <c r="I25" i="5"/>
  <c r="D289" i="6"/>
  <c r="Q289" i="6" s="1"/>
  <c r="J8" i="5"/>
  <c r="D291" i="6"/>
  <c r="Q291" i="6" s="1"/>
  <c r="D294" i="6"/>
  <c r="Q294" i="6" s="1"/>
  <c r="J13" i="5"/>
  <c r="J15" i="5"/>
  <c r="D299" i="6"/>
  <c r="J45" i="5" s="1"/>
  <c r="D301" i="6"/>
  <c r="Q301" i="6" s="1"/>
  <c r="J20" i="5"/>
  <c r="D304" i="6"/>
  <c r="J50" i="5" s="1"/>
  <c r="J23" i="5"/>
  <c r="J25" i="5"/>
  <c r="L9" i="5"/>
  <c r="D354" i="6"/>
  <c r="Q354" i="6" s="1"/>
  <c r="L12" i="5"/>
  <c r="L14" i="5"/>
  <c r="L17" i="5"/>
  <c r="L19" i="5"/>
  <c r="L22" i="5"/>
  <c r="L24" i="5"/>
  <c r="D412" i="6"/>
  <c r="Q412" i="6" s="1"/>
  <c r="N8" i="5"/>
  <c r="D414" i="6"/>
  <c r="N37" i="5" s="1"/>
  <c r="N10" i="5"/>
  <c r="D417" i="6"/>
  <c r="Q417" i="6" s="1"/>
  <c r="N15" i="5"/>
  <c r="D422" i="6"/>
  <c r="N45" i="5" s="1"/>
  <c r="N18" i="5"/>
  <c r="D425" i="6"/>
  <c r="N48" i="5" s="1"/>
  <c r="D427" i="6"/>
  <c r="N50" i="5" s="1"/>
  <c r="N23" i="5"/>
  <c r="N25" i="5"/>
  <c r="D213" i="6"/>
  <c r="Q213" i="6" s="1"/>
  <c r="G84" i="5"/>
  <c r="M9" i="5"/>
  <c r="D230" i="6"/>
  <c r="M38" i="5" s="1"/>
  <c r="M12" i="5"/>
  <c r="M14" i="5"/>
  <c r="M17" i="5"/>
  <c r="M19" i="5"/>
  <c r="D240" i="6"/>
  <c r="Q240" i="6" s="1"/>
  <c r="D364" i="6"/>
  <c r="Q364" i="6" s="1"/>
  <c r="D366" i="6"/>
  <c r="L50" i="5" s="1"/>
  <c r="L25" i="5"/>
  <c r="N12" i="5"/>
  <c r="N14" i="5"/>
  <c r="N17" i="5"/>
  <c r="N19" i="5"/>
  <c r="N22" i="5"/>
  <c r="N24" i="5"/>
  <c r="D54" i="6"/>
  <c r="Q54" i="6" s="1"/>
  <c r="B79" i="5"/>
  <c r="B83" i="5"/>
  <c r="D59" i="6"/>
  <c r="Q59" i="6" s="1"/>
  <c r="D109" i="6"/>
  <c r="D41" i="5" s="1"/>
  <c r="D111" i="6"/>
  <c r="D43" i="5" s="1"/>
  <c r="D119" i="6"/>
  <c r="D51" i="5" s="1"/>
  <c r="D121" i="6"/>
  <c r="D53" i="5" s="1"/>
  <c r="L134" i="6"/>
  <c r="R134" i="6" s="1"/>
  <c r="L135" i="6"/>
  <c r="R135" i="6" s="1"/>
  <c r="D137" i="6"/>
  <c r="E38" i="5" s="1"/>
  <c r="L137" i="6"/>
  <c r="E97" i="5" s="1"/>
  <c r="L139" i="6"/>
  <c r="E99" i="5" s="1"/>
  <c r="D140" i="6"/>
  <c r="E41" i="5" s="1"/>
  <c r="L140" i="6"/>
  <c r="E100" i="5" s="1"/>
  <c r="E14" i="5"/>
  <c r="E15" i="5"/>
  <c r="D142" i="6"/>
  <c r="Q142" i="6" s="1"/>
  <c r="L142" i="6"/>
  <c r="R142" i="6" s="1"/>
  <c r="E17" i="5"/>
  <c r="L144" i="6"/>
  <c r="E104" i="5" s="1"/>
  <c r="E18" i="5"/>
  <c r="L145" i="6"/>
  <c r="E105" i="5" s="1"/>
  <c r="E19" i="5"/>
  <c r="E20" i="5"/>
  <c r="D147" i="6"/>
  <c r="E48" i="5" s="1"/>
  <c r="L147" i="6"/>
  <c r="E107" i="5" s="1"/>
  <c r="E22" i="5"/>
  <c r="L149" i="6"/>
  <c r="E109" i="5" s="1"/>
  <c r="E23" i="5"/>
  <c r="D150" i="6"/>
  <c r="Q150" i="6" s="1"/>
  <c r="L150" i="6"/>
  <c r="E110" i="5" s="1"/>
  <c r="E24" i="5"/>
  <c r="D152" i="6"/>
  <c r="E53" i="5" s="1"/>
  <c r="F67" i="5"/>
  <c r="F68" i="5"/>
  <c r="F69" i="5"/>
  <c r="F71" i="5"/>
  <c r="D171" i="6"/>
  <c r="F41" i="5" s="1"/>
  <c r="F72" i="5"/>
  <c r="F73" i="5"/>
  <c r="F76" i="5"/>
  <c r="D176" i="6"/>
  <c r="F46" i="5" s="1"/>
  <c r="F77" i="5"/>
  <c r="D178" i="6"/>
  <c r="F48" i="5" s="1"/>
  <c r="F79" i="5"/>
  <c r="F81" i="5"/>
  <c r="F82" i="5"/>
  <c r="F83" i="5"/>
  <c r="D183" i="6"/>
  <c r="Q183" i="6" s="1"/>
  <c r="F84" i="5"/>
  <c r="G8" i="5"/>
  <c r="G10" i="5"/>
  <c r="G12" i="5"/>
  <c r="G14" i="5"/>
  <c r="G15" i="5"/>
  <c r="G18" i="5"/>
  <c r="G19" i="5"/>
  <c r="G20" i="5"/>
  <c r="G22" i="5"/>
  <c r="G23" i="5"/>
  <c r="L212" i="6"/>
  <c r="R212" i="6" s="1"/>
  <c r="G24" i="5"/>
  <c r="M10" i="5"/>
  <c r="D232" i="6"/>
  <c r="Q232" i="6" s="1"/>
  <c r="M13" i="5"/>
  <c r="D237" i="6"/>
  <c r="Q237" i="6" s="1"/>
  <c r="M18" i="5"/>
  <c r="M20" i="5"/>
  <c r="D242" i="6"/>
  <c r="M50" i="5" s="1"/>
  <c r="M23" i="5"/>
  <c r="M25" i="5"/>
  <c r="D323" i="6"/>
  <c r="K38" i="5" s="1"/>
  <c r="D382" i="6"/>
  <c r="Q382" i="6" s="1"/>
  <c r="D384" i="6"/>
  <c r="P37" i="5" s="1"/>
  <c r="D387" i="6"/>
  <c r="P40" i="5" s="1"/>
  <c r="D392" i="6"/>
  <c r="Q392" i="6" s="1"/>
  <c r="D395" i="6"/>
  <c r="P48" i="5" s="1"/>
  <c r="D397" i="6"/>
  <c r="P50" i="5" s="1"/>
  <c r="D445" i="6"/>
  <c r="Q445" i="6" s="1"/>
  <c r="B10" i="5"/>
  <c r="D78" i="6"/>
  <c r="C41" i="5" s="1"/>
  <c r="D80" i="6"/>
  <c r="C43" i="5" s="1"/>
  <c r="H84" i="5"/>
  <c r="C12" i="5"/>
  <c r="C13" i="5"/>
  <c r="C15" i="5"/>
  <c r="D22" i="5"/>
  <c r="F9" i="5"/>
  <c r="F12" i="5"/>
  <c r="F15" i="5"/>
  <c r="F17" i="5"/>
  <c r="F24" i="5"/>
  <c r="G71" i="5"/>
  <c r="G72" i="5"/>
  <c r="G83" i="5"/>
  <c r="J18" i="5"/>
  <c r="E25" i="5"/>
  <c r="F19" i="5"/>
  <c r="F20" i="5"/>
  <c r="G67" i="5"/>
  <c r="G68" i="5"/>
  <c r="G73" i="5"/>
  <c r="G76" i="5"/>
  <c r="G81" i="5"/>
  <c r="J10" i="5"/>
  <c r="H25" i="5"/>
  <c r="D261" i="6"/>
  <c r="I38" i="5" s="1"/>
  <c r="D271" i="6"/>
  <c r="Q271" i="6" s="1"/>
  <c r="K10" i="5"/>
  <c r="C24" i="5"/>
  <c r="C25" i="5"/>
  <c r="D9" i="5"/>
  <c r="D17" i="5"/>
  <c r="D18" i="5"/>
  <c r="L27" i="6"/>
  <c r="H112" i="5" s="1"/>
  <c r="D42" i="6"/>
  <c r="B69" i="5"/>
  <c r="B73" i="5"/>
  <c r="D51" i="6"/>
  <c r="B45" i="5" s="1"/>
  <c r="L51" i="6"/>
  <c r="R51" i="6" s="1"/>
  <c r="B77" i="5"/>
  <c r="B78" i="5"/>
  <c r="B81" i="5"/>
  <c r="D57" i="6"/>
  <c r="D72" i="6"/>
  <c r="Q72" i="6" s="1"/>
  <c r="D77" i="6"/>
  <c r="C40" i="5" s="1"/>
  <c r="D79" i="6"/>
  <c r="C42" i="5" s="1"/>
  <c r="L79" i="6"/>
  <c r="C101" i="5" s="1"/>
  <c r="D82" i="6"/>
  <c r="C78" i="5"/>
  <c r="D87" i="6"/>
  <c r="D89" i="6"/>
  <c r="C52" i="5" s="1"/>
  <c r="L89" i="6"/>
  <c r="D103" i="6"/>
  <c r="Q103" i="6" s="1"/>
  <c r="L105" i="6"/>
  <c r="D96" i="5" s="1"/>
  <c r="D108" i="6"/>
  <c r="D72" i="5"/>
  <c r="D113" i="6"/>
  <c r="D45" i="5" s="1"/>
  <c r="D115" i="6"/>
  <c r="D47" i="5" s="1"/>
  <c r="L115" i="6"/>
  <c r="D134" i="6"/>
  <c r="Q134" i="6" s="1"/>
  <c r="D136" i="6"/>
  <c r="Q136" i="6" s="1"/>
  <c r="E68" i="5"/>
  <c r="L136" i="6"/>
  <c r="E96" i="5" s="1"/>
  <c r="E69" i="5"/>
  <c r="D139" i="6"/>
  <c r="E40" i="5" s="1"/>
  <c r="E71" i="5"/>
  <c r="E72" i="5"/>
  <c r="D141" i="6"/>
  <c r="E42" i="5" s="1"/>
  <c r="L141" i="6"/>
  <c r="D144" i="6"/>
  <c r="Q144" i="6" s="1"/>
  <c r="E76" i="5"/>
  <c r="E77" i="5"/>
  <c r="D146" i="6"/>
  <c r="Q146" i="6" s="1"/>
  <c r="L146" i="6"/>
  <c r="R146" i="6" s="1"/>
  <c r="E79" i="5"/>
  <c r="D149" i="6"/>
  <c r="E50" i="5" s="1"/>
  <c r="E81" i="5"/>
  <c r="D151" i="6"/>
  <c r="E52" i="5" s="1"/>
  <c r="L151" i="6"/>
  <c r="R151" i="6" s="1"/>
  <c r="E84" i="5"/>
  <c r="D165" i="6"/>
  <c r="Q165" i="6" s="1"/>
  <c r="D166" i="6"/>
  <c r="F36" i="5" s="1"/>
  <c r="D167" i="6"/>
  <c r="F37" i="5" s="1"/>
  <c r="D170" i="6"/>
  <c r="F40" i="5" s="1"/>
  <c r="D172" i="6"/>
  <c r="Q172" i="6" s="1"/>
  <c r="D173" i="6"/>
  <c r="F43" i="5" s="1"/>
  <c r="F74" i="5"/>
  <c r="D175" i="6"/>
  <c r="F45" i="5" s="1"/>
  <c r="D177" i="6"/>
  <c r="F47" i="5" s="1"/>
  <c r="F78" i="5"/>
  <c r="D180" i="6"/>
  <c r="F50" i="5" s="1"/>
  <c r="D181" i="6"/>
  <c r="Q181" i="6" s="1"/>
  <c r="D182" i="6"/>
  <c r="F52" i="5" s="1"/>
  <c r="L196" i="6"/>
  <c r="R196" i="6" s="1"/>
  <c r="L197" i="6"/>
  <c r="R197" i="6" s="1"/>
  <c r="G9" i="5"/>
  <c r="L198" i="6"/>
  <c r="G96" i="5" s="1"/>
  <c r="D199" i="6"/>
  <c r="G38" i="5" s="1"/>
  <c r="L199" i="6"/>
  <c r="G97" i="5" s="1"/>
  <c r="L201" i="6"/>
  <c r="G99" i="5" s="1"/>
  <c r="G13" i="5"/>
  <c r="L203" i="6"/>
  <c r="G101" i="5" s="1"/>
  <c r="D204" i="6"/>
  <c r="Q204" i="6" s="1"/>
  <c r="L204" i="6"/>
  <c r="R204" i="6" s="1"/>
  <c r="G17" i="5"/>
  <c r="L206" i="6"/>
  <c r="G104" i="5" s="1"/>
  <c r="L207" i="6"/>
  <c r="G105" i="5" s="1"/>
  <c r="L208" i="6"/>
  <c r="R208" i="6" s="1"/>
  <c r="D209" i="6"/>
  <c r="L209" i="6"/>
  <c r="R209" i="6" s="1"/>
  <c r="L211" i="6"/>
  <c r="G109" i="5" s="1"/>
  <c r="L213" i="6"/>
  <c r="G111" i="5" s="1"/>
  <c r="G25" i="5"/>
  <c r="D214" i="6"/>
  <c r="G53" i="5" s="1"/>
  <c r="L214" i="6"/>
  <c r="R214" i="6" s="1"/>
  <c r="D227" i="6"/>
  <c r="Q227" i="6" s="1"/>
  <c r="M8" i="5"/>
  <c r="M15" i="5"/>
  <c r="D292" i="6"/>
  <c r="J38" i="5" s="1"/>
  <c r="D302" i="6"/>
  <c r="J48" i="5" s="1"/>
  <c r="D14" i="5"/>
  <c r="D15" i="5"/>
  <c r="D19" i="5"/>
  <c r="D23" i="5"/>
  <c r="D41" i="6"/>
  <c r="Q41" i="6" s="1"/>
  <c r="L41" i="6"/>
  <c r="R41" i="6" s="1"/>
  <c r="D43" i="6"/>
  <c r="B37" i="5" s="1"/>
  <c r="L43" i="6"/>
  <c r="B96" i="5" s="1"/>
  <c r="D46" i="6"/>
  <c r="B40" i="5" s="1"/>
  <c r="B72" i="5"/>
  <c r="D48" i="6"/>
  <c r="Q48" i="6" s="1"/>
  <c r="L48" i="6"/>
  <c r="B101" i="5" s="1"/>
  <c r="B74" i="5"/>
  <c r="D53" i="6"/>
  <c r="B47" i="5" s="1"/>
  <c r="D56" i="6"/>
  <c r="B50" i="5" s="1"/>
  <c r="L56" i="6"/>
  <c r="B109" i="5" s="1"/>
  <c r="B82" i="5"/>
  <c r="D58" i="6"/>
  <c r="Q58" i="6" s="1"/>
  <c r="L58" i="6"/>
  <c r="R58" i="6" s="1"/>
  <c r="B84" i="5"/>
  <c r="D74" i="6"/>
  <c r="C37" i="5" s="1"/>
  <c r="L74" i="6"/>
  <c r="C96" i="5" s="1"/>
  <c r="D84" i="6"/>
  <c r="C47" i="5" s="1"/>
  <c r="L84" i="6"/>
  <c r="C106" i="5" s="1"/>
  <c r="C82" i="5"/>
  <c r="D105" i="6"/>
  <c r="D37" i="5" s="1"/>
  <c r="D68" i="5"/>
  <c r="D110" i="6"/>
  <c r="D42" i="5" s="1"/>
  <c r="L110" i="6"/>
  <c r="D101" i="5" s="1"/>
  <c r="D76" i="5"/>
  <c r="D118" i="6"/>
  <c r="D50" i="5" s="1"/>
  <c r="D120" i="6"/>
  <c r="Q120" i="6" s="1"/>
  <c r="L120" i="6"/>
  <c r="R120" i="6" s="1"/>
  <c r="D84" i="5"/>
  <c r="I13" i="5"/>
  <c r="I15" i="5"/>
  <c r="I23" i="5"/>
  <c r="L152" i="6"/>
  <c r="E112" i="5" s="1"/>
  <c r="M24" i="5"/>
  <c r="P23" i="5"/>
  <c r="L23" i="5"/>
  <c r="O22" i="5"/>
  <c r="N20" i="5"/>
  <c r="I19" i="5"/>
  <c r="P18" i="5"/>
  <c r="P15" i="5"/>
  <c r="O14" i="5"/>
  <c r="N13" i="5"/>
  <c r="P24" i="5"/>
  <c r="K18" i="5"/>
  <c r="D358" i="6"/>
  <c r="L42" i="5" s="1"/>
  <c r="D368" i="6"/>
  <c r="M22" i="5"/>
  <c r="D228" i="6"/>
  <c r="M36" i="5" s="1"/>
  <c r="D233" i="6"/>
  <c r="Q233" i="6" s="1"/>
  <c r="D234" i="6"/>
  <c r="M42" i="5" s="1"/>
  <c r="D235" i="6"/>
  <c r="M43" i="5" s="1"/>
  <c r="D238" i="6"/>
  <c r="M46" i="5" s="1"/>
  <c r="D243" i="6"/>
  <c r="D244" i="6"/>
  <c r="M52" i="5" s="1"/>
  <c r="D245" i="6"/>
  <c r="D259" i="6"/>
  <c r="Q259" i="6" s="1"/>
  <c r="D265" i="6"/>
  <c r="I42" i="5" s="1"/>
  <c r="D266" i="6"/>
  <c r="I43" i="5" s="1"/>
  <c r="D269" i="6"/>
  <c r="I46" i="5" s="1"/>
  <c r="D275" i="6"/>
  <c r="Q275" i="6" s="1"/>
  <c r="D276" i="6"/>
  <c r="Q276" i="6" s="1"/>
  <c r="D290" i="6"/>
  <c r="J36" i="5" s="1"/>
  <c r="D295" i="6"/>
  <c r="J41" i="5" s="1"/>
  <c r="D296" i="6"/>
  <c r="D297" i="6"/>
  <c r="J43" i="5" s="1"/>
  <c r="D300" i="6"/>
  <c r="J46" i="5" s="1"/>
  <c r="D305" i="6"/>
  <c r="J51" i="5" s="1"/>
  <c r="D306" i="6"/>
  <c r="J52" i="5" s="1"/>
  <c r="D307" i="6"/>
  <c r="D321" i="6"/>
  <c r="Q321" i="6" s="1"/>
  <c r="D326" i="6"/>
  <c r="K41" i="5" s="1"/>
  <c r="D327" i="6"/>
  <c r="K42" i="5" s="1"/>
  <c r="D328" i="6"/>
  <c r="D331" i="6"/>
  <c r="K46" i="5" s="1"/>
  <c r="D336" i="6"/>
  <c r="K51" i="5" s="1"/>
  <c r="D337" i="6"/>
  <c r="K52" i="5" s="1"/>
  <c r="D338" i="6"/>
  <c r="K53" i="5" s="1"/>
  <c r="D352" i="6"/>
  <c r="L36" i="5" s="1"/>
  <c r="D357" i="6"/>
  <c r="L41" i="5" s="1"/>
  <c r="D359" i="6"/>
  <c r="L43" i="5" s="1"/>
  <c r="D362" i="6"/>
  <c r="L46" i="5" s="1"/>
  <c r="D367" i="6"/>
  <c r="L51" i="5" s="1"/>
  <c r="D369" i="6"/>
  <c r="L53" i="5" s="1"/>
  <c r="D383" i="6"/>
  <c r="P36" i="5" s="1"/>
  <c r="D388" i="6"/>
  <c r="P41" i="5" s="1"/>
  <c r="D389" i="6"/>
  <c r="P42" i="5" s="1"/>
  <c r="D390" i="6"/>
  <c r="P43" i="5" s="1"/>
  <c r="D393" i="6"/>
  <c r="P46" i="5" s="1"/>
  <c r="D398" i="6"/>
  <c r="P51" i="5" s="1"/>
  <c r="D399" i="6"/>
  <c r="P52" i="5" s="1"/>
  <c r="D400" i="6"/>
  <c r="P53" i="5" s="1"/>
  <c r="D413" i="6"/>
  <c r="Q413" i="6" s="1"/>
  <c r="D418" i="6"/>
  <c r="N41" i="5" s="1"/>
  <c r="D419" i="6"/>
  <c r="N42" i="5" s="1"/>
  <c r="D420" i="6"/>
  <c r="N43" i="5" s="1"/>
  <c r="D423" i="6"/>
  <c r="Q423" i="6" s="1"/>
  <c r="D428" i="6"/>
  <c r="N51" i="5" s="1"/>
  <c r="D429" i="6"/>
  <c r="D430" i="6"/>
  <c r="D443" i="6"/>
  <c r="O36" i="5" s="1"/>
  <c r="D448" i="6"/>
  <c r="Q448" i="6" s="1"/>
  <c r="D449" i="6"/>
  <c r="O42" i="5" s="1"/>
  <c r="D450" i="6"/>
  <c r="O43" i="5" s="1"/>
  <c r="D453" i="6"/>
  <c r="O46" i="5" s="1"/>
  <c r="D458" i="6"/>
  <c r="Q458" i="6" s="1"/>
  <c r="D459" i="6"/>
  <c r="O52" i="5" s="1"/>
  <c r="D460" i="6"/>
  <c r="Q322" i="6"/>
  <c r="B16" i="6"/>
  <c r="C16" i="6"/>
  <c r="E16" i="6"/>
  <c r="F16" i="6"/>
  <c r="G16" i="6"/>
  <c r="H16" i="6"/>
  <c r="J16" i="6"/>
  <c r="K16" i="6"/>
  <c r="M16" i="6"/>
  <c r="N16" i="6"/>
  <c r="P16" i="6"/>
  <c r="Q424" i="6" l="1"/>
  <c r="Q198" i="6"/>
  <c r="I45" i="5"/>
  <c r="L47" i="5"/>
  <c r="Q116" i="6"/>
  <c r="D107" i="5"/>
  <c r="B52" i="5"/>
  <c r="R121" i="6"/>
  <c r="Q206" i="6"/>
  <c r="C38" i="5"/>
  <c r="G106" i="5"/>
  <c r="O41" i="5"/>
  <c r="Q121" i="6"/>
  <c r="Q264" i="6"/>
  <c r="Q211" i="6"/>
  <c r="Q201" i="6"/>
  <c r="Q203" i="6"/>
  <c r="I53" i="5"/>
  <c r="Q208" i="6"/>
  <c r="Q304" i="6"/>
  <c r="Q447" i="6"/>
  <c r="G51" i="5"/>
  <c r="R147" i="6"/>
  <c r="D111" i="5"/>
  <c r="C109" i="5"/>
  <c r="Q56" i="6"/>
  <c r="Q145" i="6"/>
  <c r="G46" i="5"/>
  <c r="Q229" i="6"/>
  <c r="R173" i="6"/>
  <c r="R44" i="6"/>
  <c r="R176" i="6"/>
  <c r="R85" i="6"/>
  <c r="O45" i="5"/>
  <c r="C48" i="5"/>
  <c r="Q202" i="6"/>
  <c r="Q106" i="6"/>
  <c r="Q114" i="6"/>
  <c r="Q27" i="6"/>
  <c r="Q457" i="6"/>
  <c r="Q135" i="6"/>
  <c r="F99" i="5"/>
  <c r="M41" i="5"/>
  <c r="R172" i="6"/>
  <c r="R168" i="6"/>
  <c r="R177" i="6"/>
  <c r="B42" i="5"/>
  <c r="Q260" i="6"/>
  <c r="R59" i="6"/>
  <c r="Q80" i="6"/>
  <c r="Q79" i="6"/>
  <c r="L38" i="5"/>
  <c r="Q149" i="6"/>
  <c r="Q274" i="6"/>
  <c r="Q51" i="6"/>
  <c r="R144" i="6"/>
  <c r="R137" i="6"/>
  <c r="D99" i="5"/>
  <c r="B99" i="5"/>
  <c r="Q147" i="6"/>
  <c r="K40" i="5"/>
  <c r="O51" i="5"/>
  <c r="R109" i="6"/>
  <c r="Q88" i="6"/>
  <c r="Q84" i="6"/>
  <c r="Q384" i="6"/>
  <c r="R88" i="6"/>
  <c r="R75" i="6"/>
  <c r="Q414" i="6"/>
  <c r="R47" i="6"/>
  <c r="F107" i="5"/>
  <c r="B53" i="5"/>
  <c r="Q109" i="6"/>
  <c r="Q299" i="6"/>
  <c r="E45" i="5"/>
  <c r="Q427" i="6"/>
  <c r="L40" i="5"/>
  <c r="Q453" i="6"/>
  <c r="B41" i="5"/>
  <c r="R171" i="6"/>
  <c r="G110" i="5"/>
  <c r="M48" i="5"/>
  <c r="Q332" i="6"/>
  <c r="M45" i="5"/>
  <c r="C99" i="5"/>
  <c r="Q46" i="6"/>
  <c r="E102" i="5"/>
  <c r="R181" i="6"/>
  <c r="Q199" i="6"/>
  <c r="Q261" i="6"/>
  <c r="Q263" i="6"/>
  <c r="Q270" i="6"/>
  <c r="Q176" i="6"/>
  <c r="Q140" i="6"/>
  <c r="C36" i="5"/>
  <c r="D36" i="5"/>
  <c r="R180" i="6"/>
  <c r="G107" i="5"/>
  <c r="P45" i="5"/>
  <c r="Q111" i="6"/>
  <c r="C104" i="5"/>
  <c r="Q49" i="6"/>
  <c r="Q151" i="6"/>
  <c r="C112" i="5"/>
  <c r="Q137" i="6"/>
  <c r="Q302" i="6"/>
  <c r="Q239" i="6"/>
  <c r="Q415" i="6"/>
  <c r="R80" i="6"/>
  <c r="B48" i="5"/>
  <c r="E106" i="5"/>
  <c r="K45" i="5"/>
  <c r="Q422" i="6"/>
  <c r="B111" i="5"/>
  <c r="D102" i="5"/>
  <c r="Q197" i="6"/>
  <c r="R207" i="6"/>
  <c r="I48" i="5"/>
  <c r="Q419" i="6"/>
  <c r="R49" i="6"/>
  <c r="O37" i="5"/>
  <c r="J40" i="5"/>
  <c r="F104" i="5"/>
  <c r="R83" i="6"/>
  <c r="R52" i="6"/>
  <c r="Q74" i="6"/>
  <c r="R114" i="6"/>
  <c r="L48" i="5"/>
  <c r="N40" i="5"/>
  <c r="R140" i="6"/>
  <c r="G52" i="5"/>
  <c r="R118" i="6"/>
  <c r="Q166" i="6"/>
  <c r="G112" i="5"/>
  <c r="Q336" i="6"/>
  <c r="Q387" i="6"/>
  <c r="R113" i="6"/>
  <c r="R57" i="6"/>
  <c r="R145" i="6"/>
  <c r="C100" i="5"/>
  <c r="Q52" i="6"/>
  <c r="Q83" i="6"/>
  <c r="R150" i="6"/>
  <c r="Q141" i="6"/>
  <c r="F112" i="5"/>
  <c r="K36" i="5"/>
  <c r="O38" i="5"/>
  <c r="Q398" i="6"/>
  <c r="R149" i="6"/>
  <c r="R139" i="6"/>
  <c r="P47" i="5"/>
  <c r="E43" i="5"/>
  <c r="F53" i="5"/>
  <c r="R54" i="6"/>
  <c r="R167" i="6"/>
  <c r="M40" i="5"/>
  <c r="Q230" i="6"/>
  <c r="E47" i="5"/>
  <c r="Q238" i="6"/>
  <c r="R79" i="6"/>
  <c r="Q171" i="6"/>
  <c r="Q306" i="6"/>
  <c r="Q353" i="6"/>
  <c r="R106" i="6"/>
  <c r="F51" i="5"/>
  <c r="Q326" i="6"/>
  <c r="Q366" i="6"/>
  <c r="Q454" i="6"/>
  <c r="Q90" i="6"/>
  <c r="Q53" i="6"/>
  <c r="R182" i="6"/>
  <c r="R199" i="6"/>
  <c r="Q395" i="6"/>
  <c r="Q43" i="6"/>
  <c r="R119" i="6"/>
  <c r="Q168" i="6"/>
  <c r="I52" i="5"/>
  <c r="Q397" i="6"/>
  <c r="Q180" i="6"/>
  <c r="J37" i="5"/>
  <c r="R105" i="6"/>
  <c r="Q115" i="6"/>
  <c r="R84" i="6"/>
  <c r="R43" i="6"/>
  <c r="R74" i="6"/>
  <c r="D52" i="5"/>
  <c r="R110" i="6"/>
  <c r="Q139" i="6"/>
  <c r="G43" i="5"/>
  <c r="Q234" i="6"/>
  <c r="Q269" i="6"/>
  <c r="J47" i="5"/>
  <c r="Q335" i="6"/>
  <c r="Q400" i="6"/>
  <c r="O48" i="5"/>
  <c r="Q385" i="6"/>
  <c r="R53" i="6"/>
  <c r="Q152" i="6"/>
  <c r="R202" i="6"/>
  <c r="E111" i="5"/>
  <c r="N36" i="5"/>
  <c r="B104" i="5"/>
  <c r="Q297" i="6"/>
  <c r="Q333" i="6"/>
  <c r="I50" i="5"/>
  <c r="Q44" i="6"/>
  <c r="E37" i="5"/>
  <c r="F42" i="5"/>
  <c r="G102" i="5"/>
  <c r="E51" i="5"/>
  <c r="Q361" i="6"/>
  <c r="Q119" i="6"/>
  <c r="H73" i="5"/>
  <c r="Q352" i="6"/>
  <c r="Q295" i="6"/>
  <c r="Q362" i="6"/>
  <c r="Q420" i="6"/>
  <c r="Q449" i="6"/>
  <c r="R48" i="6"/>
  <c r="Q89" i="6"/>
  <c r="Q323" i="6"/>
  <c r="Q178" i="6"/>
  <c r="Q425" i="6"/>
  <c r="Q389" i="6"/>
  <c r="R211" i="6"/>
  <c r="Q369" i="6"/>
  <c r="Q266" i="6"/>
  <c r="Q214" i="6"/>
  <c r="Q242" i="6"/>
  <c r="Q290" i="6"/>
  <c r="Q459" i="6"/>
  <c r="Q388" i="6"/>
  <c r="Q110" i="6"/>
  <c r="H14" i="5"/>
  <c r="Q265" i="6"/>
  <c r="Q305" i="6"/>
  <c r="Q337" i="6"/>
  <c r="Q338" i="6"/>
  <c r="Q450" i="6"/>
  <c r="Q429" i="6"/>
  <c r="N52" i="5"/>
  <c r="Q358" i="6"/>
  <c r="Q390" i="6"/>
  <c r="Q235" i="6"/>
  <c r="Q228" i="6"/>
  <c r="Q108" i="6"/>
  <c r="D40" i="5"/>
  <c r="Q82" i="6"/>
  <c r="C45" i="5"/>
  <c r="R206" i="6"/>
  <c r="R198" i="6"/>
  <c r="Q300" i="6"/>
  <c r="Q175" i="6"/>
  <c r="Q167" i="6"/>
  <c r="Q78" i="6"/>
  <c r="Q77" i="6"/>
  <c r="N46" i="5"/>
  <c r="Q328" i="6"/>
  <c r="K43" i="5"/>
  <c r="Q307" i="6"/>
  <c r="J53" i="5"/>
  <c r="Q243" i="6"/>
  <c r="M51" i="5"/>
  <c r="Q368" i="6"/>
  <c r="L52" i="5"/>
  <c r="Q383" i="6"/>
  <c r="R152" i="6"/>
  <c r="R141" i="6"/>
  <c r="E101" i="5"/>
  <c r="Q87" i="6"/>
  <c r="C50" i="5"/>
  <c r="Q57" i="6"/>
  <c r="B51" i="5"/>
  <c r="Q105" i="6"/>
  <c r="Q399" i="6"/>
  <c r="Q292" i="6"/>
  <c r="Q182" i="6"/>
  <c r="Q173" i="6"/>
  <c r="R27" i="6"/>
  <c r="Q296" i="6"/>
  <c r="J42" i="5"/>
  <c r="Q209" i="6"/>
  <c r="G48" i="5"/>
  <c r="R56" i="6"/>
  <c r="Q42" i="6"/>
  <c r="B36" i="5"/>
  <c r="Q331" i="6"/>
  <c r="R203" i="6"/>
  <c r="Q177" i="6"/>
  <c r="I36" i="5"/>
  <c r="Q327" i="6"/>
  <c r="Q428" i="6"/>
  <c r="Q443" i="6"/>
  <c r="Q359" i="6"/>
  <c r="Q460" i="6"/>
  <c r="O53" i="5"/>
  <c r="Q430" i="6"/>
  <c r="N53" i="5"/>
  <c r="Q245" i="6"/>
  <c r="M53" i="5"/>
  <c r="Q357" i="6"/>
  <c r="Q393" i="6"/>
  <c r="Q367" i="6"/>
  <c r="R136" i="6"/>
  <c r="R115" i="6"/>
  <c r="D106" i="5"/>
  <c r="R89" i="6"/>
  <c r="C111" i="5"/>
  <c r="Q113" i="6"/>
  <c r="Q244" i="6"/>
  <c r="Q418" i="6"/>
  <c r="R213" i="6"/>
  <c r="R201" i="6"/>
  <c r="Q170" i="6"/>
  <c r="Q118" i="6"/>
  <c r="L16" i="6"/>
  <c r="H101" i="5" s="1"/>
  <c r="D16" i="6"/>
  <c r="H42" i="5" s="1"/>
  <c r="U1" i="1" l="1"/>
  <c r="T1" i="1"/>
  <c r="G1" i="1"/>
  <c r="F1" i="1"/>
  <c r="H400" i="8" l="1"/>
  <c r="G400" i="8"/>
  <c r="F400" i="8"/>
  <c r="E400" i="8"/>
  <c r="C400" i="8"/>
  <c r="B400" i="8"/>
  <c r="H399" i="8"/>
  <c r="G399" i="8"/>
  <c r="F399" i="8"/>
  <c r="E399" i="8"/>
  <c r="C399" i="8"/>
  <c r="B399" i="8"/>
  <c r="H398" i="8"/>
  <c r="G398" i="8"/>
  <c r="F398" i="8"/>
  <c r="E398" i="8"/>
  <c r="C398" i="8"/>
  <c r="B398" i="8"/>
  <c r="H397" i="8"/>
  <c r="G397" i="8"/>
  <c r="F397" i="8"/>
  <c r="E397" i="8"/>
  <c r="C397" i="8"/>
  <c r="B397" i="8"/>
  <c r="H395" i="8"/>
  <c r="G395" i="8"/>
  <c r="F395" i="8"/>
  <c r="E395" i="8"/>
  <c r="C395" i="8"/>
  <c r="B395" i="8"/>
  <c r="H394" i="8"/>
  <c r="G394" i="8"/>
  <c r="F394" i="8"/>
  <c r="E394" i="8"/>
  <c r="C394" i="8"/>
  <c r="B394" i="8"/>
  <c r="H393" i="8"/>
  <c r="G393" i="8"/>
  <c r="F393" i="8"/>
  <c r="E393" i="8"/>
  <c r="C393" i="8"/>
  <c r="B393" i="8"/>
  <c r="H392" i="8"/>
  <c r="G392" i="8"/>
  <c r="F392" i="8"/>
  <c r="E392" i="8"/>
  <c r="C392" i="8"/>
  <c r="B392" i="8"/>
  <c r="H390" i="8"/>
  <c r="G390" i="8"/>
  <c r="F390" i="8"/>
  <c r="E390" i="8"/>
  <c r="C390" i="8"/>
  <c r="B390" i="8"/>
  <c r="H389" i="8"/>
  <c r="G389" i="8"/>
  <c r="F389" i="8"/>
  <c r="E389" i="8"/>
  <c r="C389" i="8"/>
  <c r="B389" i="8"/>
  <c r="H388" i="8"/>
  <c r="G388" i="8"/>
  <c r="F388" i="8"/>
  <c r="E388" i="8"/>
  <c r="C388" i="8"/>
  <c r="B388" i="8"/>
  <c r="H387" i="8"/>
  <c r="G387" i="8"/>
  <c r="F387" i="8"/>
  <c r="E387" i="8"/>
  <c r="C387" i="8"/>
  <c r="B387" i="8"/>
  <c r="H385" i="8"/>
  <c r="G385" i="8"/>
  <c r="F385" i="8"/>
  <c r="E385" i="8"/>
  <c r="C385" i="8"/>
  <c r="B385" i="8"/>
  <c r="H384" i="8"/>
  <c r="G384" i="8"/>
  <c r="F384" i="8"/>
  <c r="E384" i="8"/>
  <c r="C384" i="8"/>
  <c r="B384" i="8"/>
  <c r="H383" i="8"/>
  <c r="G383" i="8"/>
  <c r="F383" i="8"/>
  <c r="E383" i="8"/>
  <c r="C383" i="8"/>
  <c r="B383" i="8"/>
  <c r="H382" i="8"/>
  <c r="G382" i="8"/>
  <c r="F382" i="8"/>
  <c r="E382" i="8"/>
  <c r="C382" i="8"/>
  <c r="B382" i="8"/>
  <c r="H460" i="8"/>
  <c r="G460" i="8"/>
  <c r="F460" i="8"/>
  <c r="E460" i="8"/>
  <c r="C460" i="8"/>
  <c r="B460" i="8"/>
  <c r="H459" i="8"/>
  <c r="G459" i="8"/>
  <c r="F459" i="8"/>
  <c r="E459" i="8"/>
  <c r="C459" i="8"/>
  <c r="B459" i="8"/>
  <c r="H458" i="8"/>
  <c r="G458" i="8"/>
  <c r="F458" i="8"/>
  <c r="E458" i="8"/>
  <c r="C458" i="8"/>
  <c r="B458" i="8"/>
  <c r="H457" i="8"/>
  <c r="G457" i="8"/>
  <c r="F457" i="8"/>
  <c r="E457" i="8"/>
  <c r="C457" i="8"/>
  <c r="B457" i="8"/>
  <c r="H455" i="8"/>
  <c r="G455" i="8"/>
  <c r="F455" i="8"/>
  <c r="E455" i="8"/>
  <c r="C455" i="8"/>
  <c r="B455" i="8"/>
  <c r="H454" i="8"/>
  <c r="G454" i="8"/>
  <c r="F454" i="8"/>
  <c r="E454" i="8"/>
  <c r="C454" i="8"/>
  <c r="B454" i="8"/>
  <c r="H453" i="8"/>
  <c r="G453" i="8"/>
  <c r="F453" i="8"/>
  <c r="E453" i="8"/>
  <c r="C453" i="8"/>
  <c r="B453" i="8"/>
  <c r="H452" i="8"/>
  <c r="G452" i="8"/>
  <c r="F452" i="8"/>
  <c r="E452" i="8"/>
  <c r="C452" i="8"/>
  <c r="B452" i="8"/>
  <c r="H450" i="8"/>
  <c r="G450" i="8"/>
  <c r="F450" i="8"/>
  <c r="E450" i="8"/>
  <c r="C450" i="8"/>
  <c r="B450" i="8"/>
  <c r="H449" i="8"/>
  <c r="G449" i="8"/>
  <c r="F449" i="8"/>
  <c r="E449" i="8"/>
  <c r="C449" i="8"/>
  <c r="B449" i="8"/>
  <c r="H448" i="8"/>
  <c r="G448" i="8"/>
  <c r="F448" i="8"/>
  <c r="E448" i="8"/>
  <c r="C448" i="8"/>
  <c r="B448" i="8"/>
  <c r="H447" i="8"/>
  <c r="G447" i="8"/>
  <c r="F447" i="8"/>
  <c r="E447" i="8"/>
  <c r="C447" i="8"/>
  <c r="B447" i="8"/>
  <c r="H445" i="8"/>
  <c r="G445" i="8"/>
  <c r="F445" i="8"/>
  <c r="E445" i="8"/>
  <c r="C445" i="8"/>
  <c r="B445" i="8"/>
  <c r="H444" i="8"/>
  <c r="G444" i="8"/>
  <c r="F444" i="8"/>
  <c r="E444" i="8"/>
  <c r="C444" i="8"/>
  <c r="B444" i="8"/>
  <c r="H443" i="8"/>
  <c r="G443" i="8"/>
  <c r="F443" i="8"/>
  <c r="E443" i="8"/>
  <c r="C443" i="8"/>
  <c r="B443" i="8"/>
  <c r="H442" i="8"/>
  <c r="G442" i="8"/>
  <c r="F442" i="8"/>
  <c r="E442" i="8"/>
  <c r="C442" i="8"/>
  <c r="B442" i="8"/>
  <c r="H430" i="8"/>
  <c r="G430" i="8"/>
  <c r="F430" i="8"/>
  <c r="E430" i="8"/>
  <c r="C430" i="8"/>
  <c r="B430" i="8"/>
  <c r="H429" i="8"/>
  <c r="G429" i="8"/>
  <c r="F429" i="8"/>
  <c r="E429" i="8"/>
  <c r="C429" i="8"/>
  <c r="B429" i="8"/>
  <c r="H428" i="8"/>
  <c r="G428" i="8"/>
  <c r="F428" i="8"/>
  <c r="E428" i="8"/>
  <c r="C428" i="8"/>
  <c r="B428" i="8"/>
  <c r="H427" i="8"/>
  <c r="G427" i="8"/>
  <c r="F427" i="8"/>
  <c r="E427" i="8"/>
  <c r="C427" i="8"/>
  <c r="B427" i="8"/>
  <c r="H425" i="8"/>
  <c r="G425" i="8"/>
  <c r="F425" i="8"/>
  <c r="E425" i="8"/>
  <c r="C425" i="8"/>
  <c r="B425" i="8"/>
  <c r="H424" i="8"/>
  <c r="G424" i="8"/>
  <c r="F424" i="8"/>
  <c r="E424" i="8"/>
  <c r="C424" i="8"/>
  <c r="B424" i="8"/>
  <c r="H423" i="8"/>
  <c r="G423" i="8"/>
  <c r="F423" i="8"/>
  <c r="E423" i="8"/>
  <c r="C423" i="8"/>
  <c r="B423" i="8"/>
  <c r="H422" i="8"/>
  <c r="G422" i="8"/>
  <c r="F422" i="8"/>
  <c r="E422" i="8"/>
  <c r="C422" i="8"/>
  <c r="B422" i="8"/>
  <c r="H420" i="8"/>
  <c r="G420" i="8"/>
  <c r="F420" i="8"/>
  <c r="E420" i="8"/>
  <c r="C420" i="8"/>
  <c r="B420" i="8"/>
  <c r="H419" i="8"/>
  <c r="G419" i="8"/>
  <c r="F419" i="8"/>
  <c r="E419" i="8"/>
  <c r="C419" i="8"/>
  <c r="B419" i="8"/>
  <c r="H418" i="8"/>
  <c r="G418" i="8"/>
  <c r="F418" i="8"/>
  <c r="E418" i="8"/>
  <c r="C418" i="8"/>
  <c r="B418" i="8"/>
  <c r="H417" i="8"/>
  <c r="G417" i="8"/>
  <c r="F417" i="8"/>
  <c r="E417" i="8"/>
  <c r="C417" i="8"/>
  <c r="B417" i="8"/>
  <c r="H415" i="8"/>
  <c r="G415" i="8"/>
  <c r="F415" i="8"/>
  <c r="E415" i="8"/>
  <c r="C415" i="8"/>
  <c r="B415" i="8"/>
  <c r="H414" i="8"/>
  <c r="G414" i="8"/>
  <c r="F414" i="8"/>
  <c r="E414" i="8"/>
  <c r="C414" i="8"/>
  <c r="B414" i="8"/>
  <c r="H413" i="8"/>
  <c r="G413" i="8"/>
  <c r="F413" i="8"/>
  <c r="E413" i="8"/>
  <c r="C413" i="8"/>
  <c r="B413" i="8"/>
  <c r="H412" i="8"/>
  <c r="G412" i="8"/>
  <c r="F412" i="8"/>
  <c r="E412" i="8"/>
  <c r="C412" i="8"/>
  <c r="B412" i="8"/>
  <c r="H369" i="8"/>
  <c r="G369" i="8"/>
  <c r="F369" i="8"/>
  <c r="E369" i="8"/>
  <c r="C369" i="8"/>
  <c r="B369" i="8"/>
  <c r="H368" i="8"/>
  <c r="G368" i="8"/>
  <c r="F368" i="8"/>
  <c r="E368" i="8"/>
  <c r="C368" i="8"/>
  <c r="B368" i="8"/>
  <c r="H367" i="8"/>
  <c r="G367" i="8"/>
  <c r="F367" i="8"/>
  <c r="E367" i="8"/>
  <c r="C367" i="8"/>
  <c r="B367" i="8"/>
  <c r="H366" i="8"/>
  <c r="G366" i="8"/>
  <c r="F366" i="8"/>
  <c r="E366" i="8"/>
  <c r="C366" i="8"/>
  <c r="B366" i="8"/>
  <c r="H364" i="8"/>
  <c r="G364" i="8"/>
  <c r="F364" i="8"/>
  <c r="E364" i="8"/>
  <c r="C364" i="8"/>
  <c r="B364" i="8"/>
  <c r="H363" i="8"/>
  <c r="G363" i="8"/>
  <c r="F363" i="8"/>
  <c r="E363" i="8"/>
  <c r="C363" i="8"/>
  <c r="B363" i="8"/>
  <c r="H362" i="8"/>
  <c r="G362" i="8"/>
  <c r="F362" i="8"/>
  <c r="E362" i="8"/>
  <c r="C362" i="8"/>
  <c r="B362" i="8"/>
  <c r="H361" i="8"/>
  <c r="G361" i="8"/>
  <c r="F361" i="8"/>
  <c r="E361" i="8"/>
  <c r="C361" i="8"/>
  <c r="B361" i="8"/>
  <c r="H359" i="8"/>
  <c r="G359" i="8"/>
  <c r="F359" i="8"/>
  <c r="E359" i="8"/>
  <c r="C359" i="8"/>
  <c r="B359" i="8"/>
  <c r="H358" i="8"/>
  <c r="G358" i="8"/>
  <c r="F358" i="8"/>
  <c r="E358" i="8"/>
  <c r="C358" i="8"/>
  <c r="B358" i="8"/>
  <c r="H357" i="8"/>
  <c r="G357" i="8"/>
  <c r="F357" i="8"/>
  <c r="E357" i="8"/>
  <c r="C357" i="8"/>
  <c r="B357" i="8"/>
  <c r="H356" i="8"/>
  <c r="G356" i="8"/>
  <c r="F356" i="8"/>
  <c r="E356" i="8"/>
  <c r="C356" i="8"/>
  <c r="B356" i="8"/>
  <c r="H354" i="8"/>
  <c r="G354" i="8"/>
  <c r="F354" i="8"/>
  <c r="E354" i="8"/>
  <c r="C354" i="8"/>
  <c r="B354" i="8"/>
  <c r="H353" i="8"/>
  <c r="G353" i="8"/>
  <c r="F353" i="8"/>
  <c r="E353" i="8"/>
  <c r="C353" i="8"/>
  <c r="B353" i="8"/>
  <c r="H352" i="8"/>
  <c r="G352" i="8"/>
  <c r="F352" i="8"/>
  <c r="E352" i="8"/>
  <c r="C352" i="8"/>
  <c r="B352" i="8"/>
  <c r="H351" i="8"/>
  <c r="G351" i="8"/>
  <c r="F351" i="8"/>
  <c r="E351" i="8"/>
  <c r="C351" i="8"/>
  <c r="B351" i="8"/>
  <c r="H338" i="8"/>
  <c r="G338" i="8"/>
  <c r="F338" i="8"/>
  <c r="E338" i="8"/>
  <c r="C338" i="8"/>
  <c r="B338" i="8"/>
  <c r="H337" i="8"/>
  <c r="G337" i="8"/>
  <c r="F337" i="8"/>
  <c r="E337" i="8"/>
  <c r="C337" i="8"/>
  <c r="B337" i="8"/>
  <c r="H336" i="8"/>
  <c r="G336" i="8"/>
  <c r="F336" i="8"/>
  <c r="E336" i="8"/>
  <c r="C336" i="8"/>
  <c r="B336" i="8"/>
  <c r="H335" i="8"/>
  <c r="G335" i="8"/>
  <c r="F335" i="8"/>
  <c r="E335" i="8"/>
  <c r="C335" i="8"/>
  <c r="B335" i="8"/>
  <c r="H333" i="8"/>
  <c r="G333" i="8"/>
  <c r="F333" i="8"/>
  <c r="E333" i="8"/>
  <c r="C333" i="8"/>
  <c r="B333" i="8"/>
  <c r="H332" i="8"/>
  <c r="G332" i="8"/>
  <c r="F332" i="8"/>
  <c r="E332" i="8"/>
  <c r="C332" i="8"/>
  <c r="B332" i="8"/>
  <c r="H331" i="8"/>
  <c r="G331" i="8"/>
  <c r="F331" i="8"/>
  <c r="E331" i="8"/>
  <c r="C331" i="8"/>
  <c r="B331" i="8"/>
  <c r="H330" i="8"/>
  <c r="G330" i="8"/>
  <c r="F330" i="8"/>
  <c r="E330" i="8"/>
  <c r="C330" i="8"/>
  <c r="B330" i="8"/>
  <c r="H328" i="8"/>
  <c r="G328" i="8"/>
  <c r="F328" i="8"/>
  <c r="E328" i="8"/>
  <c r="C328" i="8"/>
  <c r="B328" i="8"/>
  <c r="H327" i="8"/>
  <c r="G327" i="8"/>
  <c r="F327" i="8"/>
  <c r="E327" i="8"/>
  <c r="C327" i="8"/>
  <c r="B327" i="8"/>
  <c r="H326" i="8"/>
  <c r="G326" i="8"/>
  <c r="F326" i="8"/>
  <c r="E326" i="8"/>
  <c r="C326" i="8"/>
  <c r="B326" i="8"/>
  <c r="H325" i="8"/>
  <c r="G325" i="8"/>
  <c r="F325" i="8"/>
  <c r="E325" i="8"/>
  <c r="C325" i="8"/>
  <c r="B325" i="8"/>
  <c r="H323" i="8"/>
  <c r="G323" i="8"/>
  <c r="F323" i="8"/>
  <c r="E323" i="8"/>
  <c r="C323" i="8"/>
  <c r="B323" i="8"/>
  <c r="H322" i="8"/>
  <c r="G322" i="8"/>
  <c r="F322" i="8"/>
  <c r="E322" i="8"/>
  <c r="C322" i="8"/>
  <c r="B322" i="8"/>
  <c r="H321" i="8"/>
  <c r="G321" i="8"/>
  <c r="F321" i="8"/>
  <c r="E321" i="8"/>
  <c r="C321" i="8"/>
  <c r="B321" i="8"/>
  <c r="H320" i="8"/>
  <c r="G320" i="8"/>
  <c r="F320" i="8"/>
  <c r="E320" i="8"/>
  <c r="C320" i="8"/>
  <c r="B320" i="8"/>
  <c r="H307" i="8"/>
  <c r="G307" i="8"/>
  <c r="F307" i="8"/>
  <c r="E307" i="8"/>
  <c r="C307" i="8"/>
  <c r="B307" i="8"/>
  <c r="H306" i="8"/>
  <c r="G306" i="8"/>
  <c r="F306" i="8"/>
  <c r="E306" i="8"/>
  <c r="C306" i="8"/>
  <c r="B306" i="8"/>
  <c r="H305" i="8"/>
  <c r="G305" i="8"/>
  <c r="F305" i="8"/>
  <c r="E305" i="8"/>
  <c r="C305" i="8"/>
  <c r="B305" i="8"/>
  <c r="H304" i="8"/>
  <c r="G304" i="8"/>
  <c r="F304" i="8"/>
  <c r="E304" i="8"/>
  <c r="C304" i="8"/>
  <c r="B304" i="8"/>
  <c r="H302" i="8"/>
  <c r="G302" i="8"/>
  <c r="F302" i="8"/>
  <c r="E302" i="8"/>
  <c r="C302" i="8"/>
  <c r="B302" i="8"/>
  <c r="H301" i="8"/>
  <c r="G301" i="8"/>
  <c r="F301" i="8"/>
  <c r="E301" i="8"/>
  <c r="C301" i="8"/>
  <c r="B301" i="8"/>
  <c r="H300" i="8"/>
  <c r="G300" i="8"/>
  <c r="F300" i="8"/>
  <c r="E300" i="8"/>
  <c r="C300" i="8"/>
  <c r="B300" i="8"/>
  <c r="H299" i="8"/>
  <c r="G299" i="8"/>
  <c r="F299" i="8"/>
  <c r="E299" i="8"/>
  <c r="C299" i="8"/>
  <c r="B299" i="8"/>
  <c r="H297" i="8"/>
  <c r="G297" i="8"/>
  <c r="F297" i="8"/>
  <c r="E297" i="8"/>
  <c r="C297" i="8"/>
  <c r="B297" i="8"/>
  <c r="H296" i="8"/>
  <c r="G296" i="8"/>
  <c r="F296" i="8"/>
  <c r="E296" i="8"/>
  <c r="C296" i="8"/>
  <c r="B296" i="8"/>
  <c r="H295" i="8"/>
  <c r="G295" i="8"/>
  <c r="F295" i="8"/>
  <c r="E295" i="8"/>
  <c r="C295" i="8"/>
  <c r="B295" i="8"/>
  <c r="H294" i="8"/>
  <c r="G294" i="8"/>
  <c r="F294" i="8"/>
  <c r="E294" i="8"/>
  <c r="C294" i="8"/>
  <c r="B294" i="8"/>
  <c r="H292" i="8"/>
  <c r="G292" i="8"/>
  <c r="F292" i="8"/>
  <c r="E292" i="8"/>
  <c r="C292" i="8"/>
  <c r="B292" i="8"/>
  <c r="H291" i="8"/>
  <c r="G291" i="8"/>
  <c r="F291" i="8"/>
  <c r="E291" i="8"/>
  <c r="C291" i="8"/>
  <c r="B291" i="8"/>
  <c r="H290" i="8"/>
  <c r="G290" i="8"/>
  <c r="F290" i="8"/>
  <c r="E290" i="8"/>
  <c r="C290" i="8"/>
  <c r="B290" i="8"/>
  <c r="H289" i="8"/>
  <c r="G289" i="8"/>
  <c r="F289" i="8"/>
  <c r="E289" i="8"/>
  <c r="C289" i="8"/>
  <c r="B289" i="8"/>
  <c r="H276" i="8"/>
  <c r="G276" i="8"/>
  <c r="F276" i="8"/>
  <c r="E276" i="8"/>
  <c r="C276" i="8"/>
  <c r="B276" i="8"/>
  <c r="H275" i="8"/>
  <c r="G275" i="8"/>
  <c r="F275" i="8"/>
  <c r="E275" i="8"/>
  <c r="C275" i="8"/>
  <c r="B275" i="8"/>
  <c r="H274" i="8"/>
  <c r="G274" i="8"/>
  <c r="F274" i="8"/>
  <c r="E274" i="8"/>
  <c r="C274" i="8"/>
  <c r="B274" i="8"/>
  <c r="H273" i="8"/>
  <c r="G273" i="8"/>
  <c r="F273" i="8"/>
  <c r="E273" i="8"/>
  <c r="C273" i="8"/>
  <c r="B273" i="8"/>
  <c r="H271" i="8"/>
  <c r="G271" i="8"/>
  <c r="F271" i="8"/>
  <c r="E271" i="8"/>
  <c r="C271" i="8"/>
  <c r="B271" i="8"/>
  <c r="H270" i="8"/>
  <c r="G270" i="8"/>
  <c r="F270" i="8"/>
  <c r="E270" i="8"/>
  <c r="C270" i="8"/>
  <c r="B270" i="8"/>
  <c r="H269" i="8"/>
  <c r="G269" i="8"/>
  <c r="F269" i="8"/>
  <c r="E269" i="8"/>
  <c r="C269" i="8"/>
  <c r="B269" i="8"/>
  <c r="H268" i="8"/>
  <c r="G268" i="8"/>
  <c r="F268" i="8"/>
  <c r="E268" i="8"/>
  <c r="C268" i="8"/>
  <c r="B268" i="8"/>
  <c r="H266" i="8"/>
  <c r="G266" i="8"/>
  <c r="F266" i="8"/>
  <c r="E266" i="8"/>
  <c r="C266" i="8"/>
  <c r="B266" i="8"/>
  <c r="H265" i="8"/>
  <c r="G265" i="8"/>
  <c r="F265" i="8"/>
  <c r="E265" i="8"/>
  <c r="C265" i="8"/>
  <c r="B265" i="8"/>
  <c r="H264" i="8"/>
  <c r="G264" i="8"/>
  <c r="F264" i="8"/>
  <c r="E264" i="8"/>
  <c r="C264" i="8"/>
  <c r="B264" i="8"/>
  <c r="H263" i="8"/>
  <c r="G263" i="8"/>
  <c r="F263" i="8"/>
  <c r="E263" i="8"/>
  <c r="C263" i="8"/>
  <c r="B263" i="8"/>
  <c r="H261" i="8"/>
  <c r="G261" i="8"/>
  <c r="F261" i="8"/>
  <c r="E261" i="8"/>
  <c r="C261" i="8"/>
  <c r="B261" i="8"/>
  <c r="H260" i="8"/>
  <c r="G260" i="8"/>
  <c r="F260" i="8"/>
  <c r="E260" i="8"/>
  <c r="C260" i="8"/>
  <c r="B260" i="8"/>
  <c r="H259" i="8"/>
  <c r="G259" i="8"/>
  <c r="F259" i="8"/>
  <c r="E259" i="8"/>
  <c r="C259" i="8"/>
  <c r="B259" i="8"/>
  <c r="H258" i="8"/>
  <c r="G258" i="8"/>
  <c r="F258" i="8"/>
  <c r="E258" i="8"/>
  <c r="C258" i="8"/>
  <c r="B258" i="8"/>
  <c r="H245" i="8"/>
  <c r="G245" i="8"/>
  <c r="F245" i="8"/>
  <c r="E245" i="8"/>
  <c r="C245" i="8"/>
  <c r="B245" i="8"/>
  <c r="H244" i="8"/>
  <c r="G244" i="8"/>
  <c r="F244" i="8"/>
  <c r="E244" i="8"/>
  <c r="C244" i="8"/>
  <c r="B244" i="8"/>
  <c r="H243" i="8"/>
  <c r="G243" i="8"/>
  <c r="F243" i="8"/>
  <c r="E243" i="8"/>
  <c r="C243" i="8"/>
  <c r="B243" i="8"/>
  <c r="H242" i="8"/>
  <c r="G242" i="8"/>
  <c r="F242" i="8"/>
  <c r="E242" i="8"/>
  <c r="C242" i="8"/>
  <c r="B242" i="8"/>
  <c r="H240" i="8"/>
  <c r="G240" i="8"/>
  <c r="F240" i="8"/>
  <c r="E240" i="8"/>
  <c r="C240" i="8"/>
  <c r="B240" i="8"/>
  <c r="H239" i="8"/>
  <c r="G239" i="8"/>
  <c r="F239" i="8"/>
  <c r="E239" i="8"/>
  <c r="C239" i="8"/>
  <c r="B239" i="8"/>
  <c r="H238" i="8"/>
  <c r="G238" i="8"/>
  <c r="F238" i="8"/>
  <c r="E238" i="8"/>
  <c r="C238" i="8"/>
  <c r="B238" i="8"/>
  <c r="H237" i="8"/>
  <c r="G237" i="8"/>
  <c r="F237" i="8"/>
  <c r="E237" i="8"/>
  <c r="C237" i="8"/>
  <c r="B237" i="8"/>
  <c r="H235" i="8"/>
  <c r="G235" i="8"/>
  <c r="F235" i="8"/>
  <c r="E235" i="8"/>
  <c r="C235" i="8"/>
  <c r="B235" i="8"/>
  <c r="H234" i="8"/>
  <c r="G234" i="8"/>
  <c r="F234" i="8"/>
  <c r="E234" i="8"/>
  <c r="C234" i="8"/>
  <c r="B234" i="8"/>
  <c r="H233" i="8"/>
  <c r="G233" i="8"/>
  <c r="F233" i="8"/>
  <c r="E233" i="8"/>
  <c r="C233" i="8"/>
  <c r="B233" i="8"/>
  <c r="H232" i="8"/>
  <c r="G232" i="8"/>
  <c r="F232" i="8"/>
  <c r="E232" i="8"/>
  <c r="C232" i="8"/>
  <c r="B232" i="8"/>
  <c r="H230" i="8"/>
  <c r="G230" i="8"/>
  <c r="F230" i="8"/>
  <c r="E230" i="8"/>
  <c r="C230" i="8"/>
  <c r="B230" i="8"/>
  <c r="H229" i="8"/>
  <c r="G229" i="8"/>
  <c r="F229" i="8"/>
  <c r="E229" i="8"/>
  <c r="C229" i="8"/>
  <c r="B229" i="8"/>
  <c r="H228" i="8"/>
  <c r="G228" i="8"/>
  <c r="F228" i="8"/>
  <c r="E228" i="8"/>
  <c r="C228" i="8"/>
  <c r="B228" i="8"/>
  <c r="H227" i="8"/>
  <c r="G227" i="8"/>
  <c r="F227" i="8"/>
  <c r="E227" i="8"/>
  <c r="C227" i="8"/>
  <c r="B227" i="8"/>
  <c r="P214" i="8"/>
  <c r="O214" i="8"/>
  <c r="N214" i="8"/>
  <c r="M214" i="8"/>
  <c r="K214" i="8"/>
  <c r="J214" i="8"/>
  <c r="H214" i="8"/>
  <c r="G214" i="8"/>
  <c r="F214" i="8"/>
  <c r="E214" i="8"/>
  <c r="C214" i="8"/>
  <c r="B214" i="8"/>
  <c r="P213" i="8"/>
  <c r="O213" i="8"/>
  <c r="N213" i="8"/>
  <c r="M213" i="8"/>
  <c r="K213" i="8"/>
  <c r="J213" i="8"/>
  <c r="H213" i="8"/>
  <c r="G213" i="8"/>
  <c r="F213" i="8"/>
  <c r="E213" i="8"/>
  <c r="C213" i="8"/>
  <c r="B213" i="8"/>
  <c r="P212" i="8"/>
  <c r="O212" i="8"/>
  <c r="N212" i="8"/>
  <c r="M212" i="8"/>
  <c r="K212" i="8"/>
  <c r="J212" i="8"/>
  <c r="H212" i="8"/>
  <c r="G212" i="8"/>
  <c r="F212" i="8"/>
  <c r="E212" i="8"/>
  <c r="C212" i="8"/>
  <c r="B212" i="8"/>
  <c r="P211" i="8"/>
  <c r="O211" i="8"/>
  <c r="N211" i="8"/>
  <c r="M211" i="8"/>
  <c r="K211" i="8"/>
  <c r="J211" i="8"/>
  <c r="H211" i="8"/>
  <c r="G211" i="8"/>
  <c r="F211" i="8"/>
  <c r="E211" i="8"/>
  <c r="C211" i="8"/>
  <c r="B211" i="8"/>
  <c r="P209" i="8"/>
  <c r="O209" i="8"/>
  <c r="N209" i="8"/>
  <c r="M209" i="8"/>
  <c r="K209" i="8"/>
  <c r="J209" i="8"/>
  <c r="H209" i="8"/>
  <c r="G209" i="8"/>
  <c r="F209" i="8"/>
  <c r="E209" i="8"/>
  <c r="C209" i="8"/>
  <c r="B209" i="8"/>
  <c r="P208" i="8"/>
  <c r="O208" i="8"/>
  <c r="N208" i="8"/>
  <c r="M208" i="8"/>
  <c r="K208" i="8"/>
  <c r="J208" i="8"/>
  <c r="H208" i="8"/>
  <c r="G208" i="8"/>
  <c r="F208" i="8"/>
  <c r="E208" i="8"/>
  <c r="C208" i="8"/>
  <c r="B208" i="8"/>
  <c r="P207" i="8"/>
  <c r="O207" i="8"/>
  <c r="N207" i="8"/>
  <c r="M207" i="8"/>
  <c r="K207" i="8"/>
  <c r="J207" i="8"/>
  <c r="H207" i="8"/>
  <c r="G207" i="8"/>
  <c r="F207" i="8"/>
  <c r="E207" i="8"/>
  <c r="C207" i="8"/>
  <c r="B207" i="8"/>
  <c r="P206" i="8"/>
  <c r="O206" i="8"/>
  <c r="N206" i="8"/>
  <c r="M206" i="8"/>
  <c r="K206" i="8"/>
  <c r="J206" i="8"/>
  <c r="H206" i="8"/>
  <c r="G206" i="8"/>
  <c r="F206" i="8"/>
  <c r="E206" i="8"/>
  <c r="C206" i="8"/>
  <c r="B206" i="8"/>
  <c r="P204" i="8"/>
  <c r="O204" i="8"/>
  <c r="N204" i="8"/>
  <c r="M204" i="8"/>
  <c r="K204" i="8"/>
  <c r="J204" i="8"/>
  <c r="H204" i="8"/>
  <c r="G204" i="8"/>
  <c r="F204" i="8"/>
  <c r="E204" i="8"/>
  <c r="C204" i="8"/>
  <c r="B204" i="8"/>
  <c r="P203" i="8"/>
  <c r="O203" i="8"/>
  <c r="N203" i="8"/>
  <c r="M203" i="8"/>
  <c r="K203" i="8"/>
  <c r="J203" i="8"/>
  <c r="H203" i="8"/>
  <c r="G203" i="8"/>
  <c r="F203" i="8"/>
  <c r="E203" i="8"/>
  <c r="C203" i="8"/>
  <c r="B203" i="8"/>
  <c r="P202" i="8"/>
  <c r="O202" i="8"/>
  <c r="N202" i="8"/>
  <c r="M202" i="8"/>
  <c r="K202" i="8"/>
  <c r="J202" i="8"/>
  <c r="H202" i="8"/>
  <c r="G202" i="8"/>
  <c r="F202" i="8"/>
  <c r="E202" i="8"/>
  <c r="C202" i="8"/>
  <c r="B202" i="8"/>
  <c r="P201" i="8"/>
  <c r="O201" i="8"/>
  <c r="N201" i="8"/>
  <c r="M201" i="8"/>
  <c r="K201" i="8"/>
  <c r="J201" i="8"/>
  <c r="H201" i="8"/>
  <c r="G201" i="8"/>
  <c r="F201" i="8"/>
  <c r="E201" i="8"/>
  <c r="C201" i="8"/>
  <c r="B201" i="8"/>
  <c r="P199" i="8"/>
  <c r="O199" i="8"/>
  <c r="N199" i="8"/>
  <c r="M199" i="8"/>
  <c r="K199" i="8"/>
  <c r="J199" i="8"/>
  <c r="H199" i="8"/>
  <c r="G199" i="8"/>
  <c r="F199" i="8"/>
  <c r="E199" i="8"/>
  <c r="C199" i="8"/>
  <c r="B199" i="8"/>
  <c r="P198" i="8"/>
  <c r="O198" i="8"/>
  <c r="N198" i="8"/>
  <c r="M198" i="8"/>
  <c r="K198" i="8"/>
  <c r="J198" i="8"/>
  <c r="H198" i="8"/>
  <c r="G198" i="8"/>
  <c r="F198" i="8"/>
  <c r="E198" i="8"/>
  <c r="C198" i="8"/>
  <c r="B198" i="8"/>
  <c r="P197" i="8"/>
  <c r="O197" i="8"/>
  <c r="N197" i="8"/>
  <c r="M197" i="8"/>
  <c r="K197" i="8"/>
  <c r="J197" i="8"/>
  <c r="H197" i="8"/>
  <c r="G197" i="8"/>
  <c r="F197" i="8"/>
  <c r="E197" i="8"/>
  <c r="C197" i="8"/>
  <c r="B197" i="8"/>
  <c r="P196" i="8"/>
  <c r="O196" i="8"/>
  <c r="N196" i="8"/>
  <c r="M196" i="8"/>
  <c r="K196" i="8"/>
  <c r="J196" i="8"/>
  <c r="H196" i="8"/>
  <c r="G196" i="8"/>
  <c r="F196" i="8"/>
  <c r="E196" i="8"/>
  <c r="C196" i="8"/>
  <c r="B196" i="8"/>
  <c r="P183" i="8"/>
  <c r="O183" i="8"/>
  <c r="N183" i="8"/>
  <c r="M183" i="8"/>
  <c r="K183" i="8"/>
  <c r="J183" i="8"/>
  <c r="H183" i="8"/>
  <c r="G183" i="8"/>
  <c r="F183" i="8"/>
  <c r="E183" i="8"/>
  <c r="C183" i="8"/>
  <c r="B183" i="8"/>
  <c r="P182" i="8"/>
  <c r="O182" i="8"/>
  <c r="N182" i="8"/>
  <c r="M182" i="8"/>
  <c r="K182" i="8"/>
  <c r="J182" i="8"/>
  <c r="H182" i="8"/>
  <c r="G182" i="8"/>
  <c r="F182" i="8"/>
  <c r="E182" i="8"/>
  <c r="C182" i="8"/>
  <c r="B182" i="8"/>
  <c r="P181" i="8"/>
  <c r="O181" i="8"/>
  <c r="N181" i="8"/>
  <c r="M181" i="8"/>
  <c r="K181" i="8"/>
  <c r="J181" i="8"/>
  <c r="H181" i="8"/>
  <c r="G181" i="8"/>
  <c r="F181" i="8"/>
  <c r="E181" i="8"/>
  <c r="C181" i="8"/>
  <c r="B181" i="8"/>
  <c r="P180" i="8"/>
  <c r="O180" i="8"/>
  <c r="N180" i="8"/>
  <c r="M180" i="8"/>
  <c r="K180" i="8"/>
  <c r="J180" i="8"/>
  <c r="H180" i="8"/>
  <c r="G180" i="8"/>
  <c r="F180" i="8"/>
  <c r="E180" i="8"/>
  <c r="C180" i="8"/>
  <c r="B180" i="8"/>
  <c r="P178" i="8"/>
  <c r="O178" i="8"/>
  <c r="N178" i="8"/>
  <c r="M178" i="8"/>
  <c r="K178" i="8"/>
  <c r="J178" i="8"/>
  <c r="H178" i="8"/>
  <c r="G178" i="8"/>
  <c r="F178" i="8"/>
  <c r="E178" i="8"/>
  <c r="C178" i="8"/>
  <c r="B178" i="8"/>
  <c r="P177" i="8"/>
  <c r="O177" i="8"/>
  <c r="N177" i="8"/>
  <c r="M177" i="8"/>
  <c r="K177" i="8"/>
  <c r="J177" i="8"/>
  <c r="H177" i="8"/>
  <c r="G177" i="8"/>
  <c r="F177" i="8"/>
  <c r="E177" i="8"/>
  <c r="C177" i="8"/>
  <c r="B177" i="8"/>
  <c r="P176" i="8"/>
  <c r="O176" i="8"/>
  <c r="N176" i="8"/>
  <c r="M176" i="8"/>
  <c r="K176" i="8"/>
  <c r="J176" i="8"/>
  <c r="H176" i="8"/>
  <c r="G176" i="8"/>
  <c r="F176" i="8"/>
  <c r="E176" i="8"/>
  <c r="C176" i="8"/>
  <c r="B176" i="8"/>
  <c r="P175" i="8"/>
  <c r="O175" i="8"/>
  <c r="N175" i="8"/>
  <c r="M175" i="8"/>
  <c r="K175" i="8"/>
  <c r="J175" i="8"/>
  <c r="H175" i="8"/>
  <c r="G175" i="8"/>
  <c r="F175" i="8"/>
  <c r="E175" i="8"/>
  <c r="C175" i="8"/>
  <c r="B175" i="8"/>
  <c r="P173" i="8"/>
  <c r="O173" i="8"/>
  <c r="N173" i="8"/>
  <c r="M173" i="8"/>
  <c r="K173" i="8"/>
  <c r="J173" i="8"/>
  <c r="H173" i="8"/>
  <c r="G173" i="8"/>
  <c r="F173" i="8"/>
  <c r="E173" i="8"/>
  <c r="C173" i="8"/>
  <c r="B173" i="8"/>
  <c r="P172" i="8"/>
  <c r="O172" i="8"/>
  <c r="N172" i="8"/>
  <c r="M172" i="8"/>
  <c r="K172" i="8"/>
  <c r="J172" i="8"/>
  <c r="H172" i="8"/>
  <c r="G172" i="8"/>
  <c r="F172" i="8"/>
  <c r="E172" i="8"/>
  <c r="C172" i="8"/>
  <c r="B172" i="8"/>
  <c r="P171" i="8"/>
  <c r="O171" i="8"/>
  <c r="N171" i="8"/>
  <c r="M171" i="8"/>
  <c r="K171" i="8"/>
  <c r="J171" i="8"/>
  <c r="H171" i="8"/>
  <c r="G171" i="8"/>
  <c r="F171" i="8"/>
  <c r="E171" i="8"/>
  <c r="C171" i="8"/>
  <c r="B171" i="8"/>
  <c r="P170" i="8"/>
  <c r="O170" i="8"/>
  <c r="N170" i="8"/>
  <c r="M170" i="8"/>
  <c r="K170" i="8"/>
  <c r="J170" i="8"/>
  <c r="H170" i="8"/>
  <c r="G170" i="8"/>
  <c r="F170" i="8"/>
  <c r="E170" i="8"/>
  <c r="C170" i="8"/>
  <c r="B170" i="8"/>
  <c r="P168" i="8"/>
  <c r="O168" i="8"/>
  <c r="N168" i="8"/>
  <c r="M168" i="8"/>
  <c r="K168" i="8"/>
  <c r="J168" i="8"/>
  <c r="H168" i="8"/>
  <c r="G168" i="8"/>
  <c r="F168" i="8"/>
  <c r="E168" i="8"/>
  <c r="C168" i="8"/>
  <c r="B168" i="8"/>
  <c r="P167" i="8"/>
  <c r="O167" i="8"/>
  <c r="N167" i="8"/>
  <c r="M167" i="8"/>
  <c r="K167" i="8"/>
  <c r="J167" i="8"/>
  <c r="H167" i="8"/>
  <c r="G167" i="8"/>
  <c r="F167" i="8"/>
  <c r="E167" i="8"/>
  <c r="C167" i="8"/>
  <c r="B167" i="8"/>
  <c r="P166" i="8"/>
  <c r="O166" i="8"/>
  <c r="N166" i="8"/>
  <c r="M166" i="8"/>
  <c r="K166" i="8"/>
  <c r="J166" i="8"/>
  <c r="H166" i="8"/>
  <c r="G166" i="8"/>
  <c r="F166" i="8"/>
  <c r="E166" i="8"/>
  <c r="C166" i="8"/>
  <c r="B166" i="8"/>
  <c r="P165" i="8"/>
  <c r="O165" i="8"/>
  <c r="N165" i="8"/>
  <c r="M165" i="8"/>
  <c r="K165" i="8"/>
  <c r="J165" i="8"/>
  <c r="H165" i="8"/>
  <c r="G165" i="8"/>
  <c r="F165" i="8"/>
  <c r="E165" i="8"/>
  <c r="C165" i="8"/>
  <c r="B165" i="8"/>
  <c r="P152" i="8"/>
  <c r="O152" i="8"/>
  <c r="N152" i="8"/>
  <c r="M152" i="8"/>
  <c r="K152" i="8"/>
  <c r="J152" i="8"/>
  <c r="H152" i="8"/>
  <c r="G152" i="8"/>
  <c r="F152" i="8"/>
  <c r="E152" i="8"/>
  <c r="C152" i="8"/>
  <c r="B152" i="8"/>
  <c r="P151" i="8"/>
  <c r="O151" i="8"/>
  <c r="N151" i="8"/>
  <c r="M151" i="8"/>
  <c r="K151" i="8"/>
  <c r="J151" i="8"/>
  <c r="H151" i="8"/>
  <c r="G151" i="8"/>
  <c r="F151" i="8"/>
  <c r="E151" i="8"/>
  <c r="C151" i="8"/>
  <c r="B151" i="8"/>
  <c r="P150" i="8"/>
  <c r="O150" i="8"/>
  <c r="N150" i="8"/>
  <c r="M150" i="8"/>
  <c r="K150" i="8"/>
  <c r="J150" i="8"/>
  <c r="H150" i="8"/>
  <c r="G150" i="8"/>
  <c r="F150" i="8"/>
  <c r="E150" i="8"/>
  <c r="C150" i="8"/>
  <c r="B150" i="8"/>
  <c r="P149" i="8"/>
  <c r="O149" i="8"/>
  <c r="N149" i="8"/>
  <c r="M149" i="8"/>
  <c r="K149" i="8"/>
  <c r="J149" i="8"/>
  <c r="H149" i="8"/>
  <c r="G149" i="8"/>
  <c r="F149" i="8"/>
  <c r="E149" i="8"/>
  <c r="C149" i="8"/>
  <c r="B149" i="8"/>
  <c r="P147" i="8"/>
  <c r="O147" i="8"/>
  <c r="N147" i="8"/>
  <c r="M147" i="8"/>
  <c r="K147" i="8"/>
  <c r="J147" i="8"/>
  <c r="H147" i="8"/>
  <c r="G147" i="8"/>
  <c r="F147" i="8"/>
  <c r="E147" i="8"/>
  <c r="C147" i="8"/>
  <c r="B147" i="8"/>
  <c r="P146" i="8"/>
  <c r="O146" i="8"/>
  <c r="N146" i="8"/>
  <c r="M146" i="8"/>
  <c r="K146" i="8"/>
  <c r="J146" i="8"/>
  <c r="H146" i="8"/>
  <c r="G146" i="8"/>
  <c r="F146" i="8"/>
  <c r="E146" i="8"/>
  <c r="C146" i="8"/>
  <c r="B146" i="8"/>
  <c r="P145" i="8"/>
  <c r="O145" i="8"/>
  <c r="N145" i="8"/>
  <c r="M145" i="8"/>
  <c r="K145" i="8"/>
  <c r="J145" i="8"/>
  <c r="H145" i="8"/>
  <c r="G145" i="8"/>
  <c r="F145" i="8"/>
  <c r="E145" i="8"/>
  <c r="C145" i="8"/>
  <c r="B145" i="8"/>
  <c r="P144" i="8"/>
  <c r="O144" i="8"/>
  <c r="N144" i="8"/>
  <c r="M144" i="8"/>
  <c r="K144" i="8"/>
  <c r="J144" i="8"/>
  <c r="H144" i="8"/>
  <c r="G144" i="8"/>
  <c r="F144" i="8"/>
  <c r="E144" i="8"/>
  <c r="C144" i="8"/>
  <c r="B144" i="8"/>
  <c r="P142" i="8"/>
  <c r="O142" i="8"/>
  <c r="N142" i="8"/>
  <c r="M142" i="8"/>
  <c r="K142" i="8"/>
  <c r="J142" i="8"/>
  <c r="H142" i="8"/>
  <c r="G142" i="8"/>
  <c r="F142" i="8"/>
  <c r="E142" i="8"/>
  <c r="C142" i="8"/>
  <c r="B142" i="8"/>
  <c r="P141" i="8"/>
  <c r="O141" i="8"/>
  <c r="N141" i="8"/>
  <c r="M141" i="8"/>
  <c r="K141" i="8"/>
  <c r="J141" i="8"/>
  <c r="H141" i="8"/>
  <c r="G141" i="8"/>
  <c r="F141" i="8"/>
  <c r="E141" i="8"/>
  <c r="C141" i="8"/>
  <c r="B141" i="8"/>
  <c r="P140" i="8"/>
  <c r="O140" i="8"/>
  <c r="N140" i="8"/>
  <c r="M140" i="8"/>
  <c r="K140" i="8"/>
  <c r="J140" i="8"/>
  <c r="H140" i="8"/>
  <c r="G140" i="8"/>
  <c r="F140" i="8"/>
  <c r="E140" i="8"/>
  <c r="C140" i="8"/>
  <c r="B140" i="8"/>
  <c r="P139" i="8"/>
  <c r="O139" i="8"/>
  <c r="N139" i="8"/>
  <c r="M139" i="8"/>
  <c r="K139" i="8"/>
  <c r="J139" i="8"/>
  <c r="H139" i="8"/>
  <c r="G139" i="8"/>
  <c r="F139" i="8"/>
  <c r="E139" i="8"/>
  <c r="C139" i="8"/>
  <c r="B139" i="8"/>
  <c r="P137" i="8"/>
  <c r="O137" i="8"/>
  <c r="N137" i="8"/>
  <c r="M137" i="8"/>
  <c r="K137" i="8"/>
  <c r="J137" i="8"/>
  <c r="H137" i="8"/>
  <c r="G137" i="8"/>
  <c r="F137" i="8"/>
  <c r="E137" i="8"/>
  <c r="C137" i="8"/>
  <c r="B137" i="8"/>
  <c r="P136" i="8"/>
  <c r="O136" i="8"/>
  <c r="N136" i="8"/>
  <c r="M136" i="8"/>
  <c r="K136" i="8"/>
  <c r="J136" i="8"/>
  <c r="H136" i="8"/>
  <c r="G136" i="8"/>
  <c r="F136" i="8"/>
  <c r="E136" i="8"/>
  <c r="C136" i="8"/>
  <c r="B136" i="8"/>
  <c r="P135" i="8"/>
  <c r="O135" i="8"/>
  <c r="N135" i="8"/>
  <c r="M135" i="8"/>
  <c r="K135" i="8"/>
  <c r="J135" i="8"/>
  <c r="H135" i="8"/>
  <c r="G135" i="8"/>
  <c r="F135" i="8"/>
  <c r="E135" i="8"/>
  <c r="C135" i="8"/>
  <c r="B135" i="8"/>
  <c r="P134" i="8"/>
  <c r="O134" i="8"/>
  <c r="N134" i="8"/>
  <c r="M134" i="8"/>
  <c r="K134" i="8"/>
  <c r="J134" i="8"/>
  <c r="H134" i="8"/>
  <c r="G134" i="8"/>
  <c r="F134" i="8"/>
  <c r="E134" i="8"/>
  <c r="C134" i="8"/>
  <c r="B134" i="8"/>
  <c r="P121" i="8"/>
  <c r="O121" i="8"/>
  <c r="N121" i="8"/>
  <c r="M121" i="8"/>
  <c r="K121" i="8"/>
  <c r="J121" i="8"/>
  <c r="H121" i="8"/>
  <c r="G121" i="8"/>
  <c r="F121" i="8"/>
  <c r="E121" i="8"/>
  <c r="C121" i="8"/>
  <c r="B121" i="8"/>
  <c r="P120" i="8"/>
  <c r="O120" i="8"/>
  <c r="N120" i="8"/>
  <c r="M120" i="8"/>
  <c r="K120" i="8"/>
  <c r="J120" i="8"/>
  <c r="H120" i="8"/>
  <c r="G120" i="8"/>
  <c r="F120" i="8"/>
  <c r="E120" i="8"/>
  <c r="C120" i="8"/>
  <c r="B120" i="8"/>
  <c r="P119" i="8"/>
  <c r="O119" i="8"/>
  <c r="N119" i="8"/>
  <c r="M119" i="8"/>
  <c r="K119" i="8"/>
  <c r="J119" i="8"/>
  <c r="H119" i="8"/>
  <c r="G119" i="8"/>
  <c r="F119" i="8"/>
  <c r="E119" i="8"/>
  <c r="C119" i="8"/>
  <c r="B119" i="8"/>
  <c r="P118" i="8"/>
  <c r="O118" i="8"/>
  <c r="N118" i="8"/>
  <c r="M118" i="8"/>
  <c r="K118" i="8"/>
  <c r="J118" i="8"/>
  <c r="H118" i="8"/>
  <c r="G118" i="8"/>
  <c r="F118" i="8"/>
  <c r="E118" i="8"/>
  <c r="C118" i="8"/>
  <c r="B118" i="8"/>
  <c r="P116" i="8"/>
  <c r="O116" i="8"/>
  <c r="N116" i="8"/>
  <c r="M116" i="8"/>
  <c r="K116" i="8"/>
  <c r="J116" i="8"/>
  <c r="H116" i="8"/>
  <c r="G116" i="8"/>
  <c r="F116" i="8"/>
  <c r="E116" i="8"/>
  <c r="C116" i="8"/>
  <c r="B116" i="8"/>
  <c r="P115" i="8"/>
  <c r="O115" i="8"/>
  <c r="N115" i="8"/>
  <c r="M115" i="8"/>
  <c r="K115" i="8"/>
  <c r="J115" i="8"/>
  <c r="H115" i="8"/>
  <c r="G115" i="8"/>
  <c r="F115" i="8"/>
  <c r="E115" i="8"/>
  <c r="C115" i="8"/>
  <c r="B115" i="8"/>
  <c r="P114" i="8"/>
  <c r="O114" i="8"/>
  <c r="N114" i="8"/>
  <c r="M114" i="8"/>
  <c r="K114" i="8"/>
  <c r="J114" i="8"/>
  <c r="H114" i="8"/>
  <c r="G114" i="8"/>
  <c r="F114" i="8"/>
  <c r="E114" i="8"/>
  <c r="C114" i="8"/>
  <c r="B114" i="8"/>
  <c r="P113" i="8"/>
  <c r="O113" i="8"/>
  <c r="N113" i="8"/>
  <c r="M113" i="8"/>
  <c r="K113" i="8"/>
  <c r="J113" i="8"/>
  <c r="H113" i="8"/>
  <c r="G113" i="8"/>
  <c r="F113" i="8"/>
  <c r="E113" i="8"/>
  <c r="C113" i="8"/>
  <c r="B113" i="8"/>
  <c r="P111" i="8"/>
  <c r="O111" i="8"/>
  <c r="N111" i="8"/>
  <c r="M111" i="8"/>
  <c r="K111" i="8"/>
  <c r="J111" i="8"/>
  <c r="H111" i="8"/>
  <c r="G111" i="8"/>
  <c r="F111" i="8"/>
  <c r="E111" i="8"/>
  <c r="C111" i="8"/>
  <c r="B111" i="8"/>
  <c r="P110" i="8"/>
  <c r="O110" i="8"/>
  <c r="N110" i="8"/>
  <c r="M110" i="8"/>
  <c r="K110" i="8"/>
  <c r="J110" i="8"/>
  <c r="H110" i="8"/>
  <c r="G110" i="8"/>
  <c r="F110" i="8"/>
  <c r="E110" i="8"/>
  <c r="C110" i="8"/>
  <c r="B110" i="8"/>
  <c r="P109" i="8"/>
  <c r="O109" i="8"/>
  <c r="N109" i="8"/>
  <c r="M109" i="8"/>
  <c r="K109" i="8"/>
  <c r="J109" i="8"/>
  <c r="H109" i="8"/>
  <c r="G109" i="8"/>
  <c r="F109" i="8"/>
  <c r="E109" i="8"/>
  <c r="C109" i="8"/>
  <c r="B109" i="8"/>
  <c r="P108" i="8"/>
  <c r="O108" i="8"/>
  <c r="N108" i="8"/>
  <c r="M108" i="8"/>
  <c r="K108" i="8"/>
  <c r="J108" i="8"/>
  <c r="H108" i="8"/>
  <c r="G108" i="8"/>
  <c r="F108" i="8"/>
  <c r="E108" i="8"/>
  <c r="C108" i="8"/>
  <c r="B108" i="8"/>
  <c r="P106" i="8"/>
  <c r="O106" i="8"/>
  <c r="N106" i="8"/>
  <c r="M106" i="8"/>
  <c r="K106" i="8"/>
  <c r="J106" i="8"/>
  <c r="H106" i="8"/>
  <c r="G106" i="8"/>
  <c r="F106" i="8"/>
  <c r="E106" i="8"/>
  <c r="C106" i="8"/>
  <c r="B106" i="8"/>
  <c r="P105" i="8"/>
  <c r="O105" i="8"/>
  <c r="N105" i="8"/>
  <c r="M105" i="8"/>
  <c r="K105" i="8"/>
  <c r="J105" i="8"/>
  <c r="H105" i="8"/>
  <c r="G105" i="8"/>
  <c r="F105" i="8"/>
  <c r="E105" i="8"/>
  <c r="C105" i="8"/>
  <c r="B105" i="8"/>
  <c r="P104" i="8"/>
  <c r="O104" i="8"/>
  <c r="N104" i="8"/>
  <c r="M104" i="8"/>
  <c r="K104" i="8"/>
  <c r="J104" i="8"/>
  <c r="H104" i="8"/>
  <c r="G104" i="8"/>
  <c r="F104" i="8"/>
  <c r="E104" i="8"/>
  <c r="C104" i="8"/>
  <c r="B104" i="8"/>
  <c r="P103" i="8"/>
  <c r="O103" i="8"/>
  <c r="N103" i="8"/>
  <c r="M103" i="8"/>
  <c r="K103" i="8"/>
  <c r="J103" i="8"/>
  <c r="H103" i="8"/>
  <c r="G103" i="8"/>
  <c r="F103" i="8"/>
  <c r="E103" i="8"/>
  <c r="C103" i="8"/>
  <c r="B103" i="8"/>
  <c r="P90" i="8"/>
  <c r="O90" i="8"/>
  <c r="N90" i="8"/>
  <c r="M90" i="8"/>
  <c r="K90" i="8"/>
  <c r="J90" i="8"/>
  <c r="H90" i="8"/>
  <c r="G90" i="8"/>
  <c r="F90" i="8"/>
  <c r="E90" i="8"/>
  <c r="C90" i="8"/>
  <c r="B90" i="8"/>
  <c r="P89" i="8"/>
  <c r="O89" i="8"/>
  <c r="N89" i="8"/>
  <c r="M89" i="8"/>
  <c r="K89" i="8"/>
  <c r="J89" i="8"/>
  <c r="H89" i="8"/>
  <c r="G89" i="8"/>
  <c r="F89" i="8"/>
  <c r="E89" i="8"/>
  <c r="C89" i="8"/>
  <c r="B89" i="8"/>
  <c r="P88" i="8"/>
  <c r="O88" i="8"/>
  <c r="N88" i="8"/>
  <c r="M88" i="8"/>
  <c r="K88" i="8"/>
  <c r="J88" i="8"/>
  <c r="H88" i="8"/>
  <c r="G88" i="8"/>
  <c r="F88" i="8"/>
  <c r="E88" i="8"/>
  <c r="C88" i="8"/>
  <c r="B88" i="8"/>
  <c r="P87" i="8"/>
  <c r="O87" i="8"/>
  <c r="N87" i="8"/>
  <c r="M87" i="8"/>
  <c r="K87" i="8"/>
  <c r="J87" i="8"/>
  <c r="H87" i="8"/>
  <c r="G87" i="8"/>
  <c r="F87" i="8"/>
  <c r="E87" i="8"/>
  <c r="C87" i="8"/>
  <c r="B87" i="8"/>
  <c r="P85" i="8"/>
  <c r="O85" i="8"/>
  <c r="N85" i="8"/>
  <c r="M85" i="8"/>
  <c r="K85" i="8"/>
  <c r="J85" i="8"/>
  <c r="H85" i="8"/>
  <c r="G85" i="8"/>
  <c r="F85" i="8"/>
  <c r="E85" i="8"/>
  <c r="C85" i="8"/>
  <c r="B85" i="8"/>
  <c r="P84" i="8"/>
  <c r="O84" i="8"/>
  <c r="N84" i="8"/>
  <c r="M84" i="8"/>
  <c r="K84" i="8"/>
  <c r="J84" i="8"/>
  <c r="H84" i="8"/>
  <c r="G84" i="8"/>
  <c r="F84" i="8"/>
  <c r="E84" i="8"/>
  <c r="C84" i="8"/>
  <c r="B84" i="8"/>
  <c r="P83" i="8"/>
  <c r="O83" i="8"/>
  <c r="N83" i="8"/>
  <c r="M83" i="8"/>
  <c r="K83" i="8"/>
  <c r="J83" i="8"/>
  <c r="H83" i="8"/>
  <c r="G83" i="8"/>
  <c r="F83" i="8"/>
  <c r="E83" i="8"/>
  <c r="C83" i="8"/>
  <c r="B83" i="8"/>
  <c r="P82" i="8"/>
  <c r="O82" i="8"/>
  <c r="N82" i="8"/>
  <c r="M82" i="8"/>
  <c r="K82" i="8"/>
  <c r="J82" i="8"/>
  <c r="H82" i="8"/>
  <c r="G82" i="8"/>
  <c r="F82" i="8"/>
  <c r="E82" i="8"/>
  <c r="C82" i="8"/>
  <c r="B82" i="8"/>
  <c r="P80" i="8"/>
  <c r="O80" i="8"/>
  <c r="N80" i="8"/>
  <c r="M80" i="8"/>
  <c r="K80" i="8"/>
  <c r="J80" i="8"/>
  <c r="H80" i="8"/>
  <c r="G80" i="8"/>
  <c r="F80" i="8"/>
  <c r="E80" i="8"/>
  <c r="C80" i="8"/>
  <c r="B80" i="8"/>
  <c r="P79" i="8"/>
  <c r="O79" i="8"/>
  <c r="N79" i="8"/>
  <c r="M79" i="8"/>
  <c r="K79" i="8"/>
  <c r="J79" i="8"/>
  <c r="H79" i="8"/>
  <c r="G79" i="8"/>
  <c r="F79" i="8"/>
  <c r="E79" i="8"/>
  <c r="C79" i="8"/>
  <c r="B79" i="8"/>
  <c r="P78" i="8"/>
  <c r="O78" i="8"/>
  <c r="N78" i="8"/>
  <c r="M78" i="8"/>
  <c r="K78" i="8"/>
  <c r="J78" i="8"/>
  <c r="H78" i="8"/>
  <c r="G78" i="8"/>
  <c r="F78" i="8"/>
  <c r="E78" i="8"/>
  <c r="C78" i="8"/>
  <c r="B78" i="8"/>
  <c r="P77" i="8"/>
  <c r="O77" i="8"/>
  <c r="N77" i="8"/>
  <c r="M77" i="8"/>
  <c r="K77" i="8"/>
  <c r="J77" i="8"/>
  <c r="H77" i="8"/>
  <c r="G77" i="8"/>
  <c r="F77" i="8"/>
  <c r="E77" i="8"/>
  <c r="C77" i="8"/>
  <c r="B77" i="8"/>
  <c r="P75" i="8"/>
  <c r="O75" i="8"/>
  <c r="N75" i="8"/>
  <c r="M75" i="8"/>
  <c r="K75" i="8"/>
  <c r="J75" i="8"/>
  <c r="H75" i="8"/>
  <c r="G75" i="8"/>
  <c r="F75" i="8"/>
  <c r="E75" i="8"/>
  <c r="C75" i="8"/>
  <c r="B75" i="8"/>
  <c r="P74" i="8"/>
  <c r="O74" i="8"/>
  <c r="N74" i="8"/>
  <c r="M74" i="8"/>
  <c r="K74" i="8"/>
  <c r="J74" i="8"/>
  <c r="H74" i="8"/>
  <c r="G74" i="8"/>
  <c r="F74" i="8"/>
  <c r="E74" i="8"/>
  <c r="C74" i="8"/>
  <c r="B74" i="8"/>
  <c r="P73" i="8"/>
  <c r="O73" i="8"/>
  <c r="N73" i="8"/>
  <c r="M73" i="8"/>
  <c r="K73" i="8"/>
  <c r="J73" i="8"/>
  <c r="H73" i="8"/>
  <c r="G73" i="8"/>
  <c r="F73" i="8"/>
  <c r="E73" i="8"/>
  <c r="C73" i="8"/>
  <c r="B73" i="8"/>
  <c r="P72" i="8"/>
  <c r="O72" i="8"/>
  <c r="N72" i="8"/>
  <c r="M72" i="8"/>
  <c r="K72" i="8"/>
  <c r="J72" i="8"/>
  <c r="H72" i="8"/>
  <c r="G72" i="8"/>
  <c r="F72" i="8"/>
  <c r="E72" i="8"/>
  <c r="C72" i="8"/>
  <c r="B72" i="8"/>
  <c r="P59" i="8"/>
  <c r="O59" i="8"/>
  <c r="N59" i="8"/>
  <c r="M59" i="8"/>
  <c r="K59" i="8"/>
  <c r="J59" i="8"/>
  <c r="H59" i="8"/>
  <c r="G59" i="8"/>
  <c r="F59" i="8"/>
  <c r="E59" i="8"/>
  <c r="C59" i="8"/>
  <c r="B59" i="8"/>
  <c r="P58" i="8"/>
  <c r="O58" i="8"/>
  <c r="N58" i="8"/>
  <c r="M58" i="8"/>
  <c r="K58" i="8"/>
  <c r="J58" i="8"/>
  <c r="H58" i="8"/>
  <c r="G58" i="8"/>
  <c r="F58" i="8"/>
  <c r="E58" i="8"/>
  <c r="C58" i="8"/>
  <c r="B58" i="8"/>
  <c r="P57" i="8"/>
  <c r="O57" i="8"/>
  <c r="N57" i="8"/>
  <c r="M57" i="8"/>
  <c r="K57" i="8"/>
  <c r="J57" i="8"/>
  <c r="H57" i="8"/>
  <c r="G57" i="8"/>
  <c r="F57" i="8"/>
  <c r="E57" i="8"/>
  <c r="C57" i="8"/>
  <c r="B57" i="8"/>
  <c r="P56" i="8"/>
  <c r="O56" i="8"/>
  <c r="N56" i="8"/>
  <c r="M56" i="8"/>
  <c r="K56" i="8"/>
  <c r="J56" i="8"/>
  <c r="H56" i="8"/>
  <c r="G56" i="8"/>
  <c r="F56" i="8"/>
  <c r="E56" i="8"/>
  <c r="C56" i="8"/>
  <c r="B56" i="8"/>
  <c r="P54" i="8"/>
  <c r="O54" i="8"/>
  <c r="N54" i="8"/>
  <c r="M54" i="8"/>
  <c r="K54" i="8"/>
  <c r="J54" i="8"/>
  <c r="H54" i="8"/>
  <c r="G54" i="8"/>
  <c r="F54" i="8"/>
  <c r="E54" i="8"/>
  <c r="C54" i="8"/>
  <c r="B54" i="8"/>
  <c r="P53" i="8"/>
  <c r="O53" i="8"/>
  <c r="N53" i="8"/>
  <c r="M53" i="8"/>
  <c r="K53" i="8"/>
  <c r="J53" i="8"/>
  <c r="H53" i="8"/>
  <c r="G53" i="8"/>
  <c r="F53" i="8"/>
  <c r="E53" i="8"/>
  <c r="C53" i="8"/>
  <c r="B53" i="8"/>
  <c r="P52" i="8"/>
  <c r="O52" i="8"/>
  <c r="N52" i="8"/>
  <c r="M52" i="8"/>
  <c r="K52" i="8"/>
  <c r="J52" i="8"/>
  <c r="H52" i="8"/>
  <c r="G52" i="8"/>
  <c r="F52" i="8"/>
  <c r="E52" i="8"/>
  <c r="C52" i="8"/>
  <c r="B52" i="8"/>
  <c r="P51" i="8"/>
  <c r="O51" i="8"/>
  <c r="N51" i="8"/>
  <c r="M51" i="8"/>
  <c r="K51" i="8"/>
  <c r="J51" i="8"/>
  <c r="H51" i="8"/>
  <c r="G51" i="8"/>
  <c r="F51" i="8"/>
  <c r="E51" i="8"/>
  <c r="C51" i="8"/>
  <c r="B51" i="8"/>
  <c r="P49" i="8"/>
  <c r="O49" i="8"/>
  <c r="N49" i="8"/>
  <c r="M49" i="8"/>
  <c r="K49" i="8"/>
  <c r="J49" i="8"/>
  <c r="H49" i="8"/>
  <c r="G49" i="8"/>
  <c r="F49" i="8"/>
  <c r="E49" i="8"/>
  <c r="C49" i="8"/>
  <c r="B49" i="8"/>
  <c r="P48" i="8"/>
  <c r="O48" i="8"/>
  <c r="N48" i="8"/>
  <c r="M48" i="8"/>
  <c r="K48" i="8"/>
  <c r="J48" i="8"/>
  <c r="H48" i="8"/>
  <c r="G48" i="8"/>
  <c r="F48" i="8"/>
  <c r="E48" i="8"/>
  <c r="C48" i="8"/>
  <c r="B48" i="8"/>
  <c r="P47" i="8"/>
  <c r="O47" i="8"/>
  <c r="N47" i="8"/>
  <c r="M47" i="8"/>
  <c r="K47" i="8"/>
  <c r="J47" i="8"/>
  <c r="H47" i="8"/>
  <c r="G47" i="8"/>
  <c r="F47" i="8"/>
  <c r="E47" i="8"/>
  <c r="C47" i="8"/>
  <c r="B47" i="8"/>
  <c r="P46" i="8"/>
  <c r="O46" i="8"/>
  <c r="N46" i="8"/>
  <c r="M46" i="8"/>
  <c r="K46" i="8"/>
  <c r="J46" i="8"/>
  <c r="H46" i="8"/>
  <c r="G46" i="8"/>
  <c r="F46" i="8"/>
  <c r="E46" i="8"/>
  <c r="C46" i="8"/>
  <c r="B46" i="8"/>
  <c r="P44" i="8"/>
  <c r="O44" i="8"/>
  <c r="N44" i="8"/>
  <c r="M44" i="8"/>
  <c r="K44" i="8"/>
  <c r="J44" i="8"/>
  <c r="H44" i="8"/>
  <c r="G44" i="8"/>
  <c r="F44" i="8"/>
  <c r="E44" i="8"/>
  <c r="C44" i="8"/>
  <c r="B44" i="8"/>
  <c r="P43" i="8"/>
  <c r="O43" i="8"/>
  <c r="N43" i="8"/>
  <c r="M43" i="8"/>
  <c r="K43" i="8"/>
  <c r="J43" i="8"/>
  <c r="H43" i="8"/>
  <c r="G43" i="8"/>
  <c r="F43" i="8"/>
  <c r="E43" i="8"/>
  <c r="C43" i="8"/>
  <c r="B43" i="8"/>
  <c r="P42" i="8"/>
  <c r="O42" i="8"/>
  <c r="N42" i="8"/>
  <c r="M42" i="8"/>
  <c r="K42" i="8"/>
  <c r="J42" i="8"/>
  <c r="H42" i="8"/>
  <c r="G42" i="8"/>
  <c r="F42" i="8"/>
  <c r="E42" i="8"/>
  <c r="C42" i="8"/>
  <c r="B42" i="8"/>
  <c r="P41" i="8"/>
  <c r="O41" i="8"/>
  <c r="N41" i="8"/>
  <c r="M41" i="8"/>
  <c r="K41" i="8"/>
  <c r="J41" i="8"/>
  <c r="H41" i="8"/>
  <c r="G41" i="8"/>
  <c r="F41" i="8"/>
  <c r="E41" i="8"/>
  <c r="C41" i="8"/>
  <c r="B41" i="8"/>
  <c r="P27" i="8"/>
  <c r="O27" i="8"/>
  <c r="N27" i="8"/>
  <c r="M27" i="8"/>
  <c r="K27" i="8"/>
  <c r="J27" i="8"/>
  <c r="P26" i="8"/>
  <c r="O26" i="8"/>
  <c r="N26" i="8"/>
  <c r="M26" i="8"/>
  <c r="K26" i="8"/>
  <c r="J26" i="8"/>
  <c r="P25" i="8"/>
  <c r="O25" i="8"/>
  <c r="N25" i="8"/>
  <c r="M25" i="8"/>
  <c r="K25" i="8"/>
  <c r="J25" i="8"/>
  <c r="P24" i="8"/>
  <c r="O24" i="8"/>
  <c r="N24" i="8"/>
  <c r="M24" i="8"/>
  <c r="K24" i="8"/>
  <c r="J24" i="8"/>
  <c r="P22" i="8"/>
  <c r="O22" i="8"/>
  <c r="N22" i="8"/>
  <c r="M22" i="8"/>
  <c r="K22" i="8"/>
  <c r="J22" i="8"/>
  <c r="P21" i="8"/>
  <c r="O21" i="8"/>
  <c r="N21" i="8"/>
  <c r="M21" i="8"/>
  <c r="K21" i="8"/>
  <c r="J21" i="8"/>
  <c r="P20" i="8"/>
  <c r="O20" i="8"/>
  <c r="N20" i="8"/>
  <c r="M20" i="8"/>
  <c r="K20" i="8"/>
  <c r="J20" i="8"/>
  <c r="P19" i="8"/>
  <c r="O19" i="8"/>
  <c r="N19" i="8"/>
  <c r="M19" i="8"/>
  <c r="K19" i="8"/>
  <c r="J19" i="8"/>
  <c r="P17" i="8"/>
  <c r="O17" i="8"/>
  <c r="N17" i="8"/>
  <c r="M17" i="8"/>
  <c r="K17" i="8"/>
  <c r="J17" i="8"/>
  <c r="P16" i="8"/>
  <c r="O16" i="8"/>
  <c r="N16" i="8"/>
  <c r="M16" i="8"/>
  <c r="K16" i="8"/>
  <c r="J16" i="8"/>
  <c r="P15" i="8"/>
  <c r="O15" i="8"/>
  <c r="N15" i="8"/>
  <c r="M15" i="8"/>
  <c r="K15" i="8"/>
  <c r="J15" i="8"/>
  <c r="P14" i="8"/>
  <c r="O14" i="8"/>
  <c r="N14" i="8"/>
  <c r="M14" i="8"/>
  <c r="K14" i="8"/>
  <c r="J14" i="8"/>
  <c r="P12" i="8"/>
  <c r="O12" i="8"/>
  <c r="N12" i="8"/>
  <c r="M12" i="8"/>
  <c r="K12" i="8"/>
  <c r="J12" i="8"/>
  <c r="P11" i="8"/>
  <c r="O11" i="8"/>
  <c r="N11" i="8"/>
  <c r="M11" i="8"/>
  <c r="K11" i="8"/>
  <c r="J11" i="8"/>
  <c r="P10" i="8"/>
  <c r="O10" i="8"/>
  <c r="N10" i="8"/>
  <c r="M10" i="8"/>
  <c r="K10" i="8"/>
  <c r="J10" i="8"/>
  <c r="P9" i="8"/>
  <c r="O9" i="8"/>
  <c r="N9" i="8"/>
  <c r="M9" i="8"/>
  <c r="K9" i="8"/>
  <c r="J9" i="8"/>
  <c r="H27" i="8"/>
  <c r="G27" i="8"/>
  <c r="F27" i="8"/>
  <c r="E27" i="8"/>
  <c r="C27" i="8"/>
  <c r="B27" i="8"/>
  <c r="H26" i="8"/>
  <c r="G26" i="8"/>
  <c r="F26" i="8"/>
  <c r="E26" i="8"/>
  <c r="C26" i="8"/>
  <c r="B26" i="8"/>
  <c r="H25" i="8"/>
  <c r="G25" i="8"/>
  <c r="F25" i="8"/>
  <c r="E25" i="8"/>
  <c r="C25" i="8"/>
  <c r="B25" i="8"/>
  <c r="H24" i="8"/>
  <c r="G24" i="8"/>
  <c r="F24" i="8"/>
  <c r="E24" i="8"/>
  <c r="C24" i="8"/>
  <c r="B24" i="8"/>
  <c r="H22" i="8"/>
  <c r="G22" i="8"/>
  <c r="F22" i="8"/>
  <c r="E22" i="8"/>
  <c r="C22" i="8"/>
  <c r="B22" i="8"/>
  <c r="H21" i="8"/>
  <c r="G21" i="8"/>
  <c r="F21" i="8"/>
  <c r="E21" i="8"/>
  <c r="C21" i="8"/>
  <c r="B21" i="8"/>
  <c r="H20" i="8"/>
  <c r="G20" i="8"/>
  <c r="F20" i="8"/>
  <c r="E20" i="8"/>
  <c r="C20" i="8"/>
  <c r="B20" i="8"/>
  <c r="H19" i="8"/>
  <c r="G19" i="8"/>
  <c r="F19" i="8"/>
  <c r="E19" i="8"/>
  <c r="C19" i="8"/>
  <c r="B19" i="8"/>
  <c r="H17" i="8"/>
  <c r="G17" i="8"/>
  <c r="F17" i="8"/>
  <c r="E17" i="8"/>
  <c r="C17" i="8"/>
  <c r="B17" i="8"/>
  <c r="H16" i="8"/>
  <c r="G16" i="8"/>
  <c r="F16" i="8"/>
  <c r="E16" i="8"/>
  <c r="C16" i="8"/>
  <c r="B16" i="8"/>
  <c r="H15" i="8"/>
  <c r="G15" i="8"/>
  <c r="F15" i="8"/>
  <c r="E15" i="8"/>
  <c r="C15" i="8"/>
  <c r="B15" i="8"/>
  <c r="H14" i="8"/>
  <c r="G14" i="8"/>
  <c r="F14" i="8"/>
  <c r="E14" i="8"/>
  <c r="C14" i="8"/>
  <c r="B14" i="8"/>
  <c r="H12" i="8"/>
  <c r="G12" i="8"/>
  <c r="F12" i="8"/>
  <c r="E12" i="8"/>
  <c r="C12" i="8"/>
  <c r="B12" i="8"/>
  <c r="H11" i="8"/>
  <c r="G11" i="8"/>
  <c r="F11" i="8"/>
  <c r="E11" i="8"/>
  <c r="C11" i="8"/>
  <c r="B11" i="8"/>
  <c r="H10" i="8"/>
  <c r="G10" i="8"/>
  <c r="F10" i="8"/>
  <c r="E10" i="8"/>
  <c r="H9" i="8"/>
  <c r="G9" i="8"/>
  <c r="F9" i="8"/>
  <c r="E9" i="8"/>
  <c r="C10" i="8"/>
  <c r="C9" i="8"/>
  <c r="B10" i="8"/>
  <c r="B9" i="8"/>
  <c r="Q456" i="8"/>
  <c r="Q451" i="8"/>
  <c r="Q446" i="8"/>
  <c r="Q441" i="8"/>
  <c r="Q440" i="8"/>
  <c r="Q439" i="8"/>
  <c r="Q438" i="8"/>
  <c r="Q437" i="8"/>
  <c r="Q436" i="8"/>
  <c r="Q435" i="8"/>
  <c r="Q434" i="8"/>
  <c r="Q433" i="8"/>
  <c r="Q432" i="8"/>
  <c r="Q431" i="8"/>
  <c r="Q426" i="8"/>
  <c r="Q421" i="8"/>
  <c r="Q416" i="8"/>
  <c r="Q411" i="8"/>
  <c r="Q410" i="8"/>
  <c r="Q409" i="8"/>
  <c r="Q408" i="8"/>
  <c r="Q407" i="8"/>
  <c r="Q406" i="8"/>
  <c r="Q405" i="8"/>
  <c r="Q404" i="8"/>
  <c r="Q403" i="8"/>
  <c r="Q402" i="8"/>
  <c r="Q401" i="8"/>
  <c r="Q396" i="8"/>
  <c r="Q391" i="8"/>
  <c r="Q386" i="8"/>
  <c r="Q381" i="8"/>
  <c r="Q380" i="8"/>
  <c r="Q379" i="8"/>
  <c r="Q378" i="8"/>
  <c r="Q377" i="8"/>
  <c r="Q376" i="8"/>
  <c r="Q375" i="8"/>
  <c r="Q374" i="8"/>
  <c r="Q373" i="8"/>
  <c r="Q372" i="8"/>
  <c r="Q371" i="8"/>
  <c r="Q370" i="8"/>
  <c r="Q365" i="8"/>
  <c r="Q360" i="8"/>
  <c r="Q355" i="8"/>
  <c r="Q350" i="8"/>
  <c r="Q349" i="8"/>
  <c r="Q348" i="8"/>
  <c r="Q347" i="8"/>
  <c r="Q346" i="8"/>
  <c r="Q345" i="8"/>
  <c r="Q344" i="8"/>
  <c r="Q343" i="8"/>
  <c r="Q342" i="8"/>
  <c r="Q340" i="8"/>
  <c r="Q339" i="8"/>
  <c r="Q334" i="8"/>
  <c r="Q329" i="8"/>
  <c r="Q324" i="8"/>
  <c r="Q319" i="8"/>
  <c r="Q318" i="8"/>
  <c r="Q317" i="8"/>
  <c r="Q316" i="8"/>
  <c r="Q315" i="8"/>
  <c r="Q314" i="8"/>
  <c r="Q313" i="8"/>
  <c r="Q312" i="8"/>
  <c r="Q311" i="8"/>
  <c r="Q310" i="8"/>
  <c r="Q309" i="8"/>
  <c r="Q308" i="8"/>
  <c r="Q303" i="8"/>
  <c r="Q298" i="8"/>
  <c r="Q293" i="8"/>
  <c r="Q288" i="8"/>
  <c r="Q287" i="8"/>
  <c r="Q286" i="8"/>
  <c r="Q285" i="8"/>
  <c r="Q284" i="8"/>
  <c r="Q283" i="8"/>
  <c r="Q282" i="8"/>
  <c r="Q281" i="8"/>
  <c r="Q280" i="8"/>
  <c r="Q279" i="8"/>
  <c r="Q278" i="8"/>
  <c r="Q277" i="8"/>
  <c r="Q272" i="8"/>
  <c r="Q267" i="8"/>
  <c r="Q262" i="8"/>
  <c r="Q257" i="8"/>
  <c r="Q256" i="8"/>
  <c r="Q255" i="8"/>
  <c r="Q254" i="8"/>
  <c r="Q253" i="8"/>
  <c r="Q252" i="8"/>
  <c r="Q251" i="8"/>
  <c r="Q250" i="8"/>
  <c r="Q249" i="8"/>
  <c r="Q248" i="8"/>
  <c r="Q247" i="8"/>
  <c r="Q246" i="8"/>
  <c r="Q241" i="8"/>
  <c r="Q236" i="8"/>
  <c r="Q231" i="8"/>
  <c r="Q226" i="8"/>
  <c r="Q225" i="8"/>
  <c r="Q224" i="8"/>
  <c r="Q223" i="8"/>
  <c r="Q222" i="8"/>
  <c r="Q221" i="8"/>
  <c r="Q220" i="8"/>
  <c r="Q219" i="8"/>
  <c r="R218" i="8"/>
  <c r="Q218" i="8"/>
  <c r="R216" i="8"/>
  <c r="Q216" i="8"/>
  <c r="R215" i="8"/>
  <c r="Q215" i="8"/>
  <c r="R210" i="8"/>
  <c r="Q210" i="8"/>
  <c r="R205" i="8"/>
  <c r="Q205" i="8"/>
  <c r="R200" i="8"/>
  <c r="Q200" i="8"/>
  <c r="R179" i="8"/>
  <c r="Q179" i="8"/>
  <c r="R174" i="8"/>
  <c r="Q174" i="8"/>
  <c r="R169" i="8"/>
  <c r="Q169" i="8"/>
  <c r="R148" i="8"/>
  <c r="Q148" i="8"/>
  <c r="R143" i="8"/>
  <c r="Q143" i="8"/>
  <c r="R138" i="8"/>
  <c r="Q138" i="8"/>
  <c r="R117" i="8"/>
  <c r="Q117" i="8"/>
  <c r="R112" i="8"/>
  <c r="Q112" i="8"/>
  <c r="R107" i="8"/>
  <c r="Q107" i="8"/>
  <c r="R86" i="8"/>
  <c r="Q86" i="8"/>
  <c r="R81" i="8"/>
  <c r="Q81" i="8"/>
  <c r="R76" i="8"/>
  <c r="Q76" i="8"/>
  <c r="R55" i="8"/>
  <c r="Q55" i="8"/>
  <c r="R50" i="8"/>
  <c r="Q50" i="8"/>
  <c r="R45" i="8"/>
  <c r="Q45" i="8"/>
  <c r="R23" i="8"/>
  <c r="Q23" i="8"/>
  <c r="R18" i="8"/>
  <c r="Q18" i="8"/>
  <c r="R13" i="8"/>
  <c r="Q13" i="8"/>
  <c r="P26" i="6"/>
  <c r="O26" i="6"/>
  <c r="N26" i="6"/>
  <c r="M26" i="6"/>
  <c r="K26" i="6"/>
  <c r="J26" i="6"/>
  <c r="P25" i="6"/>
  <c r="O25" i="6"/>
  <c r="N25" i="6"/>
  <c r="M25" i="6"/>
  <c r="K25" i="6"/>
  <c r="J25" i="6"/>
  <c r="P24" i="6"/>
  <c r="O24" i="6"/>
  <c r="N24" i="6"/>
  <c r="M24" i="6"/>
  <c r="K24" i="6"/>
  <c r="J24" i="6"/>
  <c r="P22" i="6"/>
  <c r="O22" i="6"/>
  <c r="N22" i="6"/>
  <c r="M22" i="6"/>
  <c r="K22" i="6"/>
  <c r="J22" i="6"/>
  <c r="P21" i="6"/>
  <c r="O21" i="6"/>
  <c r="N21" i="6"/>
  <c r="M21" i="6"/>
  <c r="K21" i="6"/>
  <c r="J21" i="6"/>
  <c r="P20" i="6"/>
  <c r="O20" i="6"/>
  <c r="N20" i="6"/>
  <c r="M20" i="6"/>
  <c r="K20" i="6"/>
  <c r="J20" i="6"/>
  <c r="P19" i="6"/>
  <c r="O19" i="6"/>
  <c r="N19" i="6"/>
  <c r="M19" i="6"/>
  <c r="K19" i="6"/>
  <c r="J19" i="6"/>
  <c r="P17" i="6"/>
  <c r="O17" i="6"/>
  <c r="N17" i="6"/>
  <c r="M17" i="6"/>
  <c r="K17" i="6"/>
  <c r="J17" i="6"/>
  <c r="P15" i="6"/>
  <c r="O15" i="6"/>
  <c r="N15" i="6"/>
  <c r="M15" i="6"/>
  <c r="K15" i="6"/>
  <c r="J15" i="6"/>
  <c r="P14" i="6"/>
  <c r="O14" i="6"/>
  <c r="N14" i="6"/>
  <c r="M14" i="6"/>
  <c r="K14" i="6"/>
  <c r="J14" i="6"/>
  <c r="P12" i="6"/>
  <c r="O12" i="6"/>
  <c r="N12" i="6"/>
  <c r="M12" i="6"/>
  <c r="K12" i="6"/>
  <c r="J12" i="6"/>
  <c r="P11" i="6"/>
  <c r="O11" i="6"/>
  <c r="N11" i="6"/>
  <c r="M11" i="6"/>
  <c r="K11" i="6"/>
  <c r="J11" i="6"/>
  <c r="P10" i="6"/>
  <c r="O10" i="6"/>
  <c r="N10" i="6"/>
  <c r="M10" i="6"/>
  <c r="K10" i="6"/>
  <c r="J10" i="6"/>
  <c r="P9" i="6"/>
  <c r="O9" i="6"/>
  <c r="N9" i="6"/>
  <c r="M9" i="6"/>
  <c r="K9" i="6"/>
  <c r="J9" i="6"/>
  <c r="H26" i="6"/>
  <c r="G26" i="6"/>
  <c r="F26" i="6"/>
  <c r="E26" i="6"/>
  <c r="C26" i="6"/>
  <c r="H24" i="5" s="1"/>
  <c r="H25" i="6"/>
  <c r="G25" i="6"/>
  <c r="F25" i="6"/>
  <c r="E25" i="6"/>
  <c r="C25" i="6"/>
  <c r="B25" i="6"/>
  <c r="H24" i="6"/>
  <c r="G24" i="6"/>
  <c r="F24" i="6"/>
  <c r="E24" i="6"/>
  <c r="C24" i="6"/>
  <c r="B24" i="6"/>
  <c r="H22" i="6"/>
  <c r="G22" i="6"/>
  <c r="F22" i="6"/>
  <c r="E22" i="6"/>
  <c r="C22" i="6"/>
  <c r="B22" i="6"/>
  <c r="H21" i="6"/>
  <c r="G21" i="6"/>
  <c r="F21" i="6"/>
  <c r="E21" i="6"/>
  <c r="C21" i="6"/>
  <c r="B21" i="6"/>
  <c r="H20" i="6"/>
  <c r="G20" i="6"/>
  <c r="F20" i="6"/>
  <c r="E20" i="6"/>
  <c r="C20" i="6"/>
  <c r="B20" i="6"/>
  <c r="H19" i="6"/>
  <c r="G19" i="6"/>
  <c r="F19" i="6"/>
  <c r="E19" i="6"/>
  <c r="C19" i="6"/>
  <c r="B19" i="6"/>
  <c r="H17" i="6"/>
  <c r="G17" i="6"/>
  <c r="F17" i="6"/>
  <c r="E17" i="6"/>
  <c r="C17" i="6"/>
  <c r="B17" i="6"/>
  <c r="H15" i="6"/>
  <c r="G15" i="6"/>
  <c r="F15" i="6"/>
  <c r="E15" i="6"/>
  <c r="C15" i="6"/>
  <c r="B15" i="6"/>
  <c r="H14" i="6"/>
  <c r="G14" i="6"/>
  <c r="F14" i="6"/>
  <c r="E14" i="6"/>
  <c r="C14" i="6"/>
  <c r="B14" i="6"/>
  <c r="H12" i="6"/>
  <c r="G12" i="6"/>
  <c r="F12" i="6"/>
  <c r="E12" i="6"/>
  <c r="C12" i="6"/>
  <c r="B12" i="6"/>
  <c r="H11" i="6"/>
  <c r="G11" i="6"/>
  <c r="F11" i="6"/>
  <c r="E11" i="6"/>
  <c r="C11" i="6"/>
  <c r="B11" i="6"/>
  <c r="H10" i="6"/>
  <c r="G10" i="6"/>
  <c r="F10" i="6"/>
  <c r="E10" i="6"/>
  <c r="C10" i="6"/>
  <c r="H9" i="6"/>
  <c r="G9" i="6"/>
  <c r="F9" i="6"/>
  <c r="E9" i="6"/>
  <c r="C9" i="6"/>
  <c r="B10" i="6"/>
  <c r="B9" i="6"/>
  <c r="R23" i="6"/>
  <c r="Q23" i="6"/>
  <c r="R18" i="6"/>
  <c r="Q18" i="6"/>
  <c r="R13" i="6"/>
  <c r="H10" i="5" l="1"/>
  <c r="H17" i="5"/>
  <c r="H22" i="5"/>
  <c r="H13" i="5"/>
  <c r="H19" i="5"/>
  <c r="H69" i="5"/>
  <c r="H76" i="5"/>
  <c r="H81" i="5"/>
  <c r="H8" i="5"/>
  <c r="H67" i="5"/>
  <c r="H72" i="5"/>
  <c r="H78" i="5"/>
  <c r="H83" i="5"/>
  <c r="H9" i="5"/>
  <c r="H12" i="5"/>
  <c r="H15" i="5"/>
  <c r="H18" i="5"/>
  <c r="H20" i="5"/>
  <c r="H23" i="5"/>
  <c r="H68" i="5"/>
  <c r="H71" i="5"/>
  <c r="H74" i="5"/>
  <c r="H77" i="5"/>
  <c r="H79" i="5"/>
  <c r="H82" i="5"/>
  <c r="L90" i="8"/>
  <c r="R90" i="8" s="1"/>
  <c r="L152" i="8"/>
  <c r="E110" i="7" s="1"/>
  <c r="D430" i="8"/>
  <c r="N52" i="7" s="1"/>
  <c r="L114" i="8"/>
  <c r="R114" i="8" s="1"/>
  <c r="L142" i="8"/>
  <c r="E100" i="7" s="1"/>
  <c r="L150" i="8"/>
  <c r="E108" i="7" s="1"/>
  <c r="L204" i="8"/>
  <c r="G100" i="7" s="1"/>
  <c r="D276" i="8"/>
  <c r="I52" i="7" s="1"/>
  <c r="D292" i="8"/>
  <c r="J37" i="7" s="1"/>
  <c r="D328" i="8"/>
  <c r="K42" i="7" s="1"/>
  <c r="L104" i="8"/>
  <c r="D93" i="7" s="1"/>
  <c r="L116" i="8"/>
  <c r="R116" i="8" s="1"/>
  <c r="L140" i="8"/>
  <c r="E98" i="7" s="1"/>
  <c r="L168" i="8"/>
  <c r="F95" i="7" s="1"/>
  <c r="L178" i="8"/>
  <c r="F105" i="7" s="1"/>
  <c r="L202" i="8"/>
  <c r="G98" i="7" s="1"/>
  <c r="L212" i="8"/>
  <c r="G108" i="7" s="1"/>
  <c r="D240" i="8"/>
  <c r="M47" i="7" s="1"/>
  <c r="D323" i="8"/>
  <c r="Q323" i="8" s="1"/>
  <c r="D369" i="8"/>
  <c r="L52" i="7" s="1"/>
  <c r="L79" i="8"/>
  <c r="R79" i="8" s="1"/>
  <c r="L118" i="8"/>
  <c r="D107" i="7" s="1"/>
  <c r="L180" i="8"/>
  <c r="F107" i="7" s="1"/>
  <c r="D259" i="8"/>
  <c r="Q259" i="8" s="1"/>
  <c r="D295" i="8"/>
  <c r="J40" i="7" s="1"/>
  <c r="D300" i="8"/>
  <c r="J45" i="7" s="1"/>
  <c r="L80" i="8"/>
  <c r="R80" i="8" s="1"/>
  <c r="L88" i="8"/>
  <c r="R88" i="8" s="1"/>
  <c r="L106" i="8"/>
  <c r="D95" i="7" s="1"/>
  <c r="D235" i="8"/>
  <c r="M42" i="7" s="1"/>
  <c r="D271" i="8"/>
  <c r="Q271" i="8" s="1"/>
  <c r="D364" i="8"/>
  <c r="Q364" i="8" s="1"/>
  <c r="D332" i="8"/>
  <c r="K46" i="7" s="1"/>
  <c r="D395" i="8"/>
  <c r="P47" i="7" s="1"/>
  <c r="D87" i="8"/>
  <c r="Q87" i="8" s="1"/>
  <c r="D89" i="8"/>
  <c r="C51" i="7" s="1"/>
  <c r="D103" i="8"/>
  <c r="D34" i="7" s="1"/>
  <c r="D105" i="8"/>
  <c r="Q105" i="8" s="1"/>
  <c r="D113" i="8"/>
  <c r="Q113" i="8" s="1"/>
  <c r="D115" i="8"/>
  <c r="D46" i="7" s="1"/>
  <c r="D139" i="8"/>
  <c r="E39" i="7" s="1"/>
  <c r="D141" i="8"/>
  <c r="Q141" i="8" s="1"/>
  <c r="D149" i="8"/>
  <c r="E49" i="7" s="1"/>
  <c r="D151" i="8"/>
  <c r="E51" i="7" s="1"/>
  <c r="D165" i="8"/>
  <c r="F34" i="7" s="1"/>
  <c r="D167" i="8"/>
  <c r="F36" i="7" s="1"/>
  <c r="D175" i="8"/>
  <c r="F44" i="7" s="1"/>
  <c r="D177" i="8"/>
  <c r="F46" i="7" s="1"/>
  <c r="D201" i="8"/>
  <c r="G39" i="7" s="1"/>
  <c r="D203" i="8"/>
  <c r="G41" i="7" s="1"/>
  <c r="D211" i="8"/>
  <c r="G49" i="7" s="1"/>
  <c r="D213" i="8"/>
  <c r="G51" i="7" s="1"/>
  <c r="D232" i="8"/>
  <c r="Q232" i="8" s="1"/>
  <c r="D237" i="8"/>
  <c r="M44" i="7" s="1"/>
  <c r="D242" i="8"/>
  <c r="Q242" i="8" s="1"/>
  <c r="D258" i="8"/>
  <c r="I34" i="7" s="1"/>
  <c r="D268" i="8"/>
  <c r="Q268" i="8" s="1"/>
  <c r="D273" i="8"/>
  <c r="I49" i="7" s="1"/>
  <c r="D289" i="8"/>
  <c r="J34" i="7" s="1"/>
  <c r="D294" i="8"/>
  <c r="J39" i="7" s="1"/>
  <c r="D304" i="8"/>
  <c r="Q304" i="8" s="1"/>
  <c r="D320" i="8"/>
  <c r="K34" i="7" s="1"/>
  <c r="D325" i="8"/>
  <c r="K39" i="7" s="1"/>
  <c r="D330" i="8"/>
  <c r="K44" i="7" s="1"/>
  <c r="D351" i="8"/>
  <c r="Q351" i="8" s="1"/>
  <c r="D361" i="8"/>
  <c r="Q361" i="8" s="1"/>
  <c r="D366" i="8"/>
  <c r="L49" i="7" s="1"/>
  <c r="D417" i="8"/>
  <c r="N39" i="7" s="1"/>
  <c r="D422" i="8"/>
  <c r="Q422" i="8" s="1"/>
  <c r="D427" i="8"/>
  <c r="N49" i="7" s="1"/>
  <c r="D442" i="8"/>
  <c r="O34" i="7" s="1"/>
  <c r="D447" i="8"/>
  <c r="Q447" i="8" s="1"/>
  <c r="D452" i="8"/>
  <c r="O44" i="7" s="1"/>
  <c r="D457" i="8"/>
  <c r="Q457" i="8" s="1"/>
  <c r="L166" i="8"/>
  <c r="F93" i="7" s="1"/>
  <c r="L176" i="8"/>
  <c r="F103" i="7" s="1"/>
  <c r="L214" i="8"/>
  <c r="G110" i="7" s="1"/>
  <c r="D307" i="8"/>
  <c r="J52" i="7" s="1"/>
  <c r="D415" i="8"/>
  <c r="N37" i="7" s="1"/>
  <c r="D425" i="8"/>
  <c r="N47" i="7" s="1"/>
  <c r="D445" i="8"/>
  <c r="Q445" i="8" s="1"/>
  <c r="D455" i="8"/>
  <c r="O47" i="7" s="1"/>
  <c r="D460" i="8"/>
  <c r="Q460" i="8" s="1"/>
  <c r="D244" i="8"/>
  <c r="M51" i="7" s="1"/>
  <c r="D353" i="8"/>
  <c r="L36" i="7" s="1"/>
  <c r="H12" i="7"/>
  <c r="H17" i="7"/>
  <c r="H22" i="7"/>
  <c r="H64" i="7"/>
  <c r="H69" i="7"/>
  <c r="H74" i="7"/>
  <c r="H79" i="7"/>
  <c r="B7" i="7"/>
  <c r="B9" i="7"/>
  <c r="B12" i="7"/>
  <c r="B14" i="7"/>
  <c r="B17" i="7"/>
  <c r="B19" i="7"/>
  <c r="L58" i="8"/>
  <c r="B109" i="7" s="1"/>
  <c r="L72" i="8"/>
  <c r="R72" i="8" s="1"/>
  <c r="L82" i="8"/>
  <c r="C102" i="7" s="1"/>
  <c r="L84" i="8"/>
  <c r="R84" i="8" s="1"/>
  <c r="L108" i="8"/>
  <c r="D97" i="7" s="1"/>
  <c r="L110" i="8"/>
  <c r="R110" i="8" s="1"/>
  <c r="L120" i="8"/>
  <c r="D109" i="7" s="1"/>
  <c r="L134" i="8"/>
  <c r="R134" i="8" s="1"/>
  <c r="L136" i="8"/>
  <c r="R136" i="8" s="1"/>
  <c r="L144" i="8"/>
  <c r="R144" i="8" s="1"/>
  <c r="L146" i="8"/>
  <c r="E104" i="7" s="1"/>
  <c r="L170" i="8"/>
  <c r="F97" i="7" s="1"/>
  <c r="L172" i="8"/>
  <c r="F99" i="7" s="1"/>
  <c r="L182" i="8"/>
  <c r="F109" i="7" s="1"/>
  <c r="L196" i="8"/>
  <c r="G92" i="7" s="1"/>
  <c r="L198" i="8"/>
  <c r="G94" i="7" s="1"/>
  <c r="L206" i="8"/>
  <c r="G102" i="7" s="1"/>
  <c r="L208" i="8"/>
  <c r="G104" i="7" s="1"/>
  <c r="D228" i="8"/>
  <c r="M35" i="7" s="1"/>
  <c r="D243" i="8"/>
  <c r="M50" i="7" s="1"/>
  <c r="D260" i="8"/>
  <c r="I36" i="7" s="1"/>
  <c r="D264" i="8"/>
  <c r="I40" i="7" s="1"/>
  <c r="D296" i="8"/>
  <c r="Q296" i="8" s="1"/>
  <c r="D331" i="8"/>
  <c r="K45" i="7" s="1"/>
  <c r="D336" i="8"/>
  <c r="K50" i="7" s="1"/>
  <c r="D352" i="8"/>
  <c r="L35" i="7" s="1"/>
  <c r="D357" i="8"/>
  <c r="L40" i="7" s="1"/>
  <c r="D413" i="8"/>
  <c r="N35" i="7" s="1"/>
  <c r="D418" i="8"/>
  <c r="N40" i="7" s="1"/>
  <c r="D448" i="8"/>
  <c r="O40" i="7" s="1"/>
  <c r="K35" i="5"/>
  <c r="L75" i="8"/>
  <c r="R75" i="8" s="1"/>
  <c r="D83" i="8"/>
  <c r="C45" i="7" s="1"/>
  <c r="D85" i="8"/>
  <c r="Q85" i="8" s="1"/>
  <c r="L85" i="8"/>
  <c r="R85" i="8" s="1"/>
  <c r="D109" i="8"/>
  <c r="D40" i="7" s="1"/>
  <c r="D111" i="8"/>
  <c r="Q111" i="8" s="1"/>
  <c r="L111" i="8"/>
  <c r="D100" i="7" s="1"/>
  <c r="D119" i="8"/>
  <c r="Q119" i="8" s="1"/>
  <c r="D121" i="8"/>
  <c r="D52" i="7" s="1"/>
  <c r="L121" i="8"/>
  <c r="R121" i="8" s="1"/>
  <c r="D135" i="8"/>
  <c r="E35" i="7" s="1"/>
  <c r="D137" i="8"/>
  <c r="Q137" i="8" s="1"/>
  <c r="L137" i="8"/>
  <c r="R137" i="8" s="1"/>
  <c r="D145" i="8"/>
  <c r="Q145" i="8" s="1"/>
  <c r="D147" i="8"/>
  <c r="E47" i="7" s="1"/>
  <c r="L147" i="8"/>
  <c r="E105" i="7" s="1"/>
  <c r="D171" i="8"/>
  <c r="F40" i="7" s="1"/>
  <c r="D173" i="8"/>
  <c r="F42" i="7" s="1"/>
  <c r="L173" i="8"/>
  <c r="F100" i="7" s="1"/>
  <c r="D181" i="8"/>
  <c r="F50" i="7" s="1"/>
  <c r="D183" i="8"/>
  <c r="F52" i="7" s="1"/>
  <c r="L183" i="8"/>
  <c r="F110" i="7" s="1"/>
  <c r="D197" i="8"/>
  <c r="G35" i="7" s="1"/>
  <c r="D199" i="8"/>
  <c r="G37" i="7" s="1"/>
  <c r="L199" i="8"/>
  <c r="G95" i="7" s="1"/>
  <c r="D207" i="8"/>
  <c r="G45" i="7" s="1"/>
  <c r="D209" i="8"/>
  <c r="G47" i="7" s="1"/>
  <c r="L209" i="8"/>
  <c r="G105" i="7" s="1"/>
  <c r="D229" i="8"/>
  <c r="M36" i="7" s="1"/>
  <c r="D234" i="8"/>
  <c r="Q234" i="8" s="1"/>
  <c r="D245" i="8"/>
  <c r="Q245" i="8" s="1"/>
  <c r="D265" i="8"/>
  <c r="I41" i="7" s="1"/>
  <c r="D266" i="8"/>
  <c r="I42" i="7" s="1"/>
  <c r="D270" i="8"/>
  <c r="Q270" i="8" s="1"/>
  <c r="D297" i="8"/>
  <c r="Q297" i="8" s="1"/>
  <c r="D301" i="8"/>
  <c r="J46" i="7" s="1"/>
  <c r="D306" i="8"/>
  <c r="Q306" i="8" s="1"/>
  <c r="D322" i="8"/>
  <c r="K36" i="7" s="1"/>
  <c r="D337" i="8"/>
  <c r="K51" i="7" s="1"/>
  <c r="D338" i="8"/>
  <c r="K52" i="7" s="1"/>
  <c r="D358" i="8"/>
  <c r="L41" i="7" s="1"/>
  <c r="D359" i="8"/>
  <c r="L42" i="7" s="1"/>
  <c r="D363" i="8"/>
  <c r="L46" i="7" s="1"/>
  <c r="D414" i="8"/>
  <c r="Q414" i="8" s="1"/>
  <c r="D419" i="8"/>
  <c r="N41" i="7" s="1"/>
  <c r="D420" i="8"/>
  <c r="N42" i="7" s="1"/>
  <c r="D424" i="8"/>
  <c r="N46" i="7" s="1"/>
  <c r="D444" i="8"/>
  <c r="O36" i="7" s="1"/>
  <c r="D449" i="8"/>
  <c r="O41" i="7" s="1"/>
  <c r="D450" i="8"/>
  <c r="O42" i="7" s="1"/>
  <c r="D454" i="8"/>
  <c r="O46" i="7" s="1"/>
  <c r="D400" i="8"/>
  <c r="P52" i="7" s="1"/>
  <c r="L74" i="8"/>
  <c r="C94" i="7" s="1"/>
  <c r="L77" i="8"/>
  <c r="C97" i="7" s="1"/>
  <c r="L87" i="8"/>
  <c r="C107" i="7" s="1"/>
  <c r="L89" i="8"/>
  <c r="R89" i="8" s="1"/>
  <c r="L103" i="8"/>
  <c r="R103" i="8" s="1"/>
  <c r="L105" i="8"/>
  <c r="R105" i="8" s="1"/>
  <c r="L113" i="8"/>
  <c r="D102" i="7" s="1"/>
  <c r="L115" i="8"/>
  <c r="R115" i="8" s="1"/>
  <c r="L139" i="8"/>
  <c r="E97" i="7" s="1"/>
  <c r="L141" i="8"/>
  <c r="R141" i="8" s="1"/>
  <c r="L149" i="8"/>
  <c r="E107" i="7" s="1"/>
  <c r="L151" i="8"/>
  <c r="E109" i="7" s="1"/>
  <c r="L165" i="8"/>
  <c r="F92" i="7" s="1"/>
  <c r="L167" i="8"/>
  <c r="F94" i="7" s="1"/>
  <c r="L175" i="8"/>
  <c r="F102" i="7" s="1"/>
  <c r="L177" i="8"/>
  <c r="F104" i="7" s="1"/>
  <c r="L201" i="8"/>
  <c r="G97" i="7" s="1"/>
  <c r="L203" i="8"/>
  <c r="G99" i="7" s="1"/>
  <c r="L211" i="8"/>
  <c r="G107" i="7" s="1"/>
  <c r="L213" i="8"/>
  <c r="G109" i="7" s="1"/>
  <c r="D233" i="8"/>
  <c r="Q233" i="8" s="1"/>
  <c r="D238" i="8"/>
  <c r="M45" i="7" s="1"/>
  <c r="D269" i="8"/>
  <c r="Q269" i="8" s="1"/>
  <c r="D274" i="8"/>
  <c r="I50" i="7" s="1"/>
  <c r="D290" i="8"/>
  <c r="J35" i="7" s="1"/>
  <c r="D305" i="8"/>
  <c r="Q305" i="8" s="1"/>
  <c r="D321" i="8"/>
  <c r="K35" i="7" s="1"/>
  <c r="D326" i="8"/>
  <c r="K40" i="7" s="1"/>
  <c r="D362" i="8"/>
  <c r="Q362" i="8" s="1"/>
  <c r="D367" i="8"/>
  <c r="L50" i="7" s="1"/>
  <c r="D423" i="8"/>
  <c r="N45" i="7" s="1"/>
  <c r="D428" i="8"/>
  <c r="N50" i="7" s="1"/>
  <c r="D443" i="8"/>
  <c r="O35" i="7" s="1"/>
  <c r="D453" i="8"/>
  <c r="O45" i="7" s="1"/>
  <c r="D458" i="8"/>
  <c r="Q458" i="8" s="1"/>
  <c r="D398" i="8"/>
  <c r="P50" i="7" s="1"/>
  <c r="H9" i="7"/>
  <c r="H19" i="7"/>
  <c r="H66" i="7"/>
  <c r="H76" i="7"/>
  <c r="B8" i="7"/>
  <c r="B13" i="7"/>
  <c r="B18" i="7"/>
  <c r="L78" i="8"/>
  <c r="C98" i="7" s="1"/>
  <c r="L83" i="8"/>
  <c r="C103" i="7" s="1"/>
  <c r="L109" i="8"/>
  <c r="R109" i="8" s="1"/>
  <c r="L119" i="8"/>
  <c r="R119" i="8" s="1"/>
  <c r="L135" i="8"/>
  <c r="E93" i="7" s="1"/>
  <c r="L145" i="8"/>
  <c r="R145" i="8" s="1"/>
  <c r="L171" i="8"/>
  <c r="F98" i="7" s="1"/>
  <c r="L181" i="8"/>
  <c r="F108" i="7" s="1"/>
  <c r="L197" i="8"/>
  <c r="G93" i="7" s="1"/>
  <c r="L207" i="8"/>
  <c r="G103" i="7" s="1"/>
  <c r="D230" i="8"/>
  <c r="M37" i="7" s="1"/>
  <c r="D261" i="8"/>
  <c r="Q261" i="8" s="1"/>
  <c r="D302" i="8"/>
  <c r="J47" i="7" s="1"/>
  <c r="D333" i="8"/>
  <c r="Q333" i="8" s="1"/>
  <c r="D354" i="8"/>
  <c r="L37" i="7" s="1"/>
  <c r="D90" i="8"/>
  <c r="Q90" i="8" s="1"/>
  <c r="D106" i="8"/>
  <c r="Q106" i="8" s="1"/>
  <c r="D116" i="8"/>
  <c r="Q116" i="8" s="1"/>
  <c r="D142" i="8"/>
  <c r="E42" i="7" s="1"/>
  <c r="D152" i="8"/>
  <c r="E52" i="7" s="1"/>
  <c r="D168" i="8"/>
  <c r="F37" i="7" s="1"/>
  <c r="D178" i="8"/>
  <c r="F47" i="7" s="1"/>
  <c r="D204" i="8"/>
  <c r="G42" i="7" s="1"/>
  <c r="D214" i="8"/>
  <c r="G52" i="7" s="1"/>
  <c r="D275" i="8"/>
  <c r="I51" i="7" s="1"/>
  <c r="D327" i="8"/>
  <c r="K41" i="7" s="1"/>
  <c r="D368" i="8"/>
  <c r="L51" i="7" s="1"/>
  <c r="D429" i="8"/>
  <c r="N51" i="7" s="1"/>
  <c r="D459" i="8"/>
  <c r="Q459" i="8" s="1"/>
  <c r="D390" i="8"/>
  <c r="P42" i="7" s="1"/>
  <c r="D84" i="8"/>
  <c r="Q84" i="8" s="1"/>
  <c r="D110" i="8"/>
  <c r="D41" i="7" s="1"/>
  <c r="D120" i="8"/>
  <c r="D51" i="7" s="1"/>
  <c r="D136" i="8"/>
  <c r="E36" i="7" s="1"/>
  <c r="D146" i="8"/>
  <c r="E46" i="7" s="1"/>
  <c r="D172" i="8"/>
  <c r="F41" i="7" s="1"/>
  <c r="D182" i="8"/>
  <c r="F51" i="7" s="1"/>
  <c r="D198" i="8"/>
  <c r="G36" i="7" s="1"/>
  <c r="D208" i="8"/>
  <c r="G46" i="7" s="1"/>
  <c r="D263" i="8"/>
  <c r="I39" i="7" s="1"/>
  <c r="D335" i="8"/>
  <c r="K49" i="7" s="1"/>
  <c r="D356" i="8"/>
  <c r="L39" i="7" s="1"/>
  <c r="D88" i="8"/>
  <c r="C50" i="7" s="1"/>
  <c r="D104" i="8"/>
  <c r="Q104" i="8" s="1"/>
  <c r="D114" i="8"/>
  <c r="D45" i="7" s="1"/>
  <c r="D140" i="8"/>
  <c r="E40" i="7" s="1"/>
  <c r="D150" i="8"/>
  <c r="E50" i="7" s="1"/>
  <c r="D166" i="8"/>
  <c r="F35" i="7" s="1"/>
  <c r="D176" i="8"/>
  <c r="F45" i="7" s="1"/>
  <c r="D202" i="8"/>
  <c r="G40" i="7" s="1"/>
  <c r="D212" i="8"/>
  <c r="G50" i="7" s="1"/>
  <c r="D239" i="8"/>
  <c r="M46" i="7" s="1"/>
  <c r="D291" i="8"/>
  <c r="J36" i="7" s="1"/>
  <c r="D412" i="8"/>
  <c r="N34" i="7" s="1"/>
  <c r="D82" i="8"/>
  <c r="Q82" i="8" s="1"/>
  <c r="D108" i="8"/>
  <c r="Q108" i="8" s="1"/>
  <c r="D118" i="8"/>
  <c r="Q118" i="8" s="1"/>
  <c r="D134" i="8"/>
  <c r="Q134" i="8" s="1"/>
  <c r="D144" i="8"/>
  <c r="Q144" i="8" s="1"/>
  <c r="D170" i="8"/>
  <c r="F39" i="7" s="1"/>
  <c r="D180" i="8"/>
  <c r="F49" i="7" s="1"/>
  <c r="D196" i="8"/>
  <c r="G34" i="7" s="1"/>
  <c r="D206" i="8"/>
  <c r="G44" i="7" s="1"/>
  <c r="D227" i="8"/>
  <c r="M34" i="7" s="1"/>
  <c r="D299" i="8"/>
  <c r="J44" i="7" s="1"/>
  <c r="D393" i="8"/>
  <c r="P45" i="7" s="1"/>
  <c r="L35" i="5"/>
  <c r="H14" i="7"/>
  <c r="H24" i="7"/>
  <c r="H71" i="7"/>
  <c r="H81" i="7"/>
  <c r="B10" i="7"/>
  <c r="B15" i="7"/>
  <c r="B20" i="7"/>
  <c r="D11" i="8"/>
  <c r="H36" i="7" s="1"/>
  <c r="D16" i="8"/>
  <c r="H41" i="7" s="1"/>
  <c r="D21" i="8"/>
  <c r="Q21" i="8" s="1"/>
  <c r="H23" i="7"/>
  <c r="H65" i="7"/>
  <c r="L16" i="8"/>
  <c r="H99" i="7" s="1"/>
  <c r="H75" i="7"/>
  <c r="H80" i="7"/>
  <c r="B64" i="7"/>
  <c r="B66" i="7"/>
  <c r="D47" i="8"/>
  <c r="B71" i="7"/>
  <c r="D52" i="8"/>
  <c r="B45" i="7" s="1"/>
  <c r="B76" i="7"/>
  <c r="D394" i="8"/>
  <c r="Q394" i="8" s="1"/>
  <c r="D399" i="8"/>
  <c r="P51" i="7" s="1"/>
  <c r="H13" i="7"/>
  <c r="H18" i="7"/>
  <c r="D26" i="8"/>
  <c r="L11" i="8"/>
  <c r="H94" i="7" s="1"/>
  <c r="H70" i="7"/>
  <c r="L21" i="8"/>
  <c r="L26" i="8"/>
  <c r="R26" i="8" s="1"/>
  <c r="D42" i="8"/>
  <c r="D44" i="8"/>
  <c r="B69" i="7"/>
  <c r="D49" i="8"/>
  <c r="B42" i="7" s="1"/>
  <c r="B74" i="7"/>
  <c r="D54" i="8"/>
  <c r="Q54" i="8" s="1"/>
  <c r="H7" i="5"/>
  <c r="D9" i="8"/>
  <c r="Q9" i="8" s="1"/>
  <c r="D12" i="8"/>
  <c r="H37" i="7" s="1"/>
  <c r="D17" i="8"/>
  <c r="H42" i="7" s="1"/>
  <c r="D22" i="8"/>
  <c r="D27" i="8"/>
  <c r="Q27" i="8" s="1"/>
  <c r="L12" i="8"/>
  <c r="H95" i="7" s="1"/>
  <c r="L17" i="8"/>
  <c r="R17" i="8" s="1"/>
  <c r="L22" i="8"/>
  <c r="L27" i="8"/>
  <c r="L42" i="8"/>
  <c r="L44" i="8"/>
  <c r="L47" i="8"/>
  <c r="L49" i="8"/>
  <c r="B100" i="7" s="1"/>
  <c r="L52" i="8"/>
  <c r="R52" i="8" s="1"/>
  <c r="L54" i="8"/>
  <c r="B105" i="7" s="1"/>
  <c r="H10" i="7"/>
  <c r="H15" i="7"/>
  <c r="H20" i="7"/>
  <c r="H25" i="7"/>
  <c r="L14" i="8"/>
  <c r="H97" i="7" s="1"/>
  <c r="H72" i="7"/>
  <c r="H77" i="7"/>
  <c r="H82" i="7"/>
  <c r="B65" i="7"/>
  <c r="B67" i="7"/>
  <c r="B70" i="7"/>
  <c r="B72" i="7"/>
  <c r="B75" i="7"/>
  <c r="B77" i="7"/>
  <c r="H8" i="7"/>
  <c r="D397" i="8"/>
  <c r="P49" i="7" s="1"/>
  <c r="D14" i="8"/>
  <c r="H39" i="7" s="1"/>
  <c r="D19" i="8"/>
  <c r="Q19" i="8" s="1"/>
  <c r="D24" i="8"/>
  <c r="L9" i="8"/>
  <c r="R9" i="8" s="1"/>
  <c r="H67" i="7"/>
  <c r="L19" i="8"/>
  <c r="H102" i="7" s="1"/>
  <c r="L24" i="8"/>
  <c r="D41" i="8"/>
  <c r="D43" i="8"/>
  <c r="D46" i="8"/>
  <c r="D48" i="8"/>
  <c r="D51" i="8"/>
  <c r="Q51" i="8" s="1"/>
  <c r="D53" i="8"/>
  <c r="B46" i="7" s="1"/>
  <c r="H7" i="7"/>
  <c r="D10" i="8"/>
  <c r="H35" i="7" s="1"/>
  <c r="D15" i="8"/>
  <c r="H40" i="7" s="1"/>
  <c r="D20" i="8"/>
  <c r="H45" i="7" s="1"/>
  <c r="D25" i="8"/>
  <c r="Q25" i="8" s="1"/>
  <c r="L10" i="8"/>
  <c r="R10" i="8" s="1"/>
  <c r="L15" i="8"/>
  <c r="H98" i="7" s="1"/>
  <c r="L20" i="8"/>
  <c r="H103" i="7" s="1"/>
  <c r="L25" i="8"/>
  <c r="R25" i="8" s="1"/>
  <c r="L41" i="8"/>
  <c r="L43" i="8"/>
  <c r="L46" i="8"/>
  <c r="L48" i="8"/>
  <c r="R48" i="8" s="1"/>
  <c r="L51" i="8"/>
  <c r="B102" i="7" s="1"/>
  <c r="L53" i="8"/>
  <c r="B104" i="7" s="1"/>
  <c r="B22" i="7"/>
  <c r="D56" i="8"/>
  <c r="B49" i="7" s="1"/>
  <c r="B79" i="7"/>
  <c r="L56" i="8"/>
  <c r="B107" i="7" s="1"/>
  <c r="B23" i="7"/>
  <c r="D57" i="8"/>
  <c r="Q57" i="8" s="1"/>
  <c r="B80" i="7"/>
  <c r="L57" i="8"/>
  <c r="R57" i="8" s="1"/>
  <c r="B24" i="7"/>
  <c r="D58" i="8"/>
  <c r="Q58" i="8" s="1"/>
  <c r="B81" i="7"/>
  <c r="B25" i="7"/>
  <c r="D59" i="8"/>
  <c r="B52" i="7" s="1"/>
  <c r="B82" i="7"/>
  <c r="L59" i="8"/>
  <c r="B110" i="7" s="1"/>
  <c r="C7" i="7"/>
  <c r="D72" i="8"/>
  <c r="Q72" i="8" s="1"/>
  <c r="C64" i="7"/>
  <c r="C8" i="7"/>
  <c r="D73" i="8"/>
  <c r="Q73" i="8" s="1"/>
  <c r="C65" i="7"/>
  <c r="L73" i="8"/>
  <c r="C93" i="7" s="1"/>
  <c r="C9" i="7"/>
  <c r="D74" i="8"/>
  <c r="Q74" i="8" s="1"/>
  <c r="C66" i="7"/>
  <c r="C10" i="7"/>
  <c r="D75" i="8"/>
  <c r="C37" i="7" s="1"/>
  <c r="C67" i="7"/>
  <c r="C12" i="7"/>
  <c r="D77" i="8"/>
  <c r="C39" i="7" s="1"/>
  <c r="C69" i="7"/>
  <c r="C13" i="7"/>
  <c r="D78" i="8"/>
  <c r="Q78" i="8" s="1"/>
  <c r="C70" i="7"/>
  <c r="C14" i="7"/>
  <c r="D79" i="8"/>
  <c r="Q79" i="8" s="1"/>
  <c r="C71" i="7"/>
  <c r="C15" i="7"/>
  <c r="D80" i="8"/>
  <c r="Q80" i="8" s="1"/>
  <c r="C72" i="7"/>
  <c r="C17" i="7"/>
  <c r="C74" i="7"/>
  <c r="C18" i="7"/>
  <c r="C75" i="7"/>
  <c r="C19" i="7"/>
  <c r="C76" i="7"/>
  <c r="C20" i="7"/>
  <c r="C77" i="7"/>
  <c r="C22" i="7"/>
  <c r="C79" i="7"/>
  <c r="C23" i="7"/>
  <c r="C80" i="7"/>
  <c r="C24" i="7"/>
  <c r="C81" i="7"/>
  <c r="C25" i="7"/>
  <c r="C82" i="7"/>
  <c r="D7" i="7"/>
  <c r="D64" i="7"/>
  <c r="D8" i="7"/>
  <c r="D65" i="7"/>
  <c r="D9" i="7"/>
  <c r="D66" i="7"/>
  <c r="D10" i="7"/>
  <c r="D67" i="7"/>
  <c r="D12" i="7"/>
  <c r="D69" i="7"/>
  <c r="D13" i="7"/>
  <c r="D70" i="7"/>
  <c r="D14" i="7"/>
  <c r="D71" i="7"/>
  <c r="D15" i="7"/>
  <c r="D72" i="7"/>
  <c r="D17" i="7"/>
  <c r="D74" i="7"/>
  <c r="D18" i="7"/>
  <c r="D75" i="7"/>
  <c r="D19" i="7"/>
  <c r="D76" i="7"/>
  <c r="D20" i="7"/>
  <c r="D77" i="7"/>
  <c r="D22" i="7"/>
  <c r="D79" i="7"/>
  <c r="D23" i="7"/>
  <c r="D80" i="7"/>
  <c r="D24" i="7"/>
  <c r="D81" i="7"/>
  <c r="D25" i="7"/>
  <c r="D82" i="7"/>
  <c r="P19" i="7"/>
  <c r="P20" i="7"/>
  <c r="P22" i="7"/>
  <c r="P23" i="7"/>
  <c r="D389" i="8"/>
  <c r="P41" i="7" s="1"/>
  <c r="D392" i="8"/>
  <c r="P44" i="7" s="1"/>
  <c r="E7" i="7"/>
  <c r="E64" i="7"/>
  <c r="E8" i="7"/>
  <c r="E65" i="7"/>
  <c r="E9" i="7"/>
  <c r="E66" i="7"/>
  <c r="E10" i="7"/>
  <c r="E67" i="7"/>
  <c r="E12" i="7"/>
  <c r="E69" i="7"/>
  <c r="E13" i="7"/>
  <c r="E70" i="7"/>
  <c r="E14" i="7"/>
  <c r="E71" i="7"/>
  <c r="E15" i="7"/>
  <c r="E72" i="7"/>
  <c r="E17" i="7"/>
  <c r="E74" i="7"/>
  <c r="E18" i="7"/>
  <c r="E75" i="7"/>
  <c r="E19" i="7"/>
  <c r="E20" i="7"/>
  <c r="E22" i="7"/>
  <c r="E23" i="7"/>
  <c r="E24" i="7"/>
  <c r="E25" i="7"/>
  <c r="F7" i="7"/>
  <c r="F8" i="7"/>
  <c r="F9" i="7"/>
  <c r="F10" i="7"/>
  <c r="F12" i="7"/>
  <c r="F13" i="7"/>
  <c r="F14" i="7"/>
  <c r="F15" i="7"/>
  <c r="F17" i="7"/>
  <c r="F18" i="7"/>
  <c r="F19" i="7"/>
  <c r="F20" i="7"/>
  <c r="F22" i="7"/>
  <c r="F23" i="7"/>
  <c r="F24" i="7"/>
  <c r="F25" i="7"/>
  <c r="G8" i="7"/>
  <c r="G9" i="7"/>
  <c r="G10" i="7"/>
  <c r="G12" i="7"/>
  <c r="G13" i="7"/>
  <c r="G14" i="7"/>
  <c r="G15" i="7"/>
  <c r="G17" i="7"/>
  <c r="G18" i="7"/>
  <c r="G19" i="7"/>
  <c r="G20" i="7"/>
  <c r="G22" i="7"/>
  <c r="G23" i="7"/>
  <c r="G24" i="7"/>
  <c r="G25" i="7"/>
  <c r="M8" i="7"/>
  <c r="M9" i="7"/>
  <c r="M10" i="7"/>
  <c r="M12" i="7"/>
  <c r="M13" i="7"/>
  <c r="M14" i="7"/>
  <c r="M15" i="7"/>
  <c r="M17" i="7"/>
  <c r="M18" i="7"/>
  <c r="M19" i="7"/>
  <c r="M20" i="7"/>
  <c r="M22" i="7"/>
  <c r="M23" i="7"/>
  <c r="M24" i="7"/>
  <c r="M25" i="7"/>
  <c r="I8" i="7"/>
  <c r="I9" i="7"/>
  <c r="I10" i="7"/>
  <c r="I12" i="7"/>
  <c r="I13" i="7"/>
  <c r="I14" i="7"/>
  <c r="I15" i="7"/>
  <c r="I17" i="7"/>
  <c r="I18" i="7"/>
  <c r="I19" i="7"/>
  <c r="I20" i="7"/>
  <c r="I22" i="7"/>
  <c r="I23" i="7"/>
  <c r="I24" i="7"/>
  <c r="I25" i="7"/>
  <c r="J8" i="7"/>
  <c r="J9" i="7"/>
  <c r="J10" i="7"/>
  <c r="J12" i="7"/>
  <c r="J13" i="7"/>
  <c r="J14" i="7"/>
  <c r="J15" i="7"/>
  <c r="J17" i="7"/>
  <c r="J18" i="7"/>
  <c r="J19" i="7"/>
  <c r="J22" i="7"/>
  <c r="J23" i="7"/>
  <c r="P7" i="7"/>
  <c r="D382" i="8"/>
  <c r="P34" i="7" s="1"/>
  <c r="P8" i="7"/>
  <c r="D383" i="8"/>
  <c r="P35" i="7" s="1"/>
  <c r="P9" i="7"/>
  <c r="D384" i="8"/>
  <c r="Q384" i="8" s="1"/>
  <c r="P10" i="7"/>
  <c r="D385" i="8"/>
  <c r="P12" i="7"/>
  <c r="D387" i="8"/>
  <c r="P39" i="7" s="1"/>
  <c r="P13" i="7"/>
  <c r="D388" i="8"/>
  <c r="P40" i="7" s="1"/>
  <c r="P14" i="7"/>
  <c r="P15" i="7"/>
  <c r="P17" i="7"/>
  <c r="D9" i="6"/>
  <c r="H35" i="5" s="1"/>
  <c r="L17" i="6"/>
  <c r="H102" i="5" s="1"/>
  <c r="C94" i="5"/>
  <c r="D94" i="5"/>
  <c r="D95" i="5"/>
  <c r="E35" i="5"/>
  <c r="P18" i="7"/>
  <c r="D11" i="6"/>
  <c r="D21" i="6"/>
  <c r="H47" i="5" s="1"/>
  <c r="D24" i="6"/>
  <c r="H50" i="5" s="1"/>
  <c r="L15" i="6"/>
  <c r="H100" i="5" s="1"/>
  <c r="C35" i="5"/>
  <c r="C95" i="5"/>
  <c r="E94" i="5"/>
  <c r="E95" i="5"/>
  <c r="F94" i="5"/>
  <c r="F95" i="5"/>
  <c r="D26" i="6"/>
  <c r="H52" i="5" s="1"/>
  <c r="B35" i="5"/>
  <c r="D35" i="5"/>
  <c r="I35" i="5"/>
  <c r="L26" i="6"/>
  <c r="H111" i="5" s="1"/>
  <c r="D25" i="6"/>
  <c r="H51" i="5" s="1"/>
  <c r="L25" i="6"/>
  <c r="H110" i="5" s="1"/>
  <c r="L24" i="6"/>
  <c r="H109" i="5" s="1"/>
  <c r="D22" i="6"/>
  <c r="H48" i="5" s="1"/>
  <c r="L22" i="6"/>
  <c r="H107" i="5" s="1"/>
  <c r="J20" i="7"/>
  <c r="L21" i="6"/>
  <c r="H106" i="5" s="1"/>
  <c r="D20" i="6"/>
  <c r="H46" i="5" s="1"/>
  <c r="L20" i="6"/>
  <c r="H105" i="5" s="1"/>
  <c r="D19" i="6"/>
  <c r="H45" i="5" s="1"/>
  <c r="L19" i="6"/>
  <c r="H104" i="5" s="1"/>
  <c r="D17" i="6"/>
  <c r="H43" i="5" s="1"/>
  <c r="D15" i="6"/>
  <c r="H41" i="5" s="1"/>
  <c r="D14" i="6"/>
  <c r="H40" i="5" s="1"/>
  <c r="L14" i="6"/>
  <c r="H99" i="5" s="1"/>
  <c r="D12" i="6"/>
  <c r="L12" i="6"/>
  <c r="L11" i="6"/>
  <c r="H96" i="5" s="1"/>
  <c r="D10" i="6"/>
  <c r="H36" i="5" s="1"/>
  <c r="L10" i="6"/>
  <c r="R10" i="6" s="1"/>
  <c r="B95" i="5"/>
  <c r="L9" i="6"/>
  <c r="H94" i="5" s="1"/>
  <c r="B94" i="5"/>
  <c r="G7" i="7"/>
  <c r="M7" i="7"/>
  <c r="I7" i="7"/>
  <c r="J7" i="7"/>
  <c r="J24" i="7"/>
  <c r="J25" i="7"/>
  <c r="K7" i="7"/>
  <c r="K8" i="7"/>
  <c r="K9" i="7"/>
  <c r="K10" i="7"/>
  <c r="K12" i="7"/>
  <c r="K13" i="7"/>
  <c r="K14" i="7"/>
  <c r="K15" i="7"/>
  <c r="K17" i="7"/>
  <c r="K18" i="7"/>
  <c r="K19" i="7"/>
  <c r="K20" i="7"/>
  <c r="K22" i="7"/>
  <c r="K23" i="7"/>
  <c r="K24" i="7"/>
  <c r="K25" i="7"/>
  <c r="L7" i="7"/>
  <c r="L8" i="7"/>
  <c r="L9" i="7"/>
  <c r="L10" i="7"/>
  <c r="L12" i="7"/>
  <c r="L13" i="7"/>
  <c r="L14" i="7"/>
  <c r="L15" i="7"/>
  <c r="L17" i="7"/>
  <c r="L18" i="7"/>
  <c r="L19" i="7"/>
  <c r="L20" i="7"/>
  <c r="L22" i="7"/>
  <c r="L23" i="7"/>
  <c r="L24" i="7"/>
  <c r="L25" i="7"/>
  <c r="N7" i="7"/>
  <c r="N8" i="7"/>
  <c r="N9" i="7"/>
  <c r="N10" i="7"/>
  <c r="N12" i="7"/>
  <c r="N13" i="7"/>
  <c r="N14" i="7"/>
  <c r="N15" i="7"/>
  <c r="N17" i="7"/>
  <c r="N18" i="7"/>
  <c r="N19" i="7"/>
  <c r="N20" i="7"/>
  <c r="N22" i="7"/>
  <c r="N23" i="7"/>
  <c r="N24" i="7"/>
  <c r="O7" i="7"/>
  <c r="O9" i="7"/>
  <c r="O15" i="7"/>
  <c r="O17" i="7"/>
  <c r="O19" i="7"/>
  <c r="O23" i="7"/>
  <c r="O25" i="7"/>
  <c r="O13" i="7"/>
  <c r="H66" i="5"/>
  <c r="B7" i="5"/>
  <c r="B66" i="5"/>
  <c r="C7" i="5"/>
  <c r="C66" i="5"/>
  <c r="D7" i="5"/>
  <c r="D66" i="5"/>
  <c r="E7" i="5"/>
  <c r="E66" i="5"/>
  <c r="F7" i="5"/>
  <c r="F66" i="5"/>
  <c r="P24" i="7"/>
  <c r="G7" i="5"/>
  <c r="G66" i="5"/>
  <c r="M7" i="5"/>
  <c r="I7" i="5"/>
  <c r="J7" i="5"/>
  <c r="K7" i="5"/>
  <c r="L7" i="5"/>
  <c r="N7" i="5"/>
  <c r="O7" i="5"/>
  <c r="P7" i="5"/>
  <c r="P25" i="7"/>
  <c r="E76" i="7"/>
  <c r="E77" i="7"/>
  <c r="E79" i="7"/>
  <c r="E80" i="7"/>
  <c r="E81" i="7"/>
  <c r="E82" i="7"/>
  <c r="F64" i="7"/>
  <c r="F65" i="7"/>
  <c r="F66" i="7"/>
  <c r="F67" i="7"/>
  <c r="F69" i="7"/>
  <c r="F70" i="7"/>
  <c r="F71" i="7"/>
  <c r="F72" i="7"/>
  <c r="F74" i="7"/>
  <c r="F75" i="7"/>
  <c r="F76" i="7"/>
  <c r="F77" i="7"/>
  <c r="F79" i="7"/>
  <c r="F80" i="7"/>
  <c r="F81" i="7"/>
  <c r="F82" i="7"/>
  <c r="G64" i="7"/>
  <c r="G65" i="7"/>
  <c r="G66" i="7"/>
  <c r="G67" i="7"/>
  <c r="G69" i="7"/>
  <c r="G70" i="7"/>
  <c r="G71" i="7"/>
  <c r="G72" i="7"/>
  <c r="G74" i="7"/>
  <c r="G75" i="7"/>
  <c r="G76" i="7"/>
  <c r="G77" i="7"/>
  <c r="G79" i="7"/>
  <c r="G80" i="7"/>
  <c r="G81" i="7"/>
  <c r="G82" i="7"/>
  <c r="N25" i="7"/>
  <c r="O8" i="7"/>
  <c r="O10" i="7"/>
  <c r="O12" i="7"/>
  <c r="O14" i="7"/>
  <c r="O18" i="7"/>
  <c r="O20" i="7"/>
  <c r="O22" i="7"/>
  <c r="O24" i="7"/>
  <c r="Q13" i="6"/>
  <c r="Q139" i="8" l="1"/>
  <c r="L34" i="7"/>
  <c r="C100" i="7"/>
  <c r="E45" i="7"/>
  <c r="D105" i="7"/>
  <c r="Q11" i="6"/>
  <c r="H37" i="5"/>
  <c r="R12" i="6"/>
  <c r="H97" i="5"/>
  <c r="Q12" i="6"/>
  <c r="H38" i="5"/>
  <c r="Q38" i="5" s="1"/>
  <c r="D103" i="7"/>
  <c r="Q197" i="8"/>
  <c r="R118" i="8"/>
  <c r="Q235" i="8"/>
  <c r="R178" i="8"/>
  <c r="R176" i="8"/>
  <c r="Q294" i="8"/>
  <c r="R204" i="8"/>
  <c r="R152" i="8"/>
  <c r="Q151" i="8"/>
  <c r="Q120" i="8"/>
  <c r="Q89" i="8"/>
  <c r="R108" i="8"/>
  <c r="C41" i="7"/>
  <c r="O37" i="7"/>
  <c r="S50" i="5"/>
  <c r="E37" i="7"/>
  <c r="Q418" i="8"/>
  <c r="Q452" i="8"/>
  <c r="D50" i="7"/>
  <c r="I44" i="7"/>
  <c r="R172" i="8"/>
  <c r="Q114" i="8"/>
  <c r="R113" i="8"/>
  <c r="Q395" i="8"/>
  <c r="Q369" i="8"/>
  <c r="Q260" i="8"/>
  <c r="R106" i="8"/>
  <c r="Q201" i="8"/>
  <c r="R52" i="5"/>
  <c r="Q399" i="8"/>
  <c r="Q20" i="8"/>
  <c r="R120" i="8"/>
  <c r="S40" i="5"/>
  <c r="Q444" i="8"/>
  <c r="Q52" i="8"/>
  <c r="Q320" i="8"/>
  <c r="Q265" i="8"/>
  <c r="C110" i="7"/>
  <c r="O52" i="7"/>
  <c r="Q11" i="8"/>
  <c r="Q307" i="8"/>
  <c r="I35" i="7"/>
  <c r="J41" i="7"/>
  <c r="Q366" i="8"/>
  <c r="R208" i="8"/>
  <c r="Q146" i="8"/>
  <c r="R87" i="8"/>
  <c r="D94" i="7"/>
  <c r="Q203" i="8"/>
  <c r="Q455" i="8"/>
  <c r="R146" i="8"/>
  <c r="N44" i="7"/>
  <c r="Q357" i="8"/>
  <c r="Q238" i="8"/>
  <c r="R142" i="8"/>
  <c r="R206" i="8"/>
  <c r="R167" i="8"/>
  <c r="Q142" i="8"/>
  <c r="J49" i="7"/>
  <c r="D92" i="7"/>
  <c r="R73" i="8"/>
  <c r="Q358" i="8"/>
  <c r="B50" i="7"/>
  <c r="M39" i="7"/>
  <c r="R40" i="5" s="1"/>
  <c r="R20" i="8"/>
  <c r="S43" i="5"/>
  <c r="O49" i="7"/>
  <c r="Q198" i="8"/>
  <c r="D39" i="7"/>
  <c r="C95" i="7"/>
  <c r="Q227" i="8"/>
  <c r="Q196" i="8"/>
  <c r="Q429" i="8"/>
  <c r="Q442" i="8"/>
  <c r="L44" i="7"/>
  <c r="R182" i="8"/>
  <c r="Q258" i="8"/>
  <c r="C109" i="7"/>
  <c r="Q264" i="8"/>
  <c r="D37" i="7"/>
  <c r="M49" i="7"/>
  <c r="R50" i="5" s="1"/>
  <c r="C108" i="7"/>
  <c r="Q214" i="8"/>
  <c r="Q199" i="8"/>
  <c r="Q175" i="8"/>
  <c r="C104" i="7"/>
  <c r="Q392" i="8"/>
  <c r="Q77" i="8"/>
  <c r="R104" i="8"/>
  <c r="R82" i="8"/>
  <c r="R19" i="8"/>
  <c r="J42" i="7"/>
  <c r="Q338" i="8"/>
  <c r="O50" i="7"/>
  <c r="Q295" i="8"/>
  <c r="E41" i="7"/>
  <c r="D44" i="7"/>
  <c r="R140" i="8"/>
  <c r="R202" i="8"/>
  <c r="Q150" i="8"/>
  <c r="R43" i="5"/>
  <c r="Q325" i="8"/>
  <c r="H108" i="7"/>
  <c r="D99" i="7"/>
  <c r="Q202" i="8"/>
  <c r="Q178" i="8"/>
  <c r="R147" i="8"/>
  <c r="Q300" i="8"/>
  <c r="Q332" i="8"/>
  <c r="Q170" i="8"/>
  <c r="Q400" i="8"/>
  <c r="Q328" i="8"/>
  <c r="K37" i="7"/>
  <c r="Q243" i="8"/>
  <c r="Q115" i="8"/>
  <c r="Q103" i="8"/>
  <c r="Q425" i="8"/>
  <c r="Q330" i="8"/>
  <c r="Q228" i="8"/>
  <c r="R135" i="8"/>
  <c r="H93" i="7"/>
  <c r="Q209" i="8"/>
  <c r="R177" i="8"/>
  <c r="S52" i="5"/>
  <c r="R170" i="8"/>
  <c r="O39" i="7"/>
  <c r="L45" i="7"/>
  <c r="I47" i="7"/>
  <c r="E94" i="7"/>
  <c r="Q22" i="6"/>
  <c r="Q326" i="8"/>
  <c r="Q240" i="8"/>
  <c r="C105" i="7"/>
  <c r="Q177" i="8"/>
  <c r="Q165" i="8"/>
  <c r="Q302" i="8"/>
  <c r="R111" i="8"/>
  <c r="O35" i="5"/>
  <c r="N36" i="7"/>
  <c r="Q430" i="8"/>
  <c r="Q301" i="8"/>
  <c r="Q424" i="8"/>
  <c r="D42" i="7"/>
  <c r="R58" i="8"/>
  <c r="N35" i="5"/>
  <c r="M35" i="5"/>
  <c r="R35" i="5" s="1"/>
  <c r="R183" i="8"/>
  <c r="Q415" i="8"/>
  <c r="Q428" i="8"/>
  <c r="Q274" i="8"/>
  <c r="D104" i="7"/>
  <c r="Q17" i="8"/>
  <c r="S36" i="5"/>
  <c r="Q417" i="8"/>
  <c r="Q336" i="8"/>
  <c r="Q331" i="8"/>
  <c r="R15" i="8"/>
  <c r="Q213" i="8"/>
  <c r="Q168" i="8"/>
  <c r="Q352" i="8"/>
  <c r="Q75" i="8"/>
  <c r="Q289" i="8"/>
  <c r="C49" i="7"/>
  <c r="C92" i="7"/>
  <c r="R150" i="8"/>
  <c r="Q420" i="8"/>
  <c r="Q368" i="8"/>
  <c r="L47" i="7"/>
  <c r="I37" i="7"/>
  <c r="D36" i="7"/>
  <c r="C46" i="7"/>
  <c r="Q353" i="8"/>
  <c r="Q322" i="8"/>
  <c r="M41" i="7"/>
  <c r="R42" i="5" s="1"/>
  <c r="E102" i="7"/>
  <c r="D98" i="7"/>
  <c r="C99" i="7"/>
  <c r="R59" i="8"/>
  <c r="F35" i="5"/>
  <c r="R48" i="5"/>
  <c r="G94" i="5"/>
  <c r="Q211" i="8"/>
  <c r="R180" i="8"/>
  <c r="R166" i="8"/>
  <c r="Q149" i="8"/>
  <c r="S41" i="5"/>
  <c r="S42" i="5"/>
  <c r="S51" i="5"/>
  <c r="R51" i="5"/>
  <c r="Q354" i="8"/>
  <c r="Q292" i="8"/>
  <c r="Q237" i="8"/>
  <c r="Q367" i="8"/>
  <c r="Q273" i="8"/>
  <c r="Q382" i="8"/>
  <c r="C44" i="7"/>
  <c r="Q172" i="8"/>
  <c r="Q166" i="8"/>
  <c r="Q36" i="5"/>
  <c r="R45" i="5"/>
  <c r="Q387" i="8"/>
  <c r="P36" i="7"/>
  <c r="M52" i="7"/>
  <c r="R53" i="5" s="1"/>
  <c r="Q423" i="8"/>
  <c r="R36" i="5"/>
  <c r="Q10" i="8"/>
  <c r="R214" i="8"/>
  <c r="R168" i="8"/>
  <c r="Q152" i="8"/>
  <c r="Q393" i="8"/>
  <c r="S53" i="5"/>
  <c r="B51" i="7"/>
  <c r="Q176" i="8"/>
  <c r="Q427" i="8"/>
  <c r="Q276" i="8"/>
  <c r="Q230" i="8"/>
  <c r="P35" i="5"/>
  <c r="S35" i="5" s="1"/>
  <c r="R212" i="8"/>
  <c r="Q182" i="8"/>
  <c r="Q167" i="8"/>
  <c r="Q448" i="8"/>
  <c r="M40" i="7"/>
  <c r="R41" i="5" s="1"/>
  <c r="D47" i="7"/>
  <c r="R165" i="8"/>
  <c r="Q136" i="8"/>
  <c r="C36" i="7"/>
  <c r="J51" i="7"/>
  <c r="E92" i="7"/>
  <c r="R38" i="5"/>
  <c r="Q398" i="8"/>
  <c r="Q291" i="8"/>
  <c r="K47" i="7"/>
  <c r="Q140" i="8"/>
  <c r="Q121" i="8"/>
  <c r="Q109" i="8"/>
  <c r="C42" i="7"/>
  <c r="Q59" i="8"/>
  <c r="B44" i="7"/>
  <c r="H92" i="7"/>
  <c r="E95" i="7"/>
  <c r="D110" i="7"/>
  <c r="R83" i="8"/>
  <c r="R78" i="8"/>
  <c r="R53" i="8"/>
  <c r="H95" i="5"/>
  <c r="R209" i="8"/>
  <c r="Q413" i="8"/>
  <c r="Q53" i="8"/>
  <c r="B108" i="7"/>
  <c r="Q229" i="8"/>
  <c r="Q244" i="8"/>
  <c r="R21" i="6"/>
  <c r="G95" i="5"/>
  <c r="Q397" i="8"/>
  <c r="Q359" i="8"/>
  <c r="Q327" i="8"/>
  <c r="Q290" i="8"/>
  <c r="R77" i="8"/>
  <c r="R196" i="8"/>
  <c r="Q180" i="8"/>
  <c r="Q173" i="8"/>
  <c r="R151" i="8"/>
  <c r="H46" i="7"/>
  <c r="Q47" i="5" s="1"/>
  <c r="Q43" i="5"/>
  <c r="R207" i="8"/>
  <c r="Q419" i="8"/>
  <c r="Q356" i="8"/>
  <c r="Q275" i="8"/>
  <c r="Q443" i="8"/>
  <c r="R74" i="8"/>
  <c r="R22" i="6"/>
  <c r="R213" i="8"/>
  <c r="Q183" i="8"/>
  <c r="Q171" i="8"/>
  <c r="Q12" i="8"/>
  <c r="R198" i="8"/>
  <c r="I46" i="7"/>
  <c r="Q204" i="8"/>
  <c r="Q335" i="8"/>
  <c r="Q266" i="8"/>
  <c r="R139" i="8"/>
  <c r="R14" i="6"/>
  <c r="R203" i="8"/>
  <c r="R197" i="8"/>
  <c r="Q181" i="8"/>
  <c r="Q363" i="8"/>
  <c r="B99" i="7"/>
  <c r="Q208" i="8"/>
  <c r="Q388" i="8"/>
  <c r="Q450" i="8"/>
  <c r="Q321" i="8"/>
  <c r="Q110" i="8"/>
  <c r="Q88" i="8"/>
  <c r="Q83" i="8"/>
  <c r="E99" i="7"/>
  <c r="S48" i="5"/>
  <c r="R17" i="6"/>
  <c r="R181" i="8"/>
  <c r="R171" i="8"/>
  <c r="Q454" i="8"/>
  <c r="H100" i="7"/>
  <c r="R14" i="8"/>
  <c r="D35" i="7"/>
  <c r="B47" i="7"/>
  <c r="S46" i="5"/>
  <c r="Q147" i="8"/>
  <c r="Q337" i="8"/>
  <c r="Q135" i="8"/>
  <c r="O51" i="7"/>
  <c r="E103" i="7"/>
  <c r="D108" i="7"/>
  <c r="J35" i="5"/>
  <c r="R211" i="8"/>
  <c r="R201" i="8"/>
  <c r="R175" i="8"/>
  <c r="R149" i="8"/>
  <c r="Q453" i="8"/>
  <c r="R15" i="6"/>
  <c r="Q207" i="8"/>
  <c r="P46" i="7"/>
  <c r="J50" i="7"/>
  <c r="I45" i="7"/>
  <c r="E34" i="7"/>
  <c r="D49" i="7"/>
  <c r="C47" i="7"/>
  <c r="H44" i="7"/>
  <c r="Q45" i="5" s="1"/>
  <c r="G35" i="5"/>
  <c r="Q10" i="6"/>
  <c r="Q206" i="8"/>
  <c r="Q212" i="8"/>
  <c r="Q449" i="8"/>
  <c r="Q383" i="8"/>
  <c r="Q299" i="8"/>
  <c r="R54" i="8"/>
  <c r="S45" i="5"/>
  <c r="R37" i="5"/>
  <c r="Q24" i="6"/>
  <c r="R12" i="8"/>
  <c r="R199" i="8"/>
  <c r="R173" i="8"/>
  <c r="E44" i="7"/>
  <c r="C52" i="7"/>
  <c r="Q390" i="8"/>
  <c r="H52" i="7"/>
  <c r="Q53" i="5" s="1"/>
  <c r="Q263" i="8"/>
  <c r="Q412" i="8"/>
  <c r="Q239" i="8"/>
  <c r="R47" i="5"/>
  <c r="Q46" i="5"/>
  <c r="Q40" i="5"/>
  <c r="R16" i="6"/>
  <c r="Q15" i="8"/>
  <c r="C34" i="7"/>
  <c r="R51" i="8"/>
  <c r="R24" i="6"/>
  <c r="C40" i="7"/>
  <c r="C35" i="7"/>
  <c r="B103" i="7"/>
  <c r="H109" i="7"/>
  <c r="H34" i="7"/>
  <c r="Q35" i="5" s="1"/>
  <c r="Q21" i="6"/>
  <c r="Q15" i="6"/>
  <c r="R9" i="6"/>
  <c r="R11" i="8"/>
  <c r="Q49" i="8"/>
  <c r="Q14" i="8"/>
  <c r="Q41" i="5"/>
  <c r="R49" i="8"/>
  <c r="Q56" i="8"/>
  <c r="Q19" i="6"/>
  <c r="R56" i="8"/>
  <c r="R19" i="6"/>
  <c r="Q16" i="8"/>
  <c r="H50" i="7"/>
  <c r="Q51" i="5" s="1"/>
  <c r="R25" i="6"/>
  <c r="Q20" i="6"/>
  <c r="Q9" i="6"/>
  <c r="R11" i="6"/>
  <c r="Q37" i="5"/>
  <c r="R16" i="8"/>
  <c r="Q389" i="8"/>
  <c r="R26" i="6"/>
  <c r="R20" i="6"/>
  <c r="Q26" i="6"/>
  <c r="Q25" i="6"/>
  <c r="Q17" i="6"/>
  <c r="Q16" i="6"/>
  <c r="Q14" i="6"/>
  <c r="Q42" i="5"/>
  <c r="H47" i="7"/>
  <c r="Q48" i="5" s="1"/>
  <c r="Q22" i="8"/>
  <c r="H49" i="7"/>
  <c r="Q50" i="5" s="1"/>
  <c r="Q24" i="8"/>
  <c r="H51" i="7"/>
  <c r="Q52" i="5" s="1"/>
  <c r="Q26" i="8"/>
  <c r="H104" i="7"/>
  <c r="R21" i="8"/>
  <c r="H105" i="7"/>
  <c r="R22" i="8"/>
  <c r="H107" i="7"/>
  <c r="R24" i="8"/>
  <c r="H110" i="7"/>
  <c r="R27" i="8"/>
  <c r="B34" i="7"/>
  <c r="Q41" i="8"/>
  <c r="B92" i="7"/>
  <c r="R41" i="8"/>
  <c r="B35" i="7"/>
  <c r="Q42" i="8"/>
  <c r="B93" i="7"/>
  <c r="R42" i="8"/>
  <c r="B36" i="7"/>
  <c r="Q43" i="8"/>
  <c r="B94" i="7"/>
  <c r="R43" i="8"/>
  <c r="B37" i="7"/>
  <c r="Q44" i="8"/>
  <c r="B95" i="7"/>
  <c r="R44" i="8"/>
  <c r="B39" i="7"/>
  <c r="Q46" i="8"/>
  <c r="B97" i="7"/>
  <c r="R46" i="8"/>
  <c r="B40" i="7"/>
  <c r="Q47" i="8"/>
  <c r="B98" i="7"/>
  <c r="R47" i="8"/>
  <c r="B41" i="7"/>
  <c r="Q48" i="8"/>
  <c r="P37" i="7"/>
  <c r="S38" i="5" s="1"/>
  <c r="Q385" i="8"/>
  <c r="R46" i="5"/>
  <c r="S37" i="5" l="1"/>
  <c r="S47" i="5"/>
  <c r="Z20" i="9" l="1"/>
  <c r="M56" i="9"/>
  <c r="B80" i="9"/>
  <c r="B53" i="9"/>
  <c r="E9" i="9"/>
  <c r="N70" i="9"/>
  <c r="I56" i="9"/>
  <c r="O26" i="9"/>
  <c r="K14" i="9"/>
  <c r="R34" i="9"/>
  <c r="G26" i="9"/>
  <c r="N79" i="9"/>
  <c r="N39" i="9"/>
  <c r="E30" i="9"/>
  <c r="L29" i="9"/>
  <c r="L50" i="9"/>
  <c r="B52" i="9"/>
  <c r="P41" i="9"/>
  <c r="C77" i="9"/>
  <c r="L10" i="9"/>
  <c r="AA6" i="9"/>
  <c r="F16" i="9"/>
  <c r="E78" i="9"/>
  <c r="F8" i="9"/>
  <c r="H5" i="9"/>
  <c r="B75" i="9"/>
  <c r="H11" i="9"/>
  <c r="G54" i="9"/>
  <c r="Z6" i="9"/>
  <c r="T5" i="9"/>
  <c r="AA28" i="9"/>
  <c r="U13" i="9"/>
  <c r="I50" i="9"/>
  <c r="Y10" i="9"/>
  <c r="N16" i="9"/>
  <c r="D6" i="9"/>
  <c r="M68" i="9"/>
  <c r="U38" i="9"/>
  <c r="E51" i="9"/>
  <c r="L58" i="9"/>
  <c r="M81" i="9"/>
  <c r="T7" i="9"/>
  <c r="Z11" i="9"/>
  <c r="M17" i="9"/>
  <c r="J8" i="9"/>
  <c r="V38" i="9"/>
  <c r="I33" i="9"/>
  <c r="H40" i="9"/>
  <c r="F74" i="9"/>
  <c r="L40" i="9"/>
  <c r="C18" i="9"/>
  <c r="G15" i="9"/>
  <c r="H16" i="9"/>
  <c r="H48" i="9"/>
  <c r="P31" i="9"/>
  <c r="AA29" i="9"/>
  <c r="Y15" i="9"/>
  <c r="N77" i="9"/>
  <c r="M41" i="9"/>
  <c r="M28" i="9"/>
  <c r="D12" i="9"/>
  <c r="P59" i="9"/>
  <c r="L16" i="9"/>
  <c r="U19" i="9"/>
  <c r="N13" i="9"/>
  <c r="M77" i="9"/>
  <c r="N26" i="9"/>
  <c r="W29" i="9"/>
  <c r="Y11" i="9"/>
  <c r="N74" i="9"/>
  <c r="T33" i="9"/>
  <c r="S38" i="9"/>
  <c r="W16" i="9"/>
  <c r="D40" i="9"/>
  <c r="K35" i="9"/>
  <c r="H69" i="9"/>
  <c r="P10" i="9"/>
  <c r="C10" i="9"/>
  <c r="I71" i="9"/>
  <c r="P77" i="9"/>
  <c r="V33" i="9"/>
  <c r="P14" i="9"/>
  <c r="P82" i="9"/>
  <c r="P61" i="9"/>
  <c r="I83" i="9"/>
  <c r="J62" i="9"/>
  <c r="AA38" i="9"/>
  <c r="G61" i="9"/>
  <c r="H50" i="9"/>
  <c r="AA20" i="9"/>
  <c r="T40" i="9"/>
  <c r="Y6" i="9"/>
  <c r="E70" i="9"/>
  <c r="O35" i="9"/>
  <c r="L32" i="9"/>
  <c r="U11" i="9"/>
  <c r="V5" i="9"/>
  <c r="I77" i="9"/>
  <c r="G49" i="9"/>
  <c r="K81" i="9"/>
  <c r="G38" i="9"/>
  <c r="M14" i="9"/>
  <c r="L53" i="9"/>
  <c r="C30" i="9"/>
  <c r="B26" i="9"/>
  <c r="Z33" i="9"/>
  <c r="T37" i="9"/>
  <c r="J17" i="9"/>
  <c r="K37" i="9"/>
  <c r="C53" i="9"/>
  <c r="U7" i="9"/>
  <c r="P68" i="9"/>
  <c r="D58" i="9"/>
  <c r="G55" i="9"/>
  <c r="E52" i="9"/>
  <c r="K31" i="9"/>
  <c r="M78" i="9"/>
  <c r="M6" i="9"/>
  <c r="C15" i="9"/>
  <c r="L30" i="9"/>
  <c r="M47" i="9"/>
  <c r="C49" i="9"/>
  <c r="K70" i="9"/>
  <c r="B58" i="9"/>
  <c r="U27" i="9"/>
  <c r="K61" i="9"/>
  <c r="W33" i="9"/>
  <c r="O18" i="9"/>
  <c r="T38" i="9"/>
  <c r="I55" i="9"/>
  <c r="F78" i="9"/>
  <c r="R30" i="9"/>
  <c r="H15" i="9"/>
  <c r="J33" i="9"/>
  <c r="M38" i="9"/>
  <c r="Q71" i="9"/>
  <c r="P37" i="9"/>
  <c r="L79" i="9"/>
  <c r="B38" i="9"/>
  <c r="J70" i="9"/>
  <c r="J79" i="9"/>
  <c r="K80" i="9"/>
  <c r="I6" i="9"/>
  <c r="Y39" i="9"/>
  <c r="J5" i="9"/>
  <c r="X16" i="9"/>
  <c r="G17" i="9"/>
  <c r="G16" i="9"/>
  <c r="H29" i="9"/>
  <c r="H56" i="9"/>
  <c r="B47" i="9"/>
  <c r="D55" i="9"/>
  <c r="O29" i="9"/>
  <c r="AA31" i="9"/>
  <c r="L69" i="9"/>
  <c r="Q41" i="9"/>
  <c r="Q58" i="9"/>
  <c r="O31" i="9"/>
  <c r="K8" i="9"/>
  <c r="E41" i="9"/>
  <c r="V7" i="9"/>
  <c r="R29" i="9"/>
  <c r="G83" i="9"/>
  <c r="P11" i="9"/>
  <c r="H73" i="9"/>
  <c r="P29" i="9"/>
  <c r="C72" i="9"/>
  <c r="F68" i="9"/>
  <c r="K26" i="9"/>
  <c r="G10" i="9"/>
  <c r="W40" i="9"/>
  <c r="V35" i="9"/>
  <c r="D11" i="9"/>
  <c r="N36" i="9"/>
  <c r="D54" i="9"/>
  <c r="G51" i="9"/>
  <c r="K12" i="9"/>
  <c r="T16" i="9"/>
  <c r="E60" i="9"/>
  <c r="E81" i="9"/>
  <c r="D29" i="9"/>
  <c r="O32" i="9"/>
  <c r="F38" i="9"/>
  <c r="J76" i="9"/>
  <c r="K16" i="9"/>
  <c r="D57" i="9"/>
  <c r="M52" i="9"/>
  <c r="W19" i="9"/>
  <c r="C81" i="9"/>
  <c r="B56" i="9"/>
  <c r="G59" i="9"/>
  <c r="F73" i="9"/>
  <c r="S40" i="9"/>
  <c r="I62" i="9"/>
  <c r="P13" i="9"/>
  <c r="G9" i="9"/>
  <c r="T17" i="9"/>
  <c r="O61" i="9"/>
  <c r="O14" i="9"/>
  <c r="C9" i="9"/>
  <c r="W12" i="9"/>
  <c r="T41" i="9"/>
  <c r="F32" i="9"/>
  <c r="X5" i="9"/>
  <c r="W7" i="9"/>
  <c r="Q6" i="9"/>
  <c r="Z8" i="9"/>
  <c r="D35" i="9"/>
  <c r="M11" i="9"/>
  <c r="U5" i="9"/>
  <c r="J30" i="9"/>
  <c r="K38" i="9"/>
  <c r="K75" i="9"/>
  <c r="E8" i="9"/>
  <c r="M80" i="9"/>
  <c r="I28" i="9"/>
  <c r="D28" i="9"/>
  <c r="L59" i="9"/>
  <c r="N37" i="9"/>
  <c r="E26" i="9"/>
  <c r="L20" i="9"/>
  <c r="J40" i="9"/>
  <c r="M30" i="9"/>
  <c r="D77" i="9"/>
  <c r="O34" i="9"/>
  <c r="S16" i="9"/>
  <c r="C71" i="9"/>
  <c r="M74" i="9"/>
  <c r="M75" i="9"/>
  <c r="K28" i="9"/>
  <c r="S37" i="9"/>
  <c r="C36" i="9"/>
  <c r="H32" i="9"/>
  <c r="G19" i="9"/>
  <c r="C76" i="9"/>
  <c r="C12" i="9"/>
  <c r="N71" i="9"/>
  <c r="B51" i="9"/>
  <c r="F69" i="9"/>
  <c r="R15" i="9"/>
  <c r="D70" i="9"/>
  <c r="N14" i="9"/>
  <c r="I17" i="9"/>
  <c r="P30" i="9"/>
  <c r="P33" i="9"/>
  <c r="L57" i="9"/>
  <c r="F49" i="9"/>
  <c r="G79" i="9"/>
  <c r="Y8" i="9"/>
  <c r="I58" i="9"/>
  <c r="Z36" i="9"/>
  <c r="C41" i="9"/>
  <c r="Y31" i="9"/>
  <c r="B29" i="9"/>
  <c r="G5" i="9"/>
  <c r="U34" i="9"/>
  <c r="R27" i="9"/>
  <c r="H26" i="9"/>
  <c r="H12" i="9"/>
  <c r="C16" i="9"/>
  <c r="P27" i="9"/>
  <c r="Q59" i="9"/>
  <c r="B72" i="9"/>
  <c r="N75" i="9"/>
  <c r="L55" i="9"/>
  <c r="D37" i="9"/>
  <c r="F54" i="9"/>
  <c r="T20" i="9"/>
  <c r="O69" i="9"/>
  <c r="F82" i="9"/>
  <c r="F37" i="9"/>
  <c r="C79" i="9"/>
  <c r="B77" i="9"/>
  <c r="D81" i="9"/>
  <c r="W9" i="9"/>
  <c r="C26" i="9"/>
  <c r="J12" i="9"/>
  <c r="J48" i="9"/>
  <c r="AA37" i="9"/>
  <c r="S27" i="9"/>
  <c r="Q33" i="9"/>
  <c r="Q47" i="9"/>
  <c r="B28" i="9"/>
  <c r="E18" i="9"/>
  <c r="O15" i="9"/>
  <c r="J28" i="9"/>
  <c r="J61" i="9"/>
  <c r="L54" i="9"/>
  <c r="V10" i="9"/>
  <c r="C35" i="9"/>
  <c r="S5" i="9"/>
  <c r="AA15" i="9"/>
  <c r="X17" i="9"/>
  <c r="D80" i="9"/>
  <c r="U36" i="9"/>
  <c r="P69" i="9"/>
  <c r="J19" i="9"/>
  <c r="F40" i="9"/>
  <c r="O49" i="9"/>
  <c r="W13" i="9"/>
  <c r="E11" i="9"/>
  <c r="D52" i="9"/>
  <c r="F62" i="9"/>
  <c r="W37" i="9"/>
  <c r="O27" i="9"/>
  <c r="I70" i="9"/>
  <c r="Y37" i="9"/>
  <c r="F47" i="9"/>
  <c r="G75" i="9"/>
  <c r="O9" i="9"/>
  <c r="E32" i="9"/>
  <c r="P62" i="9"/>
  <c r="N7" i="9"/>
  <c r="D72" i="9"/>
  <c r="U26" i="9"/>
  <c r="N68" i="9"/>
  <c r="R26" i="9"/>
  <c r="J27" i="9"/>
  <c r="M51" i="9"/>
  <c r="Q56" i="9"/>
  <c r="D39" i="9"/>
  <c r="S13" i="9"/>
  <c r="E79" i="9"/>
  <c r="U20" i="9"/>
  <c r="C37" i="9"/>
  <c r="Y41" i="9"/>
  <c r="Z38" i="9"/>
  <c r="D9" i="9"/>
  <c r="I40" i="9"/>
  <c r="G28" i="9"/>
  <c r="K51" i="9"/>
  <c r="O74" i="9"/>
  <c r="J74" i="9"/>
  <c r="I7" i="9"/>
  <c r="D27" i="9"/>
  <c r="V30" i="9"/>
  <c r="G68" i="9"/>
  <c r="O7" i="9"/>
  <c r="M73" i="9"/>
  <c r="E74" i="9"/>
  <c r="B11" i="9"/>
  <c r="M54" i="9"/>
  <c r="L60" i="9"/>
  <c r="H68" i="9"/>
  <c r="Q20" i="9"/>
  <c r="L41" i="9"/>
  <c r="E58" i="9"/>
  <c r="P60" i="9"/>
  <c r="J38" i="9"/>
  <c r="Q76" i="9"/>
  <c r="Y30" i="9"/>
  <c r="C6" i="9"/>
  <c r="P19" i="9"/>
  <c r="AA7" i="9"/>
  <c r="L83" i="9"/>
  <c r="V19" i="9"/>
  <c r="J41" i="9"/>
  <c r="N47" i="9"/>
  <c r="M33" i="9"/>
  <c r="J60" i="9"/>
  <c r="E61" i="9"/>
  <c r="P47" i="9"/>
  <c r="G60" i="9"/>
  <c r="H61" i="9"/>
  <c r="I57" i="9"/>
  <c r="O39" i="9"/>
  <c r="J81" i="9"/>
  <c r="X36" i="9"/>
  <c r="E59" i="9"/>
  <c r="N27" i="9"/>
  <c r="F60" i="9"/>
  <c r="F12" i="9"/>
  <c r="K48" i="9"/>
  <c r="B39" i="9"/>
  <c r="C62" i="9"/>
  <c r="W34" i="9"/>
  <c r="T28" i="9"/>
  <c r="V8" i="9"/>
  <c r="T12" i="9"/>
  <c r="F31" i="9"/>
  <c r="R12" i="9"/>
  <c r="H47" i="9"/>
  <c r="L51" i="9"/>
  <c r="H36" i="9"/>
  <c r="L70" i="9"/>
  <c r="V39" i="9"/>
  <c r="B60" i="9"/>
  <c r="K62" i="9"/>
  <c r="W28" i="9"/>
  <c r="P76" i="9"/>
  <c r="Q7" i="9"/>
  <c r="Z30" i="9"/>
  <c r="E73" i="9"/>
  <c r="W15" i="9"/>
  <c r="P55" i="9"/>
  <c r="N41" i="9"/>
  <c r="G82" i="9"/>
  <c r="F61" i="9"/>
  <c r="F20" i="9"/>
  <c r="B16" i="9"/>
  <c r="E55" i="9"/>
  <c r="Z19" i="9"/>
  <c r="X20" i="9"/>
  <c r="AA10" i="9"/>
  <c r="V34" i="9"/>
  <c r="E38" i="9"/>
  <c r="H77" i="9"/>
  <c r="K13" i="9"/>
  <c r="Z34" i="9"/>
  <c r="J53" i="9"/>
  <c r="X33" i="9"/>
  <c r="C32" i="9"/>
  <c r="M16" i="9"/>
  <c r="J6" i="9"/>
  <c r="D79" i="9"/>
  <c r="L36" i="9"/>
  <c r="E16" i="9"/>
  <c r="F5" i="9"/>
  <c r="M72" i="9"/>
  <c r="K73" i="9"/>
  <c r="G80" i="9"/>
  <c r="N83" i="9"/>
  <c r="Q38" i="9"/>
  <c r="Y13" i="9"/>
  <c r="T15" i="9"/>
  <c r="T27" i="9"/>
  <c r="C48" i="9"/>
  <c r="P52" i="9"/>
  <c r="O81" i="9"/>
  <c r="C52" i="9"/>
  <c r="Q18" i="9"/>
  <c r="E54" i="9"/>
  <c r="P18" i="9"/>
  <c r="R18" i="9"/>
  <c r="X9" i="9"/>
  <c r="C58" i="9"/>
  <c r="X30" i="9"/>
  <c r="G8" i="9"/>
  <c r="D19" i="9"/>
  <c r="T26" i="9"/>
  <c r="F50" i="9"/>
  <c r="B13" i="9"/>
  <c r="P51" i="9"/>
  <c r="Q14" i="9"/>
  <c r="O68" i="9"/>
  <c r="S8" i="9"/>
  <c r="J11" i="9"/>
  <c r="K55" i="9"/>
  <c r="G20" i="9"/>
  <c r="E77" i="9"/>
  <c r="J15" i="9"/>
  <c r="X12" i="9"/>
  <c r="K69" i="9"/>
  <c r="G35" i="9"/>
  <c r="W38" i="9"/>
  <c r="F83" i="9"/>
  <c r="Q75" i="9"/>
  <c r="F34" i="9"/>
  <c r="G48" i="9"/>
  <c r="J69" i="9"/>
  <c r="M9" i="9"/>
  <c r="F33" i="9"/>
  <c r="L34" i="9"/>
  <c r="H13" i="9"/>
  <c r="P48" i="9"/>
  <c r="U41" i="9"/>
  <c r="H9" i="9"/>
  <c r="K5" i="9"/>
  <c r="C27" i="9"/>
  <c r="J58" i="9"/>
  <c r="V37" i="9"/>
  <c r="K59" i="9"/>
  <c r="K74" i="9"/>
  <c r="F36" i="9"/>
  <c r="C73" i="9"/>
  <c r="B27" i="9"/>
  <c r="G74" i="9"/>
  <c r="L76" i="9"/>
  <c r="E39" i="9"/>
  <c r="Z12" i="9"/>
  <c r="R10" i="9"/>
  <c r="F10" i="9"/>
  <c r="M61" i="9"/>
  <c r="Q37" i="9"/>
  <c r="E75" i="9"/>
  <c r="H19" i="9"/>
  <c r="W41" i="9"/>
  <c r="G14" i="9"/>
  <c r="L75" i="9"/>
  <c r="R19" i="9"/>
  <c r="Q79" i="9"/>
  <c r="J36" i="9"/>
  <c r="W36" i="9"/>
  <c r="L81" i="9"/>
  <c r="G39" i="9"/>
  <c r="J73" i="9"/>
  <c r="C28" i="9"/>
  <c r="V26" i="9"/>
  <c r="H79" i="9"/>
  <c r="K78" i="9"/>
  <c r="V41" i="9"/>
  <c r="L62" i="9"/>
  <c r="V36" i="9"/>
  <c r="B48" i="9"/>
  <c r="D56" i="9"/>
  <c r="O58" i="9"/>
  <c r="B18" i="9"/>
  <c r="W11" i="9"/>
  <c r="Q57" i="9"/>
  <c r="M58" i="9"/>
  <c r="P35" i="9"/>
  <c r="E27" i="9"/>
  <c r="U39" i="9"/>
  <c r="I41" i="9"/>
  <c r="T29" i="9"/>
  <c r="Q5" i="9"/>
  <c r="S10" i="9"/>
  <c r="U9" i="9"/>
  <c r="R5" i="9"/>
  <c r="P38" i="9"/>
  <c r="G56" i="9"/>
  <c r="N80" i="9"/>
  <c r="Q12" i="9"/>
  <c r="J82" i="9"/>
  <c r="Q72" i="9"/>
  <c r="K19" i="9"/>
  <c r="D50" i="9"/>
  <c r="L80" i="9"/>
  <c r="Z28" i="9"/>
  <c r="O13" i="9"/>
  <c r="Q31" i="9"/>
  <c r="C17" i="9"/>
  <c r="O70" i="9"/>
  <c r="N29" i="9"/>
  <c r="S32" i="9"/>
  <c r="L17" i="9"/>
  <c r="I27" i="9"/>
  <c r="J20" i="9"/>
  <c r="K52" i="9"/>
  <c r="H81" i="9"/>
  <c r="S20" i="9"/>
  <c r="O56" i="9"/>
  <c r="N10" i="9"/>
  <c r="K29" i="9"/>
  <c r="K30" i="9"/>
  <c r="N9" i="9"/>
  <c r="T35" i="9"/>
  <c r="W20" i="9"/>
  <c r="O10" i="9"/>
  <c r="C51" i="9"/>
  <c r="B70" i="9"/>
  <c r="K40" i="9"/>
  <c r="AA26" i="9"/>
  <c r="E72" i="9"/>
  <c r="Y34" i="9"/>
  <c r="H33" i="9"/>
  <c r="E31" i="9"/>
  <c r="N34" i="9"/>
  <c r="F28" i="9"/>
  <c r="K27" i="9"/>
  <c r="S39" i="9"/>
  <c r="K76" i="9"/>
  <c r="S7" i="9"/>
  <c r="B10" i="9"/>
  <c r="O62" i="9"/>
  <c r="C57" i="9"/>
  <c r="D60" i="9"/>
  <c r="O57" i="9"/>
  <c r="W30" i="9"/>
  <c r="E7" i="9"/>
  <c r="K83" i="9"/>
  <c r="E17" i="9"/>
  <c r="O51" i="9"/>
  <c r="Z41" i="9"/>
  <c r="C59" i="9"/>
  <c r="F15" i="9"/>
  <c r="L38" i="9"/>
  <c r="D47" i="9"/>
  <c r="Q27" i="9"/>
  <c r="I73" i="9"/>
  <c r="Z18" i="9"/>
  <c r="G6" i="9"/>
  <c r="C75" i="9"/>
  <c r="D16" i="9"/>
  <c r="B55" i="9"/>
  <c r="D34" i="9"/>
  <c r="O52" i="9"/>
  <c r="Z27" i="9"/>
  <c r="B59" i="9"/>
  <c r="N11" i="9"/>
  <c r="J34" i="9"/>
  <c r="H30" i="9"/>
  <c r="L18" i="9"/>
  <c r="U16" i="9"/>
  <c r="I52" i="9"/>
  <c r="Q8" i="9"/>
  <c r="E48" i="9"/>
  <c r="H52" i="9"/>
  <c r="N35" i="9"/>
  <c r="S26" i="9"/>
  <c r="K32" i="9"/>
  <c r="D14" i="9"/>
  <c r="G11" i="9"/>
  <c r="B36" i="9"/>
  <c r="S17" i="9"/>
  <c r="L48" i="9"/>
  <c r="T11" i="9"/>
  <c r="G47" i="9"/>
  <c r="C5" i="9"/>
  <c r="R6" i="9"/>
  <c r="F80" i="9"/>
  <c r="E83" i="9"/>
  <c r="D49" i="9"/>
  <c r="M57" i="9"/>
  <c r="I18" i="9"/>
  <c r="M76" i="9"/>
  <c r="Z5" i="9"/>
  <c r="B71" i="9"/>
  <c r="P39" i="9"/>
  <c r="Y14" i="9"/>
  <c r="Q35" i="9"/>
  <c r="O41" i="9"/>
  <c r="E28" i="9"/>
  <c r="B69" i="9"/>
  <c r="N82" i="9"/>
  <c r="P34" i="9"/>
  <c r="M32" i="9"/>
  <c r="M35" i="9"/>
  <c r="U40" i="9"/>
  <c r="O82" i="9"/>
  <c r="W26" i="9"/>
  <c r="Y17" i="9"/>
  <c r="F53" i="9"/>
  <c r="T6" i="9"/>
  <c r="H7" i="9"/>
  <c r="J57" i="9"/>
  <c r="N62" i="9"/>
  <c r="L26" i="9"/>
  <c r="F19" i="9"/>
  <c r="Q74" i="9"/>
  <c r="B6" i="9"/>
  <c r="M5" i="9"/>
  <c r="Q60" i="9"/>
  <c r="Y26" i="9"/>
  <c r="O38" i="9"/>
  <c r="L31" i="9"/>
  <c r="K60" i="9"/>
  <c r="S12" i="9"/>
  <c r="E36" i="9"/>
  <c r="C54" i="9"/>
  <c r="J50" i="9"/>
  <c r="W10" i="9"/>
  <c r="O17" i="9"/>
  <c r="X28" i="9"/>
  <c r="D69" i="9"/>
  <c r="I80" i="9"/>
  <c r="X8" i="9"/>
  <c r="AA34" i="9"/>
  <c r="J9" i="9"/>
  <c r="L19" i="9"/>
  <c r="L27" i="9"/>
  <c r="J54" i="9"/>
  <c r="V32" i="9"/>
  <c r="O75" i="9"/>
  <c r="X13" i="9"/>
  <c r="R39" i="9"/>
  <c r="C20" i="9"/>
  <c r="M26" i="9"/>
  <c r="Q39" i="9"/>
  <c r="J52" i="9"/>
  <c r="L5" i="9"/>
  <c r="I78" i="9"/>
  <c r="K79" i="9"/>
  <c r="H83" i="9"/>
  <c r="Z31" i="9"/>
  <c r="O30" i="9"/>
  <c r="P9" i="9"/>
  <c r="H51" i="9"/>
  <c r="P36" i="9"/>
  <c r="H49" i="9"/>
  <c r="B54" i="9"/>
  <c r="N20" i="9"/>
  <c r="F14" i="9"/>
  <c r="E34" i="9"/>
  <c r="M83" i="9"/>
  <c r="V29" i="9"/>
  <c r="J56" i="9"/>
  <c r="O77" i="9"/>
  <c r="K72" i="9"/>
  <c r="Q19" i="9"/>
  <c r="I82" i="9"/>
  <c r="J35" i="9"/>
  <c r="E19" i="9"/>
  <c r="N8" i="9"/>
  <c r="R16" i="9"/>
  <c r="F17" i="9"/>
  <c r="AA41" i="9"/>
  <c r="G33" i="9"/>
  <c r="M62" i="9"/>
  <c r="S11" i="9"/>
  <c r="M60" i="9"/>
  <c r="G58" i="9"/>
  <c r="H70" i="9"/>
  <c r="J16" i="9"/>
  <c r="N58" i="9"/>
  <c r="G29" i="9"/>
  <c r="Z26" i="9"/>
  <c r="M48" i="9"/>
  <c r="D10" i="9"/>
  <c r="Z16" i="9"/>
  <c r="I54" i="9"/>
  <c r="R7" i="9"/>
  <c r="B68" i="9"/>
  <c r="R9" i="9"/>
  <c r="R32" i="9"/>
  <c r="Z14" i="9"/>
  <c r="R38" i="9"/>
  <c r="J29" i="9"/>
  <c r="R28" i="9"/>
  <c r="M36" i="9"/>
  <c r="M37" i="9"/>
  <c r="P79" i="9"/>
  <c r="D73" i="9"/>
  <c r="N17" i="9"/>
  <c r="E57" i="9"/>
  <c r="O19" i="9"/>
  <c r="J13" i="9"/>
  <c r="B9" i="9"/>
  <c r="K39" i="9"/>
  <c r="B62" i="9"/>
  <c r="E53" i="9"/>
  <c r="AA18" i="9"/>
  <c r="R17" i="9"/>
  <c r="B19" i="9"/>
  <c r="Q17" i="9"/>
  <c r="AA35" i="9"/>
  <c r="G34" i="9"/>
  <c r="H10" i="9"/>
  <c r="W35" i="9"/>
  <c r="Z32" i="9"/>
  <c r="V40" i="9"/>
  <c r="C14" i="9"/>
  <c r="D48" i="9"/>
  <c r="O6" i="9"/>
  <c r="R31" i="9"/>
  <c r="J80" i="9"/>
  <c r="Q53" i="9"/>
  <c r="K33" i="9"/>
  <c r="N51" i="9"/>
  <c r="P57" i="9"/>
  <c r="D74" i="9"/>
  <c r="P50" i="9"/>
  <c r="H18" i="9"/>
  <c r="O11" i="9"/>
  <c r="Z15" i="9"/>
  <c r="T14" i="9"/>
  <c r="R20" i="9"/>
  <c r="M55" i="9"/>
  <c r="O53" i="9"/>
  <c r="I13" i="9"/>
  <c r="N73" i="9"/>
  <c r="J78" i="9"/>
  <c r="N55" i="9"/>
  <c r="X39" i="9"/>
  <c r="E33" i="9"/>
  <c r="E10" i="9"/>
  <c r="D36" i="9"/>
  <c r="N76" i="9"/>
  <c r="X15" i="9"/>
  <c r="O8" i="9"/>
  <c r="F26" i="9"/>
  <c r="O59" i="9"/>
  <c r="C29" i="9"/>
  <c r="V13" i="9"/>
  <c r="M13" i="9"/>
  <c r="N31" i="9"/>
  <c r="G73" i="9"/>
  <c r="J51" i="9"/>
  <c r="Q81" i="9"/>
  <c r="C31" i="9"/>
  <c r="M70" i="9"/>
  <c r="F9" i="9"/>
  <c r="U12" i="9"/>
  <c r="J32" i="9"/>
  <c r="X26" i="9"/>
  <c r="K36" i="9"/>
  <c r="B17" i="9"/>
  <c r="C8" i="9"/>
  <c r="S6" i="9"/>
  <c r="C38" i="9"/>
  <c r="J14" i="9"/>
  <c r="O72" i="9"/>
  <c r="B83" i="9"/>
  <c r="I29" i="9"/>
  <c r="B49" i="9"/>
  <c r="C61" i="9"/>
  <c r="T34" i="9"/>
  <c r="F13" i="9"/>
  <c r="L28" i="9"/>
  <c r="Y29" i="9"/>
  <c r="S33" i="9"/>
  <c r="C55" i="9"/>
  <c r="O76" i="9"/>
  <c r="H60" i="9"/>
  <c r="K9" i="9"/>
  <c r="S15" i="9"/>
  <c r="AA17" i="9"/>
  <c r="L6" i="9"/>
  <c r="R13" i="9"/>
  <c r="X7" i="9"/>
  <c r="Z29" i="9"/>
  <c r="V9" i="9"/>
  <c r="L9" i="9"/>
  <c r="K6" i="9"/>
  <c r="S9" i="9"/>
  <c r="D59" i="9"/>
  <c r="D20" i="9"/>
  <c r="R35" i="9"/>
  <c r="O20" i="9"/>
  <c r="AA32" i="9"/>
  <c r="X19" i="9"/>
  <c r="B8" i="9"/>
  <c r="G70" i="9"/>
  <c r="G69" i="9"/>
  <c r="F11" i="9"/>
  <c r="B34" i="9"/>
  <c r="B30" i="9"/>
  <c r="Z17" i="9"/>
  <c r="AA27" i="9"/>
  <c r="L61" i="9"/>
  <c r="V17" i="9"/>
  <c r="L15" i="9"/>
  <c r="J49" i="9"/>
  <c r="AA14" i="9"/>
  <c r="I60" i="9"/>
  <c r="Y35" i="9"/>
  <c r="R14" i="9"/>
  <c r="P5" i="9"/>
  <c r="U28" i="9"/>
  <c r="I59" i="9"/>
  <c r="O48" i="9"/>
  <c r="F58" i="9"/>
  <c r="B7" i="9"/>
  <c r="H58" i="9"/>
  <c r="E40" i="9"/>
  <c r="D53" i="9"/>
  <c r="M20" i="9"/>
  <c r="F76" i="9"/>
  <c r="F6" i="9"/>
  <c r="G40" i="9"/>
  <c r="L74" i="9"/>
  <c r="T8" i="9"/>
  <c r="B31" i="9"/>
  <c r="I12" i="9"/>
  <c r="C39" i="9"/>
  <c r="E6" i="9"/>
  <c r="D13" i="9"/>
  <c r="N69" i="9"/>
  <c r="AA39" i="9"/>
  <c r="L52" i="9"/>
  <c r="Y12" i="9"/>
  <c r="S18" i="9"/>
  <c r="E12" i="9"/>
  <c r="Z37" i="9"/>
  <c r="J18" i="9"/>
  <c r="I72" i="9"/>
  <c r="O40" i="9"/>
  <c r="X37" i="9"/>
  <c r="Q73" i="9"/>
  <c r="C68" i="9"/>
  <c r="H38" i="9"/>
  <c r="O47" i="9"/>
  <c r="C60" i="9"/>
  <c r="R11" i="9"/>
  <c r="M69" i="9"/>
  <c r="F29" i="9"/>
  <c r="K57" i="9"/>
  <c r="I68" i="9"/>
  <c r="H75" i="9"/>
  <c r="J83" i="9"/>
  <c r="J71" i="9"/>
  <c r="L35" i="9"/>
  <c r="V31" i="9"/>
  <c r="H71" i="9"/>
  <c r="Q61" i="9"/>
  <c r="D71" i="9"/>
  <c r="G31" i="9"/>
  <c r="D76" i="9"/>
  <c r="E69" i="9"/>
  <c r="M79" i="9"/>
  <c r="G77" i="9"/>
  <c r="G18" i="9"/>
  <c r="I39" i="9"/>
  <c r="Y18" i="9"/>
  <c r="L73" i="9"/>
  <c r="K58" i="9"/>
  <c r="E35" i="9"/>
  <c r="E5" i="9"/>
  <c r="H37" i="9"/>
  <c r="O36" i="9"/>
  <c r="P83" i="9"/>
  <c r="N49" i="9"/>
  <c r="Q10" i="9"/>
  <c r="Q68" i="9"/>
  <c r="H34" i="9"/>
  <c r="Y20" i="9"/>
  <c r="I20" i="9"/>
  <c r="K49" i="9"/>
  <c r="O28" i="9"/>
  <c r="S30" i="9"/>
  <c r="F75" i="9"/>
  <c r="Y28" i="9"/>
  <c r="I79" i="9"/>
  <c r="D83" i="9"/>
  <c r="Q78" i="9"/>
  <c r="M39" i="9"/>
  <c r="J37" i="9"/>
  <c r="U17" i="9"/>
  <c r="H20" i="9"/>
  <c r="N32" i="9"/>
  <c r="G72" i="9"/>
  <c r="T19" i="9"/>
  <c r="H39" i="9"/>
  <c r="AA11" i="9"/>
  <c r="B14" i="9"/>
  <c r="O55" i="9"/>
  <c r="P70" i="9"/>
  <c r="G36" i="9"/>
  <c r="I11" i="9"/>
  <c r="M15" i="9"/>
  <c r="W32" i="9"/>
  <c r="H80" i="9"/>
  <c r="X6" i="9"/>
  <c r="C34" i="9"/>
  <c r="N5" i="9"/>
  <c r="O83" i="9"/>
  <c r="J72" i="9"/>
  <c r="B61" i="9"/>
  <c r="B32" i="9"/>
  <c r="N48" i="9"/>
  <c r="P16" i="9"/>
  <c r="F72" i="9"/>
  <c r="F35" i="9"/>
  <c r="H55" i="9"/>
  <c r="Q55" i="9"/>
  <c r="Q51" i="9"/>
  <c r="N40" i="9"/>
  <c r="Q28" i="9"/>
  <c r="Q69" i="9"/>
  <c r="Q32" i="9"/>
  <c r="I30" i="9"/>
  <c r="H14" i="9"/>
  <c r="N60" i="9"/>
  <c r="K82" i="9"/>
  <c r="R8" i="9"/>
  <c r="J59" i="9"/>
  <c r="K7" i="9"/>
  <c r="E37" i="9"/>
  <c r="Y19" i="9"/>
  <c r="Z35" i="9"/>
  <c r="H41" i="9"/>
  <c r="C83" i="9"/>
  <c r="U29" i="9"/>
  <c r="G13" i="9"/>
  <c r="U14" i="9"/>
  <c r="L72" i="9"/>
  <c r="B12" i="9"/>
  <c r="I53" i="9"/>
  <c r="P72" i="9"/>
  <c r="P12" i="9"/>
  <c r="I48" i="9"/>
  <c r="M82" i="9"/>
  <c r="H53" i="9"/>
  <c r="T36" i="9"/>
  <c r="C70" i="9"/>
  <c r="X27" i="9"/>
  <c r="S28" i="9"/>
  <c r="M8" i="9"/>
  <c r="M29" i="9"/>
  <c r="E29" i="9"/>
  <c r="G57" i="9"/>
  <c r="K54" i="9"/>
  <c r="D75" i="9"/>
  <c r="D8" i="9"/>
  <c r="G76" i="9"/>
  <c r="F59" i="9"/>
  <c r="AA33" i="9"/>
  <c r="U6" i="9"/>
  <c r="I81" i="9"/>
  <c r="S36" i="9"/>
  <c r="C7" i="9"/>
  <c r="L77" i="9"/>
  <c r="D32" i="9"/>
  <c r="E49" i="9"/>
  <c r="B73" i="9"/>
  <c r="D41" i="9"/>
  <c r="P74" i="9"/>
  <c r="AA13" i="9"/>
  <c r="I61" i="9"/>
  <c r="K18" i="9"/>
  <c r="V14" i="9"/>
  <c r="H31" i="9"/>
  <c r="Q62" i="9"/>
  <c r="L13" i="9"/>
  <c r="F27" i="9"/>
  <c r="W39" i="9"/>
  <c r="Q9" i="9"/>
  <c r="Y9" i="9"/>
  <c r="Z40" i="9"/>
  <c r="D38" i="9"/>
  <c r="Q16" i="9"/>
  <c r="I74" i="9"/>
  <c r="B15" i="9"/>
  <c r="F52" i="9"/>
  <c r="B41" i="9"/>
  <c r="V20" i="9"/>
  <c r="H59" i="9"/>
  <c r="N81" i="9"/>
  <c r="T9" i="9"/>
  <c r="O78" i="9"/>
  <c r="Z7" i="9"/>
  <c r="E56" i="9"/>
  <c r="I37" i="9"/>
  <c r="Y32" i="9"/>
  <c r="L14" i="9"/>
  <c r="Q26" i="9"/>
  <c r="P58" i="9"/>
  <c r="U10" i="9"/>
  <c r="I9" i="9"/>
  <c r="F41" i="9"/>
  <c r="B82" i="9"/>
  <c r="Y36" i="9"/>
  <c r="V28" i="9"/>
  <c r="AA8" i="9"/>
  <c r="I15" i="9"/>
  <c r="W5" i="9"/>
  <c r="X10" i="9"/>
  <c r="O73" i="9"/>
  <c r="U8" i="9"/>
  <c r="Z13" i="9"/>
  <c r="G50" i="9"/>
  <c r="J68" i="9"/>
  <c r="O33" i="9"/>
  <c r="AA5" i="9"/>
  <c r="N53" i="9"/>
  <c r="Q15" i="9"/>
  <c r="D30" i="9"/>
  <c r="S41" i="9"/>
  <c r="D78" i="9"/>
  <c r="N57" i="9"/>
  <c r="E50" i="9"/>
  <c r="W6" i="9"/>
  <c r="Q77" i="9"/>
  <c r="I14" i="9"/>
  <c r="B81" i="9"/>
  <c r="M19" i="9"/>
  <c r="M12" i="9"/>
  <c r="D33" i="9"/>
  <c r="P71" i="9"/>
  <c r="B76" i="9"/>
  <c r="I34" i="9"/>
  <c r="U37" i="9"/>
  <c r="G41" i="9"/>
  <c r="O80" i="9"/>
  <c r="C74" i="9"/>
  <c r="T31" i="9"/>
  <c r="I75" i="9"/>
  <c r="U33" i="9"/>
  <c r="AA36" i="9"/>
  <c r="H35" i="9"/>
  <c r="B40" i="9"/>
  <c r="Y16" i="9"/>
  <c r="J55" i="9"/>
  <c r="K20" i="9"/>
  <c r="B20" i="9"/>
  <c r="N50" i="9"/>
  <c r="L33" i="9"/>
  <c r="I49" i="9"/>
  <c r="L47" i="9"/>
  <c r="H76" i="9"/>
  <c r="Q83" i="9"/>
  <c r="P78" i="9"/>
  <c r="P80" i="9"/>
  <c r="X34" i="9"/>
  <c r="R41" i="9"/>
  <c r="B57" i="9"/>
  <c r="X40" i="9"/>
  <c r="F51" i="9"/>
  <c r="P40" i="9"/>
  <c r="M31" i="9"/>
  <c r="Y33" i="9"/>
  <c r="M49" i="9"/>
  <c r="N72" i="9"/>
  <c r="O16" i="9"/>
  <c r="U15" i="9"/>
  <c r="X38" i="9"/>
  <c r="Q80" i="9"/>
  <c r="L11" i="9"/>
  <c r="K17" i="9"/>
  <c r="V27" i="9"/>
  <c r="K71" i="9"/>
  <c r="H74" i="9"/>
  <c r="I36" i="9"/>
  <c r="U31" i="9"/>
  <c r="AA30" i="9"/>
  <c r="C69" i="9"/>
  <c r="L37" i="9"/>
  <c r="G27" i="9"/>
  <c r="P49" i="9"/>
  <c r="F71" i="9"/>
  <c r="X35" i="9"/>
  <c r="J31" i="9"/>
  <c r="I5" i="9"/>
  <c r="I76" i="9"/>
  <c r="K50" i="9"/>
  <c r="B35" i="9"/>
  <c r="H54" i="9"/>
  <c r="X41" i="9"/>
  <c r="D31" i="9"/>
  <c r="G71" i="9"/>
  <c r="O71" i="9"/>
  <c r="E68" i="9"/>
  <c r="M18" i="9"/>
  <c r="S19" i="9"/>
  <c r="P75" i="9"/>
  <c r="C13" i="9"/>
  <c r="Q49" i="9"/>
  <c r="G7" i="9"/>
  <c r="F55" i="9"/>
  <c r="O79" i="9"/>
  <c r="I32" i="9"/>
  <c r="H17" i="9"/>
  <c r="B79" i="9"/>
  <c r="C78" i="9"/>
  <c r="L68" i="9"/>
  <c r="I26" i="9"/>
  <c r="N54" i="9"/>
  <c r="L49" i="9"/>
  <c r="G53" i="9"/>
  <c r="P6" i="9"/>
  <c r="D18" i="9"/>
  <c r="U30" i="9"/>
  <c r="N38" i="9"/>
  <c r="T30" i="9"/>
  <c r="T10" i="9"/>
  <c r="L56" i="9"/>
  <c r="E62" i="9"/>
  <c r="P53" i="9"/>
  <c r="B50" i="9"/>
  <c r="X29" i="9"/>
  <c r="W18" i="9"/>
  <c r="P17" i="9"/>
  <c r="F18" i="9"/>
  <c r="P8" i="9"/>
  <c r="X14" i="9"/>
  <c r="Q50" i="9"/>
  <c r="D15" i="9"/>
  <c r="G78" i="9"/>
  <c r="K53" i="9"/>
  <c r="D7" i="9"/>
  <c r="K41" i="9"/>
  <c r="G30" i="9"/>
  <c r="N12" i="9"/>
  <c r="W8" i="9"/>
  <c r="H8" i="9"/>
  <c r="V6" i="9"/>
  <c r="X11" i="9"/>
  <c r="G81" i="9"/>
  <c r="N30" i="9"/>
  <c r="I10" i="9"/>
  <c r="Q36" i="9"/>
  <c r="P54" i="9"/>
  <c r="E13" i="9"/>
  <c r="I38" i="9"/>
  <c r="O12" i="9"/>
  <c r="H27" i="9"/>
  <c r="O5" i="9"/>
  <c r="S35" i="9"/>
  <c r="L7" i="9"/>
  <c r="B78" i="9"/>
  <c r="P81" i="9"/>
  <c r="N28" i="9"/>
  <c r="E80" i="9"/>
  <c r="E14" i="9"/>
  <c r="S34" i="9"/>
  <c r="N78" i="9"/>
  <c r="M10" i="9"/>
  <c r="N61" i="9"/>
  <c r="D82" i="9"/>
  <c r="S31" i="9"/>
  <c r="Q40" i="9"/>
  <c r="M7" i="9"/>
  <c r="J26" i="9"/>
  <c r="R37" i="9"/>
  <c r="J47" i="9"/>
  <c r="X18" i="9"/>
  <c r="H57" i="9"/>
  <c r="T13" i="9"/>
  <c r="H72" i="9"/>
  <c r="K47" i="9"/>
  <c r="B33" i="9"/>
  <c r="D62" i="9"/>
  <c r="G62" i="9"/>
  <c r="M71" i="9"/>
  <c r="J77" i="9"/>
  <c r="I35" i="9"/>
  <c r="K56" i="9"/>
  <c r="Q30" i="9"/>
  <c r="V11" i="9"/>
  <c r="Z10" i="9"/>
  <c r="G52" i="9"/>
  <c r="C80" i="9"/>
  <c r="Z9" i="9"/>
  <c r="I47" i="9"/>
  <c r="C40" i="9"/>
  <c r="K34" i="9"/>
  <c r="C47" i="9"/>
  <c r="Q70" i="9"/>
  <c r="L82" i="9"/>
  <c r="S14" i="9"/>
  <c r="M40" i="9"/>
  <c r="Q34" i="9"/>
  <c r="H6" i="9"/>
  <c r="F77" i="9"/>
  <c r="Q54" i="9"/>
  <c r="C11" i="9"/>
  <c r="L8" i="9"/>
  <c r="K68" i="9"/>
  <c r="V18" i="9"/>
  <c r="M50" i="9"/>
  <c r="U35" i="9"/>
  <c r="L71" i="9"/>
  <c r="M59" i="9"/>
  <c r="E15" i="9"/>
  <c r="Q13" i="9"/>
  <c r="Y40" i="9"/>
  <c r="Y27" i="9"/>
  <c r="E82" i="9"/>
  <c r="C56" i="9"/>
  <c r="AA12" i="9"/>
  <c r="N6" i="9"/>
  <c r="F79" i="9"/>
  <c r="P73" i="9"/>
  <c r="I31" i="9"/>
  <c r="P56" i="9"/>
  <c r="J39" i="9"/>
  <c r="AA9" i="9"/>
  <c r="C50" i="9"/>
  <c r="D26" i="9"/>
  <c r="E20" i="9"/>
  <c r="D61" i="9"/>
  <c r="V12" i="9"/>
  <c r="AA19" i="9"/>
  <c r="G32" i="9"/>
  <c r="P20" i="9"/>
  <c r="S29" i="9"/>
  <c r="N19" i="9"/>
  <c r="P7" i="9"/>
  <c r="L12" i="9"/>
  <c r="M53" i="9"/>
  <c r="Q52" i="9"/>
  <c r="AA16" i="9"/>
  <c r="Q11" i="9"/>
  <c r="L78" i="9"/>
  <c r="R40" i="9"/>
  <c r="I16" i="9"/>
  <c r="K77" i="9"/>
  <c r="F30" i="9"/>
  <c r="I51" i="9"/>
  <c r="AA40" i="9"/>
  <c r="F57" i="9"/>
  <c r="N59" i="9"/>
  <c r="F56" i="9"/>
  <c r="F48" i="9"/>
  <c r="R33" i="9"/>
  <c r="C33" i="9"/>
  <c r="Z39" i="9"/>
  <c r="N52" i="9"/>
  <c r="O54" i="9"/>
  <c r="I69" i="9"/>
  <c r="N18" i="9"/>
  <c r="T18" i="9"/>
  <c r="W17" i="9"/>
  <c r="O50" i="9"/>
  <c r="F7" i="9"/>
  <c r="B74" i="9"/>
  <c r="G37" i="9"/>
  <c r="J7" i="9"/>
  <c r="U18" i="9"/>
  <c r="G12" i="9"/>
  <c r="C19" i="9"/>
  <c r="D68" i="9"/>
  <c r="Y7" i="9"/>
  <c r="Y38" i="9"/>
  <c r="T32" i="9"/>
  <c r="C82" i="9"/>
  <c r="Q82" i="9"/>
  <c r="N56" i="9"/>
  <c r="B37" i="9"/>
  <c r="Y5" i="9"/>
  <c r="H82" i="9"/>
  <c r="P26" i="9"/>
  <c r="H28" i="9"/>
  <c r="B5" i="9"/>
  <c r="Q48" i="9"/>
  <c r="T39" i="9"/>
  <c r="V16" i="9"/>
  <c r="U32" i="9"/>
  <c r="E76" i="9"/>
  <c r="W31" i="9"/>
  <c r="D51" i="9"/>
  <c r="E47" i="9"/>
  <c r="H62" i="9"/>
  <c r="P15" i="9"/>
  <c r="M27" i="9"/>
  <c r="W14" i="9"/>
  <c r="H78" i="9"/>
  <c r="X31" i="9"/>
  <c r="V15" i="9"/>
  <c r="W27" i="9"/>
  <c r="P32" i="9"/>
  <c r="R36" i="9"/>
  <c r="N33" i="9"/>
  <c r="F39" i="9"/>
  <c r="J10" i="9"/>
  <c r="O37" i="9"/>
  <c r="P28" i="9"/>
  <c r="K15" i="9"/>
  <c r="Q29" i="9"/>
  <c r="D5" i="9"/>
  <c r="E71" i="9"/>
  <c r="I19" i="9"/>
  <c r="F81" i="9"/>
  <c r="J75" i="9"/>
  <c r="D17" i="9"/>
  <c r="M34" i="9"/>
  <c r="O60" i="9"/>
  <c r="K10" i="9"/>
  <c r="N15" i="9"/>
  <c r="K11" i="9"/>
  <c r="X32" i="9"/>
  <c r="I8" i="9"/>
  <c r="F70" i="9"/>
</calcChain>
</file>

<file path=xl/comments1.xml><?xml version="1.0" encoding="utf-8"?>
<comments xmlns="http://schemas.openxmlformats.org/spreadsheetml/2006/main">
  <authors>
    <author>jmarks</author>
  </authors>
  <commentList>
    <comment ref="A1" authorId="0">
      <text>
        <r>
          <rPr>
            <b/>
            <sz val="10"/>
            <color indexed="81"/>
            <rFont val="Tahoma"/>
            <family val="2"/>
          </rPr>
          <t>jmarks:</t>
        </r>
        <r>
          <rPr>
            <sz val="10"/>
            <color indexed="81"/>
            <rFont val="Tahoma"/>
            <family val="2"/>
          </rPr>
          <t xml:space="preserve">
This set of prior year tables are calculated based on institutional classification as of the current year.</t>
        </r>
      </text>
    </comment>
  </commentList>
</comments>
</file>

<file path=xl/comments2.xml><?xml version="1.0" encoding="utf-8"?>
<comments xmlns="http://schemas.openxmlformats.org/spreadsheetml/2006/main">
  <authors>
    <author>jmarks</author>
  </authors>
  <commentList>
    <comment ref="A28" authorId="0">
      <text>
        <r>
          <rPr>
            <b/>
            <sz val="9"/>
            <color indexed="81"/>
            <rFont val="Tahoma"/>
            <family val="2"/>
          </rPr>
          <t>jmarks:</t>
        </r>
        <r>
          <rPr>
            <sz val="9"/>
            <color indexed="81"/>
            <rFont val="Tahoma"/>
            <family val="2"/>
          </rPr>
          <t xml:space="preserve">
Note will need to be revised as there are more "15s" now.</t>
        </r>
      </text>
    </comment>
    <comment ref="I28" authorId="0">
      <text>
        <r>
          <rPr>
            <b/>
            <sz val="9"/>
            <color indexed="81"/>
            <rFont val="Tahoma"/>
            <family val="2"/>
          </rPr>
          <t>jmarks:</t>
        </r>
        <r>
          <rPr>
            <sz val="9"/>
            <color indexed="81"/>
            <rFont val="Tahoma"/>
            <family val="2"/>
          </rPr>
          <t xml:space="preserve">
Note will need to be revised as there are more "15s" now.</t>
        </r>
      </text>
    </comment>
  </commentList>
</comments>
</file>

<file path=xl/comments3.xml><?xml version="1.0" encoding="utf-8"?>
<comments xmlns="http://schemas.openxmlformats.org/spreadsheetml/2006/main">
  <authors>
    <author>jmarks</author>
  </authors>
  <commentList>
    <comment ref="A1" authorId="0">
      <text>
        <r>
          <rPr>
            <b/>
            <sz val="10"/>
            <color indexed="81"/>
            <rFont val="Tahoma"/>
            <family val="2"/>
          </rPr>
          <t>jmarks:</t>
        </r>
        <r>
          <rPr>
            <sz val="10"/>
            <color indexed="81"/>
            <rFont val="Tahoma"/>
            <family val="2"/>
          </rPr>
          <t xml:space="preserve">
This set of prior year tables are calculated based on institutional classification as of the current year.</t>
        </r>
      </text>
    </comment>
    <comment ref="A28" authorId="0">
      <text>
        <r>
          <rPr>
            <b/>
            <sz val="9"/>
            <color indexed="81"/>
            <rFont val="Tahoma"/>
            <family val="2"/>
          </rPr>
          <t>jmarks:</t>
        </r>
        <r>
          <rPr>
            <sz val="9"/>
            <color indexed="81"/>
            <rFont val="Tahoma"/>
            <family val="2"/>
          </rPr>
          <t xml:space="preserve">
Note will need to be revised as there are more "15s" now.</t>
        </r>
      </text>
    </comment>
    <comment ref="I28" authorId="0">
      <text>
        <r>
          <rPr>
            <b/>
            <sz val="9"/>
            <color indexed="81"/>
            <rFont val="Tahoma"/>
            <family val="2"/>
          </rPr>
          <t>jmarks:</t>
        </r>
        <r>
          <rPr>
            <sz val="9"/>
            <color indexed="81"/>
            <rFont val="Tahoma"/>
            <family val="2"/>
          </rPr>
          <t xml:space="preserve">
Note will need to be revised as there are more "15s" now.</t>
        </r>
      </text>
    </comment>
  </commentList>
</comments>
</file>

<file path=xl/comments4.xml><?xml version="1.0" encoding="utf-8"?>
<comments xmlns="http://schemas.openxmlformats.org/spreadsheetml/2006/main">
  <authors>
    <author>mloverde</author>
    <author>JLM</author>
    <author>Lee, Cynthia M.</author>
    <author>mevilsiz</author>
    <author>jmarks</author>
    <author>adiaz</author>
  </authors>
  <commentList>
    <comment ref="F2" authorId="0">
      <text>
        <r>
          <rPr>
            <b/>
            <sz val="11"/>
            <color indexed="81"/>
            <rFont val="Tahoma"/>
            <family val="2"/>
          </rPr>
          <t>Five specialized schools ("15's") with significant e-learning offerings are included in this survey section: 
Southern Polytechnic State University, 
University of Maryland University College, 
North Carolina School of the Arts, 
Virginia Military Institute, and the 
West Virginia School of Osteopathic Medicine.
Other 15s should not be included without checking with Joe.</t>
        </r>
      </text>
    </comment>
    <comment ref="A85" authorId="1">
      <text>
        <r>
          <rPr>
            <b/>
            <sz val="10"/>
            <color indexed="81"/>
            <rFont val="Tahoma"/>
            <family val="2"/>
          </rPr>
          <t>JLM:</t>
        </r>
        <r>
          <rPr>
            <sz val="10"/>
            <color indexed="81"/>
            <rFont val="Tahoma"/>
            <family val="2"/>
          </rPr>
          <t xml:space="preserve">
Use 75% rule for e-learning.</t>
        </r>
      </text>
    </comment>
    <comment ref="B166" authorId="2">
      <text>
        <r>
          <rPr>
            <b/>
            <sz val="8"/>
            <color indexed="81"/>
            <rFont val="Tahoma"/>
            <family val="2"/>
          </rPr>
          <t>Lee, Cynthia M.:</t>
        </r>
        <r>
          <rPr>
            <sz val="8"/>
            <color indexed="81"/>
            <rFont val="Tahoma"/>
            <family val="2"/>
          </rPr>
          <t xml:space="preserve">
DeKalb was renamed to Georgia Piedmont as of 10/1/11</t>
        </r>
      </text>
    </comment>
    <comment ref="B207" authorId="3">
      <text>
        <r>
          <rPr>
            <b/>
            <sz val="8"/>
            <color indexed="81"/>
            <rFont val="Tahoma"/>
            <family val="2"/>
          </rPr>
          <t>mevilsiz:</t>
        </r>
        <r>
          <rPr>
            <sz val="8"/>
            <color indexed="81"/>
            <rFont val="Tahoma"/>
            <family val="2"/>
          </rPr>
          <t xml:space="preserve">
Formerly Bowling Green Technical College</t>
        </r>
      </text>
    </comment>
    <comment ref="A276" authorId="4">
      <text>
        <r>
          <rPr>
            <b/>
            <sz val="10"/>
            <color indexed="81"/>
            <rFont val="Tahoma"/>
            <family val="2"/>
          </rPr>
          <t xml:space="preserve">jmarks: </t>
        </r>
        <r>
          <rPr>
            <sz val="10"/>
            <color indexed="81"/>
            <rFont val="Tahoma"/>
            <family val="2"/>
          </rPr>
          <t>General note for all NC CCs: Beginning with the 2010-11 classfication new formulae were used to more accurately account for courses using contact hours rather than credit hours. The overall effect is to lower the calculated credit hour count and thus the FTE counts. This is, in effect, a recalibration and a number of instutitons have been reclassified as a result.</t>
        </r>
      </text>
    </comment>
    <comment ref="X593" authorId="5">
      <text>
        <r>
          <rPr>
            <b/>
            <sz val="8"/>
            <color indexed="81"/>
            <rFont val="Tahoma"/>
            <family val="2"/>
          </rPr>
          <t>West Liberty
The increase in graduate activity, in general, is due to West Liberty offering a graduate program of their own, as opposed to grad programs they have offered collaboratively with other of our institutions.  As far as why their grad student activity seems to be all off-campus, they made use of a new off-campus facility for students in this program.
Jeannie:  I think this is a left over comment from before 2009-10.</t>
        </r>
      </text>
    </comment>
    <comment ref="H598" authorId="5">
      <text>
        <r>
          <rPr>
            <b/>
            <sz val="8"/>
            <color indexed="81"/>
            <rFont val="Tahoma"/>
            <family val="2"/>
          </rPr>
          <t>New River
New River was once a community college component (CCC) of Bluefield State College.  Back in those days, the classes offered at this CCC were considered off-campus to Bluefield.  When New River became its own community and technical college, the coding was not switched over which is why last year, it appeared as if they had barely any on-campus activity.  This year’s “increase” is due to correcting that coding.
Jeannie:  I think this comment is a left over from before 2009-10.</t>
        </r>
      </text>
    </comment>
  </commentList>
</comments>
</file>

<file path=xl/connections.xml><?xml version="1.0" encoding="utf-8"?>
<connections xmlns="http://schemas.openxmlformats.org/spreadsheetml/2006/main">
  <connection id="1" name="Type10ug5" type="6" refreshedVersion="3" background="1" saveData="1">
    <textPr codePage="437" sourceFile="\\THECB-AUVFS41\UserDoc$\MeadDD\My Documents\My SAS Files\SREB\QWK03864\Page5\Type10ug5.txt">
      <textFields>
        <textField/>
      </textFields>
    </textPr>
  </connection>
  <connection id="2" name="Type11gr1" type="6" refreshedVersion="4" background="1" saveData="1">
    <textPr codePage="437" sourceFile="\\THECB-AUVFS41\UserDoc$\MeadDD\My Documents\My SAS Files\SREB\QWK04245\Page5\Type11gr1.txt">
      <textFields>
        <textField/>
      </textFields>
    </textPr>
  </connection>
  <connection id="3" name="Type11gr2" type="6" refreshedVersion="4" background="1" saveData="1">
    <textPr codePage="437" sourceFile="\\THECB-AUVFS41\UserDoc$\MeadDD\My Documents\My SAS Files\SREB\QWK04245\Page5\Type11gr2.txt">
      <textFields>
        <textField/>
      </textFields>
    </textPr>
  </connection>
  <connection id="4" name="Type11gr3" type="6" refreshedVersion="4" background="1" saveData="1">
    <textPr codePage="437" sourceFile="\\THECB-AUVFS41\UserDoc$\MeadDD\My Documents\My SAS Files\SREB\QWK04245\Page5\Type11gr3.txt">
      <textFields>
        <textField/>
      </textFields>
    </textPr>
  </connection>
  <connection id="5" name="Type11gr4" type="6" refreshedVersion="4" background="1" saveData="1">
    <textPr codePage="437" sourceFile="\\THECB-AUVFS41\UserDoc$\MeadDD\My Documents\My SAS Files\SREB\QWK04245\Page5\Type11gr4.txt">
      <textFields>
        <textField/>
      </textFields>
    </textPr>
  </connection>
  <connection id="6" name="Type11gr5" type="6" refreshedVersion="4" background="1" saveData="1">
    <textPr codePage="437" sourceFile="\\THECB-AUVFS41\UserDoc$\MeadDD\My Documents\My SAS Files\SREB\QWK04245\Page5\Type11gr5.txt">
      <textFields>
        <textField/>
      </textFields>
    </textPr>
  </connection>
  <connection id="7" name="Type11ug1" type="6" refreshedVersion="4" background="1" saveData="1">
    <textPr codePage="437" sourceFile="\\THECB-AUVFS41\UserDoc$\MeadDD\My Documents\My SAS Files\SREB\QWK04245\Page5\Type11ug1.txt">
      <textFields>
        <textField/>
      </textFields>
    </textPr>
  </connection>
  <connection id="8" name="Type11ug2" type="6" refreshedVersion="4" background="1" saveData="1">
    <textPr codePage="437" sourceFile="\\THECB-AUVFS41\UserDoc$\MeadDD\My Documents\My SAS Files\SREB\QWK04245\Page5\Type11ug2.txt">
      <textFields>
        <textField/>
      </textFields>
    </textPr>
  </connection>
  <connection id="9" name="Type11ug3" type="6" refreshedVersion="4" background="1" saveData="1">
    <textPr codePage="437" sourceFile="\\THECB-AUVFS41\UserDoc$\MeadDD\My Documents\My SAS Files\SREB\QWK04245\Page5\Type11ug3.txt">
      <textFields>
        <textField/>
      </textFields>
    </textPr>
  </connection>
  <connection id="10" name="Type11ug4" type="6" refreshedVersion="4" background="1" saveData="1">
    <textPr codePage="437" sourceFile="\\THECB-AUVFS41\UserDoc$\MeadDD\My Documents\My SAS Files\SREB\QWK04245\Page5\Type11ug4.txt">
      <textFields>
        <textField/>
      </textFields>
    </textPr>
  </connection>
  <connection id="11" name="Type11ug5" type="6" refreshedVersion="4" background="1" saveData="1">
    <textPr codePage="437" sourceFile="\\THECB-AUVFS41\UserDoc$\MeadDD\My Documents\My SAS Files\SREB\QWK04245\Page5\Type11ug5.txt">
      <textFields>
        <textField/>
      </textFields>
    </textPr>
  </connection>
</connections>
</file>

<file path=xl/sharedStrings.xml><?xml version="1.0" encoding="utf-8"?>
<sst xmlns="http://schemas.openxmlformats.org/spreadsheetml/2006/main" count="3933" uniqueCount="929">
  <si>
    <t>Undergraduate Credit Hours</t>
  </si>
  <si>
    <t>Graduate Credit Hours</t>
  </si>
  <si>
    <t>Calculated</t>
  </si>
  <si>
    <t>e-Learning (more than 50% of course content is electronically delivered)</t>
  </si>
  <si>
    <t>State</t>
  </si>
  <si>
    <t>Institution</t>
  </si>
  <si>
    <t>Category</t>
  </si>
  <si>
    <t>Web</t>
  </si>
  <si>
    <t>ID</t>
  </si>
  <si>
    <t>type</t>
  </si>
  <si>
    <t>OLD-Tot UG SCH Calc</t>
  </si>
  <si>
    <t>NEW-Tot UG SCH Calc</t>
  </si>
  <si>
    <t>Old-UG OnC Trad</t>
  </si>
  <si>
    <t>New-UG OnC Trad</t>
  </si>
  <si>
    <t>Old-UG OffC Trad</t>
  </si>
  <si>
    <t>New-UG OffC Trad</t>
  </si>
  <si>
    <t>Old-UG EL Web</t>
  </si>
  <si>
    <t>Old-UG EL CV</t>
  </si>
  <si>
    <t>Old-UG EL O</t>
  </si>
  <si>
    <t>New-UG EL Web</t>
  </si>
  <si>
    <t>New-UG EL CV</t>
  </si>
  <si>
    <t>New-UG EL O</t>
  </si>
  <si>
    <t>Old-UG Cor</t>
  </si>
  <si>
    <t>New-UG Cor</t>
  </si>
  <si>
    <t>Old-Tot G SCH Calc</t>
  </si>
  <si>
    <t>New-Tot G SCH Calc</t>
  </si>
  <si>
    <t>Old-G OnC Trad</t>
  </si>
  <si>
    <t>New-G OnC Trad</t>
  </si>
  <si>
    <t>Old-G OffC Trad</t>
  </si>
  <si>
    <t>New-G OffC Trad</t>
  </si>
  <si>
    <t>Old-G EL Web</t>
  </si>
  <si>
    <t>Old-G EL CV</t>
  </si>
  <si>
    <t>Old-G EL O</t>
  </si>
  <si>
    <t>New-G EL Web</t>
  </si>
  <si>
    <t>New-G EL CV</t>
  </si>
  <si>
    <t>New-G EL O</t>
  </si>
  <si>
    <t>Old-G Cor</t>
  </si>
  <si>
    <t>New-G Cor</t>
  </si>
  <si>
    <t>AL</t>
  </si>
  <si>
    <t xml:space="preserve"> </t>
  </si>
  <si>
    <t>AR</t>
  </si>
  <si>
    <t>DE</t>
  </si>
  <si>
    <t>FL</t>
  </si>
  <si>
    <t>GA</t>
  </si>
  <si>
    <t>KY</t>
  </si>
  <si>
    <t>LA</t>
  </si>
  <si>
    <t>MD</t>
  </si>
  <si>
    <t>MS</t>
  </si>
  <si>
    <t>NC</t>
  </si>
  <si>
    <t>OK</t>
  </si>
  <si>
    <t>SC</t>
  </si>
  <si>
    <t>TN</t>
  </si>
  <si>
    <t>TX</t>
  </si>
  <si>
    <t>VA</t>
  </si>
  <si>
    <t>WV</t>
  </si>
  <si>
    <t>Four-Year</t>
  </si>
  <si>
    <t>Two-Year</t>
  </si>
  <si>
    <t>Technical</t>
  </si>
  <si>
    <t>Data</t>
  </si>
  <si>
    <t xml:space="preserve"> Old %UG OnC Trad</t>
  </si>
  <si>
    <t xml:space="preserve"> New %UG OnC Trad</t>
  </si>
  <si>
    <t xml:space="preserve"> Old %UG OffC Trad</t>
  </si>
  <si>
    <t xml:space="preserve"> New %UG OffC Trad</t>
  </si>
  <si>
    <t xml:space="preserve"> Change %UG OffC Trad</t>
  </si>
  <si>
    <t xml:space="preserve"> Old %UG EL Web</t>
  </si>
  <si>
    <t xml:space="preserve"> New %UG EL Web</t>
  </si>
  <si>
    <t xml:space="preserve"> Change %UG EL Web</t>
  </si>
  <si>
    <t xml:space="preserve"> Old %UG EL CV</t>
  </si>
  <si>
    <t xml:space="preserve"> New %UG EL CV</t>
  </si>
  <si>
    <t xml:space="preserve"> Change %UG EL CV</t>
  </si>
  <si>
    <t xml:space="preserve"> Old %UG EL O</t>
  </si>
  <si>
    <t xml:space="preserve"> New %UG EL O</t>
  </si>
  <si>
    <t xml:space="preserve"> Change %UG EL O</t>
  </si>
  <si>
    <t xml:space="preserve"> Old %UG Cor</t>
  </si>
  <si>
    <t xml:space="preserve"> New %UG Cor</t>
  </si>
  <si>
    <t xml:space="preserve"> Change %UG Cor</t>
  </si>
  <si>
    <t xml:space="preserve"> Old %G OnC Trad</t>
  </si>
  <si>
    <t xml:space="preserve"> New %G OnC Trad</t>
  </si>
  <si>
    <t xml:space="preserve"> Change %G OnC Trad</t>
  </si>
  <si>
    <t xml:space="preserve"> Old %G OffC Trad</t>
  </si>
  <si>
    <t xml:space="preserve"> New %G OffC Trad</t>
  </si>
  <si>
    <t xml:space="preserve"> Change %G OffC Trad</t>
  </si>
  <si>
    <t xml:space="preserve"> Old %G EL Web</t>
  </si>
  <si>
    <t xml:space="preserve"> New %G EL Web</t>
  </si>
  <si>
    <t xml:space="preserve"> Change %G EL Web</t>
  </si>
  <si>
    <t xml:space="preserve"> Old %G EL CV</t>
  </si>
  <si>
    <t xml:space="preserve"> New %G EL CV</t>
  </si>
  <si>
    <t xml:space="preserve"> Change %G EL CV</t>
  </si>
  <si>
    <t xml:space="preserve"> Old %G EL O</t>
  </si>
  <si>
    <t xml:space="preserve"> New %G EL O</t>
  </si>
  <si>
    <t xml:space="preserve"> Change %G EL O</t>
  </si>
  <si>
    <t xml:space="preserve"> Old %G Cor</t>
  </si>
  <si>
    <t xml:space="preserve"> New %G Cor</t>
  </si>
  <si>
    <t xml:space="preserve"> Change %G Cor</t>
  </si>
  <si>
    <t>Total  Old %UG OnC Trad</t>
  </si>
  <si>
    <t>Total  New %UG OnC Trad</t>
  </si>
  <si>
    <t>Total  Old %UG OffC Trad</t>
  </si>
  <si>
    <t>Total  New %UG OffC Trad</t>
  </si>
  <si>
    <t>Total  Change %UG OffC Trad</t>
  </si>
  <si>
    <t>Total  Old %UG EL Web</t>
  </si>
  <si>
    <t>Total  New %UG EL Web</t>
  </si>
  <si>
    <t>Total  Change %UG EL Web</t>
  </si>
  <si>
    <t>Total  Old %UG EL CV</t>
  </si>
  <si>
    <t>Total  New %UG EL CV</t>
  </si>
  <si>
    <t>Total  Change %UG EL CV</t>
  </si>
  <si>
    <t>Total  Old %UG EL O</t>
  </si>
  <si>
    <t>Total  New %UG EL O</t>
  </si>
  <si>
    <t>Total  Change %UG EL O</t>
  </si>
  <si>
    <t>Total  Old %UG Cor</t>
  </si>
  <si>
    <t>Total  New %UG Cor</t>
  </si>
  <si>
    <t>Total  Change %UG Cor</t>
  </si>
  <si>
    <t>Total  Old %G OnC Trad</t>
  </si>
  <si>
    <t>Total  New %G OnC Trad</t>
  </si>
  <si>
    <t>Total  Change %G OnC Trad</t>
  </si>
  <si>
    <t>Total  Old %G OffC Trad</t>
  </si>
  <si>
    <t>Total  New %G OffC Trad</t>
  </si>
  <si>
    <t>Total  Change %G OffC Trad</t>
  </si>
  <si>
    <t>Total  Old %G EL Web</t>
  </si>
  <si>
    <t>Total  New %G EL Web</t>
  </si>
  <si>
    <t>Total  Change %G EL Web</t>
  </si>
  <si>
    <t>Total  Old %G EL CV</t>
  </si>
  <si>
    <t>Total  New %G EL CV</t>
  </si>
  <si>
    <t>Total  Change %G EL CV</t>
  </si>
  <si>
    <t>Total  Old %G EL O</t>
  </si>
  <si>
    <t>Total  New %G EL O</t>
  </si>
  <si>
    <t>Total  Change %G EL O</t>
  </si>
  <si>
    <t>Total  Old %G Cor</t>
  </si>
  <si>
    <t>Total  New %G Cor</t>
  </si>
  <si>
    <t>Total  Change %G Cor</t>
  </si>
  <si>
    <t>NOT a Review Table</t>
  </si>
  <si>
    <t>Sum of OLD-Tot UG SCH Calc</t>
  </si>
  <si>
    <t>Sum of Old UG E-Learning</t>
  </si>
  <si>
    <t>Sum of Old-Tot G SCH Calc</t>
  </si>
  <si>
    <t>Sum of Old G E-Learning</t>
  </si>
  <si>
    <t>Sum of NEW-Tot UG SCH Calc</t>
  </si>
  <si>
    <t>Sum of New UG E-Learning</t>
  </si>
  <si>
    <t>Sum of New-Tot G SCH Calc</t>
  </si>
  <si>
    <t>Sum of New G E-Learning</t>
  </si>
  <si>
    <t>Table 87</t>
  </si>
  <si>
    <t>All</t>
  </si>
  <si>
    <t>with bachs.</t>
  </si>
  <si>
    <t>Alabama</t>
  </si>
  <si>
    <t>Arkansas</t>
  </si>
  <si>
    <t>Delaware</t>
  </si>
  <si>
    <t>Florida</t>
  </si>
  <si>
    <t>Georgia</t>
  </si>
  <si>
    <t>Kentucky</t>
  </si>
  <si>
    <t>Louisiana</t>
  </si>
  <si>
    <t>Mississippi</t>
  </si>
  <si>
    <t>North Carolina</t>
  </si>
  <si>
    <t>Oklahoma</t>
  </si>
  <si>
    <t>South Carolina</t>
  </si>
  <si>
    <t>Tennessee</t>
  </si>
  <si>
    <t>Texas</t>
  </si>
  <si>
    <t>Virginia</t>
  </si>
  <si>
    <t>West Virginia</t>
  </si>
  <si>
    <t>Table 88</t>
  </si>
  <si>
    <t>Table 89</t>
  </si>
  <si>
    <t>Percent of Graduate Instructional Activity</t>
  </si>
  <si>
    <t xml:space="preserve"> in Traditional Classroom Instruction</t>
  </si>
  <si>
    <t>Table 90</t>
  </si>
  <si>
    <t>Percent of Graduate Instructional Activity in e-Learning</t>
  </si>
  <si>
    <t>Undergraduate Instructional Activity by Type of Instruction</t>
  </si>
  <si>
    <t>Graduate Instructional Activity by Type of Instruction</t>
  </si>
  <si>
    <t>Percent of Total</t>
  </si>
  <si>
    <t>Traditional</t>
  </si>
  <si>
    <t>e-Learning</t>
  </si>
  <si>
    <t>On-Campus</t>
  </si>
  <si>
    <t>Off-Campus</t>
  </si>
  <si>
    <t>Subtotal</t>
  </si>
  <si>
    <t>2-Way Compressed Video</t>
  </si>
  <si>
    <r>
      <t>Other</t>
    </r>
    <r>
      <rPr>
        <b/>
        <vertAlign val="superscript"/>
        <sz val="9"/>
        <rFont val="Arial"/>
        <family val="2"/>
      </rPr>
      <t>1</t>
    </r>
  </si>
  <si>
    <t>Corre- spondence</t>
  </si>
  <si>
    <t>check figs</t>
  </si>
  <si>
    <r>
      <t>Florida</t>
    </r>
    <r>
      <rPr>
        <vertAlign val="superscript"/>
        <sz val="10"/>
        <rFont val="Arial"/>
        <family val="2"/>
      </rPr>
      <t>2</t>
    </r>
  </si>
  <si>
    <r>
      <t>1</t>
    </r>
    <r>
      <rPr>
        <sz val="8"/>
        <rFont val="Arial"/>
        <family val="2"/>
      </rPr>
      <t>Courses delivered via satellite, cable TV, broadcast TV/radio, closed-circuit TV, video tape, CD-ROMS, e-mail, etc.</t>
    </r>
  </si>
  <si>
    <r>
      <t>2</t>
    </r>
    <r>
      <rPr>
        <sz val="8"/>
        <rFont val="Arial"/>
        <family val="2"/>
      </rPr>
      <t>The university system in Florida uses an 80 percent rule to define e-learning so their figures here are likely lower than they would be if they used the 50 percent rule.</t>
    </r>
  </si>
  <si>
    <t>Maryland</t>
  </si>
  <si>
    <r>
      <t>2</t>
    </r>
    <r>
      <rPr>
        <sz val="8"/>
        <rFont val="Arial"/>
        <family val="2"/>
      </rPr>
      <t>The university system in Florida uses a 75 percent rule to define e-learning so their figures here are likely lower than they would be if they used the 50 percent rule.</t>
    </r>
  </si>
  <si>
    <r>
      <t>Mississippi</t>
    </r>
    <r>
      <rPr>
        <vertAlign val="superscript"/>
        <sz val="10"/>
        <rFont val="Arial"/>
        <family val="2"/>
      </rPr>
      <t>2</t>
    </r>
  </si>
  <si>
    <r>
      <t>2</t>
    </r>
    <r>
      <rPr>
        <sz val="8"/>
        <rFont val="Arial"/>
        <family val="2"/>
      </rPr>
      <t>Florida and Mississippi Community Colleges define e-learning when 75 percent of course content is delivered electronically so the figures reported here are likely lower than they would be if they employed a 50 percent rule.</t>
    </r>
  </si>
  <si>
    <r>
      <t>West Virginia</t>
    </r>
    <r>
      <rPr>
        <vertAlign val="superscript"/>
        <sz val="10"/>
        <rFont val="Arial"/>
        <family val="2"/>
      </rPr>
      <t>3</t>
    </r>
  </si>
  <si>
    <t>Total UG SCH</t>
  </si>
  <si>
    <t>4-year</t>
  </si>
  <si>
    <t>2-year</t>
  </si>
  <si>
    <t>Tech</t>
  </si>
  <si>
    <t>Total</t>
  </si>
  <si>
    <t>E-Learning UG SCH</t>
  </si>
  <si>
    <t>Total G SCH</t>
  </si>
  <si>
    <t>E-Learning G SCH</t>
  </si>
  <si>
    <t>Change</t>
  </si>
  <si>
    <t>4-Yr</t>
  </si>
  <si>
    <t>2-Yr</t>
  </si>
  <si>
    <t>IPEDS #</t>
  </si>
  <si>
    <r>
      <t xml:space="preserve">On-Campus "Traditional" Instruction
 </t>
    </r>
    <r>
      <rPr>
        <sz val="10"/>
        <rFont val="Arial"/>
        <family val="2"/>
      </rPr>
      <t>(significant site attendance required--50% or less of course content is electronically delivered)</t>
    </r>
  </si>
  <si>
    <r>
      <t xml:space="preserve">Off-Campus
(in-state or out-of-state sites) "Traditional" Instruction 
</t>
    </r>
    <r>
      <rPr>
        <sz val="10"/>
        <rFont val="Arial"/>
        <family val="2"/>
      </rPr>
      <t>(significant site attendance required--50% or less of course content is electronically delivered)</t>
    </r>
  </si>
  <si>
    <r>
      <t xml:space="preserve">Site-to-Site, 2-Way, Audio/Video </t>
    </r>
    <r>
      <rPr>
        <sz val="10"/>
        <rFont val="Arial"/>
        <family val="2"/>
      </rPr>
      <t>(compressed video)</t>
    </r>
  </si>
  <si>
    <r>
      <t xml:space="preserve">Other </t>
    </r>
    <r>
      <rPr>
        <sz val="10"/>
        <rFont val="Arial"/>
        <family val="2"/>
      </rPr>
      <t xml:space="preserve">(Satellite, Cable, Broadcast TV/Radio, Closed-Circuit, Video Tapes, CD ROM)             </t>
    </r>
  </si>
  <si>
    <r>
      <t xml:space="preserve">Other
</t>
    </r>
    <r>
      <rPr>
        <sz val="10"/>
        <rFont val="Arial"/>
        <family val="2"/>
      </rPr>
      <t xml:space="preserve"> (Satellite, Cable, Broadcast TV/Radio, Closed-Circuit, Video Tapes, CD ROM)            </t>
    </r>
    <r>
      <rPr>
        <b/>
        <sz val="10"/>
        <rFont val="Arial"/>
        <family val="2"/>
      </rPr>
      <t xml:space="preserve"> </t>
    </r>
  </si>
  <si>
    <r>
      <t xml:space="preserve">Correspondence
</t>
    </r>
    <r>
      <rPr>
        <sz val="10"/>
        <rFont val="Arial"/>
        <family val="2"/>
      </rPr>
      <t xml:space="preserve">(no significant site attendance required-less than 50% of the course content is electronically delivered)     </t>
    </r>
  </si>
  <si>
    <t>Note</t>
  </si>
  <si>
    <t>Table 91</t>
  </si>
  <si>
    <t>Table 92</t>
  </si>
  <si>
    <t>Table 93</t>
  </si>
  <si>
    <t>Table 94</t>
  </si>
  <si>
    <t>Table 95</t>
  </si>
  <si>
    <t>Table 96</t>
  </si>
  <si>
    <t>Table 97</t>
  </si>
  <si>
    <t>Table 98</t>
  </si>
  <si>
    <t>Table 99</t>
  </si>
  <si>
    <t>Table 100</t>
  </si>
  <si>
    <t>Table 101</t>
  </si>
  <si>
    <t>Table 102</t>
  </si>
  <si>
    <t>Table 103</t>
  </si>
  <si>
    <t>Table 104</t>
  </si>
  <si>
    <t>Table 105</t>
  </si>
  <si>
    <t>Table 106</t>
  </si>
  <si>
    <t>Table 107</t>
  </si>
  <si>
    <t>Table 108</t>
  </si>
  <si>
    <t>Table 109</t>
  </si>
  <si>
    <t>Table 110</t>
  </si>
  <si>
    <t>Table 111</t>
  </si>
  <si>
    <t>Table 112</t>
  </si>
  <si>
    <r>
      <t xml:space="preserve">Data Columns:  </t>
    </r>
    <r>
      <rPr>
        <sz val="10"/>
        <rFont val="Arial"/>
        <family val="2"/>
      </rPr>
      <t xml:space="preserve">White = New Data, Peach = Old Data, Purple/Grey = Calculated Data. </t>
    </r>
    <r>
      <rPr>
        <b/>
        <sz val="10"/>
        <rFont val="Arial"/>
        <family val="2"/>
      </rPr>
      <t xml:space="preserve"> Please highlight changes in YELLOW</t>
    </r>
  </si>
  <si>
    <t>Comments:  Please look for comments and answer questions; add comments as needed</t>
  </si>
  <si>
    <t>Classification Notes</t>
  </si>
  <si>
    <t xml:space="preserve">North Carolina State University </t>
  </si>
  <si>
    <t xml:space="preserve">University of North Carolina at Chapel Hill </t>
  </si>
  <si>
    <t>University of North Carolina at Charlotte</t>
  </si>
  <si>
    <t>University of North Carolina at Greensboro</t>
  </si>
  <si>
    <t xml:space="preserve">Appalachian State University </t>
  </si>
  <si>
    <t xml:space="preserve">East Carolina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</si>
  <si>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</si>
  <si>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</si>
  <si>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</si>
  <si>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</si>
  <si>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</si>
  <si>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</si>
  <si>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</si>
  <si>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</si>
  <si>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</si>
  <si>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Public Four-Year 1 Institutions, 2011</t>
  </si>
  <si>
    <t>Public Four-Year 2 Institutions, 2011</t>
  </si>
  <si>
    <t>Public Four-Year 3 Institutions, 2011</t>
  </si>
  <si>
    <t>Public Four-Year 4 Institutions, 2011</t>
  </si>
  <si>
    <t>Public Four-Year 5 Institutions, 2011</t>
  </si>
  <si>
    <t>Public Four-Year 6 Institutions, 2011</t>
  </si>
  <si>
    <t>Public Two-Year, 2011</t>
  </si>
  <si>
    <t>Public Two-Year with Bachelor's Institutions, 2011</t>
  </si>
  <si>
    <t>Public Two-Year 1 Institutions, 2011</t>
  </si>
  <si>
    <t>Public Two-Year 2 Institutions, 2011</t>
  </si>
  <si>
    <t>Public Two-Year 3 Institutions, 2011</t>
  </si>
  <si>
    <t>Public Technical Institutes or Colleges, 2011</t>
  </si>
  <si>
    <t>Public Technical Institutes or Colleges 1, 2011</t>
  </si>
  <si>
    <t>Public Technical Institutes or Colleges 2, 2011</t>
  </si>
  <si>
    <t>Percent of Undergraduate Instructional Activity in Traditional Classroom Instruction by Type of Institution, 2011</t>
  </si>
  <si>
    <t>Percent of Undergraduate Instructional Activity in e-Learning by Type of Institution, 2011</t>
  </si>
  <si>
    <t>by Type of Institution, 2011</t>
  </si>
  <si>
    <t>type2</t>
  </si>
  <si>
    <t>Four-Year Total</t>
  </si>
  <si>
    <t>Two-Year Total</t>
  </si>
  <si>
    <t>Techncial</t>
  </si>
  <si>
    <t>Techncial Total</t>
  </si>
  <si>
    <t>Met the criteria for Four-Year 1 in 2012-13.</t>
  </si>
  <si>
    <t>Reclassified: met the criteria for Four-Year 2 in 2010-11, 2011-12, and 2012-13.</t>
  </si>
  <si>
    <t>Albany Technical College</t>
  </si>
  <si>
    <t>Altamaha Technical College</t>
  </si>
  <si>
    <t>Athens Technical College</t>
  </si>
  <si>
    <t>Atlanta Technical College</t>
  </si>
  <si>
    <t>Augusta Technical College</t>
  </si>
  <si>
    <t>Central Georgia Technical College</t>
  </si>
  <si>
    <t>Chattahoochee Technical College</t>
  </si>
  <si>
    <t>Columbus Technical College</t>
  </si>
  <si>
    <t>Georgia Northwestern Technical College</t>
  </si>
  <si>
    <t>Georgia Piedmont Technical College</t>
  </si>
  <si>
    <t>Gwinnett Technical College</t>
  </si>
  <si>
    <t>Lanier Technical College</t>
  </si>
  <si>
    <t>Middle Georgia Technical College</t>
  </si>
  <si>
    <t>Moultrie Technical College</t>
  </si>
  <si>
    <t>North Georgia Technical College</t>
  </si>
  <si>
    <t>Oconee Fall Line Technical College</t>
  </si>
  <si>
    <t>Ogeechee Technical College</t>
  </si>
  <si>
    <t>Okefenokee Technical College</t>
  </si>
  <si>
    <t>Savannah Technical College</t>
  </si>
  <si>
    <t>South Georgia Technical College</t>
  </si>
  <si>
    <t>Southeastern Technical College</t>
  </si>
  <si>
    <t>Southern Crescent Technical College</t>
  </si>
  <si>
    <t>Southwest Georgia Technical College</t>
  </si>
  <si>
    <t>West Georgia Technical College</t>
  </si>
  <si>
    <t>Wiregrass Georgia Technical College</t>
  </si>
  <si>
    <t xml:space="preserve">Georgia State University </t>
  </si>
  <si>
    <t>University of Georgia</t>
  </si>
  <si>
    <t>Georgia Institute of Technology</t>
  </si>
  <si>
    <t>Georgia Southern University</t>
  </si>
  <si>
    <t>University of West Georgia</t>
  </si>
  <si>
    <t xml:space="preserve">Valdosta State University </t>
  </si>
  <si>
    <t xml:space="preserve">Albany State University </t>
  </si>
  <si>
    <t>Armstrong Atlantic State University</t>
  </si>
  <si>
    <t>Columbus State University</t>
  </si>
  <si>
    <t>Georgia College and State University</t>
  </si>
  <si>
    <t>Kennesaw State University</t>
  </si>
  <si>
    <t>Augusta State University</t>
  </si>
  <si>
    <t>Clayton State University</t>
  </si>
  <si>
    <t>Fort Valley State University</t>
  </si>
  <si>
    <t>Georgia Southwestern State University</t>
  </si>
  <si>
    <t>North Georgia College and State University</t>
  </si>
  <si>
    <t>Savannah State University</t>
  </si>
  <si>
    <t>Georgia Gwinnett College</t>
  </si>
  <si>
    <t xml:space="preserve">Macon State College </t>
  </si>
  <si>
    <t xml:space="preserve">Dalton State College </t>
  </si>
  <si>
    <t xml:space="preserve">Gainesville State College </t>
  </si>
  <si>
    <t xml:space="preserve">Gordon College </t>
  </si>
  <si>
    <t xml:space="preserve">Georgia Perimeter College </t>
  </si>
  <si>
    <t xml:space="preserve">Abraham Baldwin Agricultural College </t>
  </si>
  <si>
    <t>Atlanta Metropolitan College</t>
  </si>
  <si>
    <t xml:space="preserve">Bainbridge College </t>
  </si>
  <si>
    <t xml:space="preserve">College of Coastal Georgia </t>
  </si>
  <si>
    <t xml:space="preserve">Darton College </t>
  </si>
  <si>
    <t>East Georgia College</t>
  </si>
  <si>
    <t>Georgia Highlands College</t>
  </si>
  <si>
    <t xml:space="preserve">Middle Georgia College </t>
  </si>
  <si>
    <t xml:space="preserve">South Georgia College </t>
  </si>
  <si>
    <t xml:space="preserve">Waycross College </t>
  </si>
  <si>
    <t>Georgia Health Sciences University</t>
  </si>
  <si>
    <t>Southern Polytechnic State University</t>
  </si>
  <si>
    <t>Met the criteria for Four-Year 3 in 2011-12 and 2012-13.</t>
  </si>
  <si>
    <t>Reclassified: met the criteria for Four-Year 4 in 2010-11, 2011-12, and 2012-13.</t>
  </si>
  <si>
    <t>Met the criteria for Four-Year 4 in 2012-13.</t>
  </si>
  <si>
    <t xml:space="preserve">Met the criteria for Two-Year with Bachelor's in 2011-12 and 2012-13. </t>
  </si>
  <si>
    <t>Met the criteria for Four-Year 6 in 2011-12 and 2012-13.</t>
  </si>
  <si>
    <t>West Virginia University</t>
  </si>
  <si>
    <t xml:space="preserve">Marshall University </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</si>
  <si>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</si>
  <si>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</si>
  <si>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</si>
  <si>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</si>
  <si>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</si>
  <si>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</si>
  <si>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</si>
  <si>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Institute of Technology</t>
  </si>
  <si>
    <t>Potomac State College of West Virginia University</t>
  </si>
  <si>
    <t>West Virginia University at Parkersburg</t>
  </si>
  <si>
    <t>West Virginia Northern Community College</t>
  </si>
  <si>
    <t>Blue Ridge Community &amp; Technical College</t>
  </si>
  <si>
    <t>Bridgemont Community &amp; Technical College</t>
  </si>
  <si>
    <t>Eastern West Virginia Community &amp; Technical College</t>
  </si>
  <si>
    <t>Kanawha Valley Community &amp; Technical College</t>
  </si>
  <si>
    <t>Mountwest Community &amp; Technical College</t>
  </si>
  <si>
    <t>New River Community &amp; Technical College</t>
  </si>
  <si>
    <t>Pierpont Community &amp; Technical College</t>
  </si>
  <si>
    <t xml:space="preserve">Southern West Virginia Community &amp; Technical College </t>
  </si>
  <si>
    <t>Met the criteria for Two-Year 3 in 2012-13.</t>
  </si>
  <si>
    <t>Reclassified: met criteria for Two-Year 2 in 2010-11, 2011-12, and 2012-13.</t>
  </si>
  <si>
    <t xml:space="preserve">Texas A &amp; M University </t>
  </si>
  <si>
    <t xml:space="preserve">Texas Tech University </t>
  </si>
  <si>
    <t>University of Houston</t>
  </si>
  <si>
    <t>University of North Texas</t>
  </si>
  <si>
    <t>University of Texas at Arlington</t>
  </si>
  <si>
    <t>University of Texas at Austin</t>
  </si>
  <si>
    <t>University of Texas at Dallas</t>
  </si>
  <si>
    <t>Texas Woman's University</t>
  </si>
  <si>
    <t>University of Texas at El Paso</t>
  </si>
  <si>
    <t>University of Texas at San Antonio</t>
  </si>
  <si>
    <t>Angelo State University</t>
  </si>
  <si>
    <t>Lamar University</t>
  </si>
  <si>
    <t>Midwestern State University</t>
  </si>
  <si>
    <t>Prairie View A &amp; M University</t>
  </si>
  <si>
    <t xml:space="preserve">Sam Houston State University </t>
  </si>
  <si>
    <t>Stephen F. Austin State University</t>
  </si>
  <si>
    <t xml:space="preserve">Sul Ross State University </t>
  </si>
  <si>
    <t>Tarleton State University</t>
  </si>
  <si>
    <t>Texas A &amp; M International University</t>
  </si>
  <si>
    <t>Texas A &amp; M University - Commerce</t>
  </si>
  <si>
    <t xml:space="preserve">Texas A &amp; M University-Corpus Christi </t>
  </si>
  <si>
    <t>Texas A &amp; M University-Kingsville</t>
  </si>
  <si>
    <t xml:space="preserve">Texas Southern University </t>
  </si>
  <si>
    <t xml:space="preserve">Texas State University - San Marcos </t>
  </si>
  <si>
    <t xml:space="preserve">University of Houston-Clear Lake </t>
  </si>
  <si>
    <t>University of Texas at Brownsville</t>
  </si>
  <si>
    <t>University of Texas at Tyler</t>
  </si>
  <si>
    <t>University of Texas of the Permian Basin</t>
  </si>
  <si>
    <t>University of Texas-Pan American</t>
  </si>
  <si>
    <t>West Texas A &amp; M University</t>
  </si>
  <si>
    <t>Texas A &amp; M -Texarkana</t>
  </si>
  <si>
    <t>University of Houston-Victoria</t>
  </si>
  <si>
    <t>Sul Ross State University-Rio Grande College</t>
  </si>
  <si>
    <t>228501B</t>
  </si>
  <si>
    <t>University of Houston-Downtown</t>
  </si>
  <si>
    <t>Texas A &amp; M University at Galveston</t>
  </si>
  <si>
    <t xml:space="preserve">Brazosport College </t>
  </si>
  <si>
    <t xml:space="preserve">Midland College </t>
  </si>
  <si>
    <t>South Texas College</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</si>
  <si>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</si>
  <si>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</si>
  <si>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</si>
  <si>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</si>
  <si>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</si>
  <si>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</si>
  <si>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</si>
  <si>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</si>
  <si>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Centro College  (DCCCD)</t>
  </si>
  <si>
    <t>El Paso County Community College District</t>
  </si>
  <si>
    <t>Houston Community College</t>
  </si>
  <si>
    <t xml:space="preserve">Kilgore College </t>
  </si>
  <si>
    <t xml:space="preserve">Laredo Community College </t>
  </si>
  <si>
    <t>Lone Star College System District</t>
  </si>
  <si>
    <t xml:space="preserve">McLennan Community College </t>
  </si>
  <si>
    <t xml:space="preserve">Navarro College </t>
  </si>
  <si>
    <t>North Central Texas Community College</t>
  </si>
  <si>
    <t>North Lake College (DCCCD)</t>
  </si>
  <si>
    <t>Northwest Vista College (ACCD)</t>
  </si>
  <si>
    <t>Palo Alto College (ACCD)</t>
  </si>
  <si>
    <t>Richland College (DCCCD)</t>
  </si>
  <si>
    <t>San Antonio College (ACCD)</t>
  </si>
  <si>
    <t>San Jacinto College</t>
  </si>
  <si>
    <t xml:space="preserve">South Plains College </t>
  </si>
  <si>
    <t>St. Philip's College (ACCD)</t>
  </si>
  <si>
    <t>Tarrant County College</t>
  </si>
  <si>
    <t xml:space="preserve">Texas Southmost College </t>
  </si>
  <si>
    <t>Texas State Technical College-Waco</t>
  </si>
  <si>
    <t>Trinity Valley Community College</t>
  </si>
  <si>
    <t xml:space="preserve">Tyler Junior College </t>
  </si>
  <si>
    <t xml:space="preserve">Alvin Community College </t>
  </si>
  <si>
    <t xml:space="preserve">Angelina College </t>
  </si>
  <si>
    <t>Cedar Valley College (DCCCD)</t>
  </si>
  <si>
    <t xml:space="preserve">Cisco Junior College </t>
  </si>
  <si>
    <t>Coastal Bend College</t>
  </si>
  <si>
    <t>College of the Mainland</t>
  </si>
  <si>
    <t xml:space="preserve">Grayson County College </t>
  </si>
  <si>
    <t>Hill College</t>
  </si>
  <si>
    <t>Howard College (HCJCD)</t>
  </si>
  <si>
    <t>Lamar Institute of Technology</t>
  </si>
  <si>
    <t xml:space="preserve">Lee College </t>
  </si>
  <si>
    <t>Mountain View College  (DCCCD)</t>
  </si>
  <si>
    <t xml:space="preserve">Northeast Texas Community College </t>
  </si>
  <si>
    <t xml:space="preserve">Odessa College </t>
  </si>
  <si>
    <t>Paris Junior College</t>
  </si>
  <si>
    <t xml:space="preserve">Southwest Texas Junior College </t>
  </si>
  <si>
    <t xml:space="preserve">Temple College </t>
  </si>
  <si>
    <t xml:space="preserve">Texarkana College </t>
  </si>
  <si>
    <t xml:space="preserve">Texas State Technical College-Harlingen </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</si>
  <si>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</si>
  <si>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</si>
  <si>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</si>
  <si>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</si>
  <si>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</si>
  <si>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</si>
  <si>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</si>
  <si>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</si>
  <si>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Lamar State College-Port Arthur</t>
  </si>
  <si>
    <t>Northeast Lakeview College (ACCD)</t>
  </si>
  <si>
    <t>???</t>
  </si>
  <si>
    <t>Panola College</t>
  </si>
  <si>
    <t xml:space="preserve">Ranger College </t>
  </si>
  <si>
    <t>Southwest Collegiate Institute for the Deaf (HCJCD)</t>
  </si>
  <si>
    <t>Texas State Technical College-Marshall</t>
  </si>
  <si>
    <t>Texas State Technical College-West Texas</t>
  </si>
  <si>
    <t xml:space="preserve">Western Texas College </t>
  </si>
  <si>
    <t>Texas A &amp; M University - Central Texas</t>
  </si>
  <si>
    <t>Texas A &amp; M University - San Antonio</t>
  </si>
  <si>
    <t>University of North Texas at Dallas</t>
  </si>
  <si>
    <t>New fall 2009. No degrees yet granted.</t>
  </si>
  <si>
    <t>Met criteria for Two-Year 2 in 2012-13.</t>
  </si>
  <si>
    <t>Reclassified: Met the criteria for Two-Year 2 in 2010-11, 2011-12, and 2012-13.</t>
  </si>
  <si>
    <t>Reclassified: Met the criteria for Four-Year 4 in 2010-11, 2011-12, and 2012-13.</t>
  </si>
  <si>
    <t>Reclassified: Met the criteria for Four-Year 5 in 2010-11, 2011-12, and 2012-13.</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</si>
  <si>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</si>
  <si>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</si>
  <si>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</si>
  <si>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</si>
  <si>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</si>
  <si>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</si>
  <si>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</si>
  <si>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</si>
  <si>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Met the criteria for Four-Year 2 in 2012-13.</t>
  </si>
  <si>
    <t>Auburn University</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</si>
  <si>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</si>
  <si>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</si>
  <si>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</si>
  <si>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</si>
  <si>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</si>
  <si>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</si>
  <si>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</si>
  <si>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</si>
  <si>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</si>
  <si>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</si>
  <si>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</si>
  <si>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</si>
  <si>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</si>
  <si>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Gadsden State Community College</t>
  </si>
  <si>
    <t>Jefferson State Community College</t>
  </si>
  <si>
    <t xml:space="preserve">John C. Calhoun State Community College </t>
  </si>
  <si>
    <t>Wallace Community College - Hanceville</t>
  </si>
  <si>
    <t>Bevill State Community College</t>
  </si>
  <si>
    <t>Bishop State Community College</t>
  </si>
  <si>
    <t>Central Alabama Community College</t>
  </si>
  <si>
    <t>Enterprise State Community College</t>
  </si>
  <si>
    <t>George C. Wallace State Community College - Dothan</t>
  </si>
  <si>
    <t>James H. Faulkner State Community College</t>
  </si>
  <si>
    <t xml:space="preserve">Lawson State Community College </t>
  </si>
  <si>
    <t xml:space="preserve">Northeast Alabama State Community College </t>
  </si>
  <si>
    <t>Northwest-Shoals Community College</t>
  </si>
  <si>
    <t>Shelton State Community College</t>
  </si>
  <si>
    <t>Southern Union State Community College</t>
  </si>
  <si>
    <t>Alabama Southern Community College</t>
  </si>
  <si>
    <t xml:space="preserve">Chattahoochee Valley State Community College </t>
  </si>
  <si>
    <t>George Corley Wallace State Community College - Selma</t>
  </si>
  <si>
    <t>Jefferson Davis Community College</t>
  </si>
  <si>
    <t xml:space="preserve">Lurleen B. Wallace Community College </t>
  </si>
  <si>
    <t xml:space="preserve">Snead State Community College </t>
  </si>
  <si>
    <t xml:space="preserve">Trenholm State Technical College </t>
  </si>
  <si>
    <t xml:space="preserve">J.F. Drake State Technical College </t>
  </si>
  <si>
    <t xml:space="preserve">J.F. Ingram State Technical College </t>
  </si>
  <si>
    <t xml:space="preserve">Reid State Technical College </t>
  </si>
  <si>
    <t>Marion Military Institute</t>
  </si>
  <si>
    <t>Met the criteria for Two-Year 2 in 2012-13.</t>
  </si>
  <si>
    <t>University of Arkansas, Fayetteville</t>
  </si>
  <si>
    <t>Arkansas State University</t>
  </si>
  <si>
    <t>University of Arkansas at Little Rock</t>
  </si>
  <si>
    <t xml:space="preserve">University of Central Arkansas </t>
  </si>
  <si>
    <t>Arkansas Tech University</t>
  </si>
  <si>
    <t>Henderson State University</t>
  </si>
  <si>
    <t>Southern Arkansas University</t>
  </si>
  <si>
    <t>University of Arkansas at Monticello</t>
  </si>
  <si>
    <t>University of Arkansas at Fort Smith</t>
  </si>
  <si>
    <t>University of Arkansas at Pine Bluff</t>
  </si>
  <si>
    <t xml:space="preserve">Northwest Arkansas Community College </t>
  </si>
  <si>
    <t>Pulaski Technical College</t>
  </si>
  <si>
    <t>Arkansas State University-Beebe</t>
  </si>
  <si>
    <t>National Park Community College</t>
  </si>
  <si>
    <t>Arkansas Northeastern College</t>
  </si>
  <si>
    <t>Arkansas State University Mountain Home</t>
  </si>
  <si>
    <t>Arkansas State University-Newport</t>
  </si>
  <si>
    <t>Black River Technical College</t>
  </si>
  <si>
    <t>College of the Ouachitas</t>
  </si>
  <si>
    <t>Cossatot Community College of the University of Arkansas</t>
  </si>
  <si>
    <t xml:space="preserve">East Arkansas Community College </t>
  </si>
  <si>
    <t xml:space="preserve">Mid-South Community College </t>
  </si>
  <si>
    <t>North Arkansas College</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</si>
  <si>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</si>
  <si>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</si>
  <si>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</si>
  <si>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</si>
  <si>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</si>
  <si>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</si>
  <si>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</si>
  <si>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</si>
  <si>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</si>
  <si>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University of Arkansas for Medical Sciences</t>
  </si>
  <si>
    <t>Reclassified: met the criteria for Four-Year 3 in 2010-11, 2011-12 and 2012-13.</t>
  </si>
  <si>
    <t>Met the criteria for Four-Year 5 in 2012-13.</t>
  </si>
  <si>
    <t>Asheville-Buncombe Technical Community College</t>
  </si>
  <si>
    <t>Cape Fear Community College</t>
  </si>
  <si>
    <t xml:space="preserve">Central Piedmont Community College </t>
  </si>
  <si>
    <t>Fayetteville Technical Community College</t>
  </si>
  <si>
    <t>Forsyth Technical Community College</t>
  </si>
  <si>
    <t xml:space="preserve">Gaston College </t>
  </si>
  <si>
    <t>Guilford Technical Community College</t>
  </si>
  <si>
    <t>Pitt Community College</t>
  </si>
  <si>
    <t>Rowan-Cabarrus Community College</t>
  </si>
  <si>
    <t>Wake Technical Community College</t>
  </si>
  <si>
    <t>Alamance Community College</t>
  </si>
  <si>
    <t>Caldwell Community College &amp; Technical Institute</t>
  </si>
  <si>
    <t>Catawba Valley Community College</t>
  </si>
  <si>
    <t>Central Carolina Commuity College</t>
  </si>
  <si>
    <t>Cleveland Community College</t>
  </si>
  <si>
    <t xml:space="preserve">Coastal Carolina Community College </t>
  </si>
  <si>
    <t xml:space="preserve">Craven Community College </t>
  </si>
  <si>
    <t xml:space="preserve">Davidson County Community College </t>
  </si>
  <si>
    <t>Durham Technical Community College</t>
  </si>
  <si>
    <t>Edgecombe Community College</t>
  </si>
  <si>
    <t>Haywood Community College</t>
  </si>
  <si>
    <t xml:space="preserve">Isothermal Community College </t>
  </si>
  <si>
    <t>Johnston Community College</t>
  </si>
  <si>
    <t xml:space="preserve">Lenoir Community College </t>
  </si>
  <si>
    <t xml:space="preserve">Mitchell Community College </t>
  </si>
  <si>
    <t>Nash Community College</t>
  </si>
  <si>
    <t>Randolph Community College</t>
  </si>
  <si>
    <t>Robeson Community College</t>
  </si>
  <si>
    <t xml:space="preserve">Sandhills Community College </t>
  </si>
  <si>
    <t>Stanly Community College</t>
  </si>
  <si>
    <t xml:space="preserve">Surry Community College </t>
  </si>
  <si>
    <t xml:space="preserve">Vance-Granville Community College </t>
  </si>
  <si>
    <t>Wayne Community College</t>
  </si>
  <si>
    <t xml:space="preserve">Western Piedmont Community College </t>
  </si>
  <si>
    <t xml:space="preserve">Wilkes Community College </t>
  </si>
  <si>
    <t xml:space="preserve">Beaufort County Community College </t>
  </si>
  <si>
    <t>Bladen Community College</t>
  </si>
  <si>
    <t>Blue Ridge Community College</t>
  </si>
  <si>
    <t>Brunswick Community College</t>
  </si>
  <si>
    <t>Carteret Community College</t>
  </si>
  <si>
    <t>College of the Albemarle</t>
  </si>
  <si>
    <t xml:space="preserve">Halifax Community College </t>
  </si>
  <si>
    <t>James Sprunt Community College</t>
  </si>
  <si>
    <t xml:space="preserve">Martin Community College </t>
  </si>
  <si>
    <t>Mayland Community College</t>
  </si>
  <si>
    <t>McDowell Technical Community College</t>
  </si>
  <si>
    <t>Montgomery Community College</t>
  </si>
  <si>
    <t>Pamlico Community College</t>
  </si>
  <si>
    <t>Piedmont Community College</t>
  </si>
  <si>
    <t>Richmond Community College</t>
  </si>
  <si>
    <t>Roanoke-Chowan Community College</t>
  </si>
  <si>
    <t xml:space="preserve">Rockingham Community College </t>
  </si>
  <si>
    <t>Sampson Community College</t>
  </si>
  <si>
    <t>South Piedmont Community College</t>
  </si>
  <si>
    <t xml:space="preserve">Southeastern Community College </t>
  </si>
  <si>
    <t xml:space="preserve">Southwestern Community College </t>
  </si>
  <si>
    <t xml:space="preserve">Tri-County Community College </t>
  </si>
  <si>
    <t>Wilson Community College</t>
  </si>
  <si>
    <t>Met the criteria for Two-Year 2 in 2011-12 and 2012-13.</t>
  </si>
  <si>
    <t>Met the criteria for Two-Year 3 in 2011-12 and 2012-13.</t>
  </si>
  <si>
    <t>Florida International University</t>
  </si>
  <si>
    <t xml:space="preserve">Florida State University </t>
  </si>
  <si>
    <t xml:space="preserve">University of Central Florida </t>
  </si>
  <si>
    <t>University of Florida</t>
  </si>
  <si>
    <t xml:space="preserve">University of South Florida </t>
  </si>
  <si>
    <t xml:space="preserve">Florida Atlantic University </t>
  </si>
  <si>
    <t xml:space="preserve">Florida Agricultural &amp; Mechanical University </t>
  </si>
  <si>
    <t>University of North Florida</t>
  </si>
  <si>
    <t>University of West Florida</t>
  </si>
  <si>
    <t>Florida Gulf Coast University</t>
  </si>
  <si>
    <t>New College of Florida</t>
  </si>
  <si>
    <t>Met the criteria for Four-Year 2 in 2011-12 and 2012-13.</t>
  </si>
  <si>
    <t>University of Memphis</t>
  </si>
  <si>
    <t>University of Tennessee, Knoxville</t>
  </si>
  <si>
    <t xml:space="preserve">Tennessee State University </t>
  </si>
  <si>
    <t xml:space="preserve">Austin Peay State University </t>
  </si>
  <si>
    <t xml:space="preserve">East Tennessee State University </t>
  </si>
  <si>
    <t xml:space="preserve">Middle Tennessee State University </t>
  </si>
  <si>
    <t xml:space="preserve">Tennessee Technological University </t>
  </si>
  <si>
    <t>University of Tennessee at Chattanooga</t>
  </si>
  <si>
    <t>University of Tennessee at Martin</t>
  </si>
  <si>
    <t xml:space="preserve">Chattanooga State Technical Community College </t>
  </si>
  <si>
    <t>Nashville State Technical Community College</t>
  </si>
  <si>
    <t>Pellissippi State Technical Community College</t>
  </si>
  <si>
    <t>Southwest Tennessee Community College</t>
  </si>
  <si>
    <t xml:space="preserve">Volunteer State Community College </t>
  </si>
  <si>
    <t xml:space="preserve">Cleveland State Community College </t>
  </si>
  <si>
    <t xml:space="preserve">Columbia State Community College </t>
  </si>
  <si>
    <t xml:space="preserve">Dyersburg State Community College </t>
  </si>
  <si>
    <t xml:space="preserve">Jackson State Community College </t>
  </si>
  <si>
    <t xml:space="preserve">Motlow State Community College </t>
  </si>
  <si>
    <t>Northeast State Technical Community College</t>
  </si>
  <si>
    <t xml:space="preserve">Roane State Community College </t>
  </si>
  <si>
    <t xml:space="preserve">Walters State Community College </t>
  </si>
  <si>
    <t>Tennessee Technology Center at Athens</t>
  </si>
  <si>
    <t>Tennessee Technology Center at Chattanooga</t>
  </si>
  <si>
    <t>219824B</t>
  </si>
  <si>
    <t>Tennessee Technology Center at Covington</t>
  </si>
  <si>
    <t>Tennessee Technology Center at Crossville</t>
  </si>
  <si>
    <t>Tennessee Technology Center at Crump</t>
  </si>
  <si>
    <t>Tennessee Technology Center at Dickson</t>
  </si>
  <si>
    <t>Tennessee Technology Center at Elizabethton</t>
  </si>
  <si>
    <t>Tennessee Technology Center at Harriman</t>
  </si>
  <si>
    <t>Tennessee Technology Center at Hartsville</t>
  </si>
  <si>
    <t>Tennessee Technology Center at Hohenwald</t>
  </si>
  <si>
    <t>Tennessee Technology Center at Jacksboro</t>
  </si>
  <si>
    <t>Tennessee Technology Center at Jackson</t>
  </si>
  <si>
    <t>Tennessee Technology Center at Knoxville</t>
  </si>
  <si>
    <t>Tennessee Technology Center at Livingston</t>
  </si>
  <si>
    <t>Tennessee Technology Center at McKenzie</t>
  </si>
  <si>
    <t>Tennessee Technology Center at McMinnville</t>
  </si>
  <si>
    <t>Tennessee Technology Center at Memphis</t>
  </si>
  <si>
    <t>Tennessee Technology Center at Morristown</t>
  </si>
  <si>
    <t>Tennessee Technology Center at Murfreesboro</t>
  </si>
  <si>
    <t>Tennessee Technology Center at Nashville</t>
  </si>
  <si>
    <t>Tennessee Technology Center at Newbern</t>
  </si>
  <si>
    <t>Tennessee Technology Center at Oneida</t>
  </si>
  <si>
    <t>Tennessee Technology Center at Paris</t>
  </si>
  <si>
    <t>Tennessee Technology Center at Pulaski</t>
  </si>
  <si>
    <t>Tennessee Technology Center at Ripley</t>
  </si>
  <si>
    <t>Tennessee Technology Center at Shelbyville</t>
  </si>
  <si>
    <t>Tennessee Technology Center at Whiteville</t>
  </si>
  <si>
    <t>Reclassified: Met the criteria for Technical Institute or College 1 in 2010-11, 2011-12, and 2012-13.</t>
  </si>
  <si>
    <t>Oklahoma State University Main Campus</t>
  </si>
  <si>
    <t>University of Oklahoma Norman Campus</t>
  </si>
  <si>
    <t>Northeastern State University</t>
  </si>
  <si>
    <t>University of Central Oklahoma</t>
  </si>
  <si>
    <t xml:space="preserve">Cameron University </t>
  </si>
  <si>
    <t xml:space="preserve">East Central University </t>
  </si>
  <si>
    <t>Langston University</t>
  </si>
  <si>
    <t xml:space="preserve">Northwestern Oklahoma State University </t>
  </si>
  <si>
    <t xml:space="preserve">Southeastern Oklahoma State University </t>
  </si>
  <si>
    <t>Southwestern Oklahoma State University</t>
  </si>
  <si>
    <t xml:space="preserve">Oklahoma Panhandle State University </t>
  </si>
  <si>
    <t>Rogers State University</t>
  </si>
  <si>
    <t>University of Science and Arts of Oklahoma</t>
  </si>
  <si>
    <t xml:space="preserve">Oklahoma State University Technical Branch-Okmulgee </t>
  </si>
  <si>
    <t xml:space="preserve">Oklahoma State University-Oklahoma City </t>
  </si>
  <si>
    <t xml:space="preserve">Oklahoma City Community College </t>
  </si>
  <si>
    <t xml:space="preserve">Rose State College </t>
  </si>
  <si>
    <t xml:space="preserve">Tulsa Community College </t>
  </si>
  <si>
    <t xml:space="preserve">Northern Oklahoma College </t>
  </si>
  <si>
    <t>Carl Albert State College</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</si>
  <si>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</si>
  <si>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</si>
  <si>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</si>
  <si>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</si>
  <si>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</si>
  <si>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</si>
  <si>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</si>
  <si>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Met the criteria for Two-Year 1 institution in 2012-13.</t>
  </si>
  <si>
    <t>Met the criteria for Two-Year 2 institution in 2012-13.</t>
  </si>
  <si>
    <t>Reclassified: met the criteria for Two-Year 2 institution in 2010-11, 2011-12, and 2012-13.</t>
  </si>
  <si>
    <t>Met the criteria for Two-Year 2 institution in 2011-12 and 2012-13.</t>
  </si>
  <si>
    <t>University of Delaware</t>
  </si>
  <si>
    <t>Delaware State University</t>
  </si>
  <si>
    <t>Delaware Technical and Community College--Stanton-Wilmington</t>
  </si>
  <si>
    <t>Delaware Technical and Community College--Owens</t>
  </si>
  <si>
    <t>Delaware Technical and Community College--Terry</t>
  </si>
  <si>
    <t>University of Kentucky</t>
  </si>
  <si>
    <t>University of Louisville</t>
  </si>
  <si>
    <t xml:space="preserve">Eastern Kentucky University </t>
  </si>
  <si>
    <t xml:space="preserve">Morehead State University </t>
  </si>
  <si>
    <t xml:space="preserve">Murray State University </t>
  </si>
  <si>
    <t xml:space="preserve">Western Kentucky University </t>
  </si>
  <si>
    <t xml:space="preserve">Kentucky State University </t>
  </si>
  <si>
    <t xml:space="preserve">Northern Kentucky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</si>
  <si>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</si>
  <si>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</si>
  <si>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</si>
  <si>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</si>
  <si>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</si>
  <si>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 xml:space="preserve">Hopkinsville Community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</si>
  <si>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</si>
  <si>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</si>
  <si>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</si>
  <si>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</si>
  <si>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</si>
  <si>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</si>
  <si>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Hazard Community and Technical College</t>
  </si>
  <si>
    <t xml:space="preserve">Henderson Community College </t>
  </si>
  <si>
    <t>Southcentral Kentucky Community and Technical College</t>
  </si>
  <si>
    <t>Gateway Community and Technical College</t>
  </si>
  <si>
    <t>Met the criteria for Four-Year 3 in 2012-13.</t>
  </si>
  <si>
    <t>Reclassified: met the criteria for classification as a Two-Year 2 in 2010-11, 2011-12, and 2012-13.</t>
  </si>
  <si>
    <t>University of Maryland College Park</t>
  </si>
  <si>
    <t>Morgan State University</t>
  </si>
  <si>
    <t>University of Maryland, Baltimore County</t>
  </si>
  <si>
    <t xml:space="preserve">Towson University </t>
  </si>
  <si>
    <t xml:space="preserve">Bowie State University </t>
  </si>
  <si>
    <t>Coppin State University</t>
  </si>
  <si>
    <t xml:space="preserve">Frostburg State University </t>
  </si>
  <si>
    <t xml:space="preserve">Salisbury University </t>
  </si>
  <si>
    <t>University of Baltimore</t>
  </si>
  <si>
    <t xml:space="preserve">University of Maryland Eastern Shore </t>
  </si>
  <si>
    <t>Saint Mary's College of Maryland</t>
  </si>
  <si>
    <t xml:space="preserve">Anne Arundel Community College </t>
  </si>
  <si>
    <t>College of Southern Maryland</t>
  </si>
  <si>
    <t>Community College of Baltimore County (all campuses)</t>
  </si>
  <si>
    <t xml:space="preserve">Howard Community College </t>
  </si>
  <si>
    <t>Montgomery College (all campuses)</t>
  </si>
  <si>
    <t xml:space="preserve">Prince George's Community College </t>
  </si>
  <si>
    <t>Allegany College of Maryland</t>
  </si>
  <si>
    <t>Baltimore City Community College</t>
  </si>
  <si>
    <t>Carroll Community College</t>
  </si>
  <si>
    <t xml:space="preserve">Frederick Community College </t>
  </si>
  <si>
    <t xml:space="preserve">Hagerstown Community College </t>
  </si>
  <si>
    <t xml:space="preserve">Harford Community College </t>
  </si>
  <si>
    <t xml:space="preserve">Wor-Wic Community College </t>
  </si>
  <si>
    <t xml:space="preserve">Cecil Community College </t>
  </si>
  <si>
    <t xml:space="preserve">Chesapeake College </t>
  </si>
  <si>
    <t xml:space="preserve">Garrett College </t>
  </si>
  <si>
    <t>University of Maryland University College</t>
  </si>
  <si>
    <t>University of Maryland, Baltimore</t>
  </si>
  <si>
    <t>Reclassified: met the criteria for Four-Year 5 in 2010-11, 2011-12, and 2012-13.</t>
  </si>
  <si>
    <r>
      <t xml:space="preserve">Total Undergraduate SCH
</t>
    </r>
    <r>
      <rPr>
        <strike/>
        <sz val="8"/>
        <color theme="5"/>
        <rFont val="Arial"/>
        <family val="2"/>
      </rPr>
      <t>(Should equal totals in Part 4.)</t>
    </r>
    <r>
      <rPr>
        <strike/>
        <sz val="10"/>
        <color theme="5"/>
        <rFont val="Arial"/>
        <family val="2"/>
      </rPr>
      <t xml:space="preserve"> </t>
    </r>
  </si>
  <si>
    <r>
      <t xml:space="preserve">Total Graduate SCH </t>
    </r>
    <r>
      <rPr>
        <sz val="10"/>
        <color rgb="FF0000FF"/>
        <rFont val="Arial"/>
        <family val="2"/>
      </rPr>
      <t xml:space="preserve">
(a sum of columns --</t>
    </r>
    <r>
      <rPr>
        <strike/>
        <sz val="10"/>
        <color rgb="FFC00000"/>
        <rFont val="Arial"/>
        <family val="2"/>
      </rPr>
      <t>should match totals from Part 3)</t>
    </r>
  </si>
  <si>
    <t>Grand Total</t>
  </si>
  <si>
    <t>Four-Year +</t>
  </si>
  <si>
    <t>Four-Year + Total</t>
  </si>
  <si>
    <t>Technical Total</t>
  </si>
  <si>
    <t xml:space="preserve"> Change %UG OnC Trad</t>
  </si>
  <si>
    <t>Total  Change %UG OnC Trad</t>
  </si>
  <si>
    <t xml:space="preserve">George Mason University </t>
  </si>
  <si>
    <t xml:space="preserve">Old Dominion University </t>
  </si>
  <si>
    <t>University of Virginia</t>
  </si>
  <si>
    <t xml:space="preserve">Virginia Tech </t>
  </si>
  <si>
    <t>College of William &amp; Mary</t>
  </si>
  <si>
    <t>Virginia Commonwealth University</t>
  </si>
  <si>
    <t>James Madison University</t>
  </si>
  <si>
    <t xml:space="preserve">Norfolk State University </t>
  </si>
  <si>
    <t xml:space="preserve">Longwood University </t>
  </si>
  <si>
    <t>Radford University</t>
  </si>
  <si>
    <t xml:space="preserve">Virginia State University </t>
  </si>
  <si>
    <t>Christopher Newport University</t>
  </si>
  <si>
    <t xml:space="preserve">University of Mary Washington </t>
  </si>
  <si>
    <t xml:space="preserve">University of Virginia's College at Wise </t>
  </si>
  <si>
    <t>J.S. Reynolds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</si>
  <si>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</si>
  <si>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</si>
  <si>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</si>
  <si>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</si>
  <si>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</si>
  <si>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</si>
  <si>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</si>
  <si>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John Tyler Community College</t>
  </si>
  <si>
    <t>Lord Fairfax Community College</t>
  </si>
  <si>
    <t xml:space="preserve">New River Community College </t>
  </si>
  <si>
    <t xml:space="preserve">Patrick Henry Community College </t>
  </si>
  <si>
    <t xml:space="preserve">Piedmont Virginia Community College </t>
  </si>
  <si>
    <t>Southside Virginia Community College</t>
  </si>
  <si>
    <t xml:space="preserve">Southwest Virginia Community College </t>
  </si>
  <si>
    <t xml:space="preserve">Virginia Western Community College </t>
  </si>
  <si>
    <t xml:space="preserve">Wytheville Community College </t>
  </si>
  <si>
    <t xml:space="preserve">D.S. Lancaster Community College </t>
  </si>
  <si>
    <t>Eastern Shore Community College</t>
  </si>
  <si>
    <t>Mountain Empire Community College</t>
  </si>
  <si>
    <t>Paul D. Camp Community College</t>
  </si>
  <si>
    <t>Rappahannock Community College</t>
  </si>
  <si>
    <t xml:space="preserve">Richard Bland College </t>
  </si>
  <si>
    <t xml:space="preserve">Virginia Highlands Community College </t>
  </si>
  <si>
    <t>Met the criteria for Four-Year 4 in 2011-12 and 2012-13.</t>
  </si>
  <si>
    <t>Met the criteria for Two-Year 1 in 2011-12 and 2012-13.</t>
  </si>
  <si>
    <t>Clemson University</t>
  </si>
  <si>
    <t>University of South Carolina-Columbia</t>
  </si>
  <si>
    <t>College of Charleston</t>
  </si>
  <si>
    <t xml:space="preserve">Winthrop University </t>
  </si>
  <si>
    <t xml:space="preserve">The Citadel, the Military College of South Carolina </t>
  </si>
  <si>
    <t>Coastal Carolina University</t>
  </si>
  <si>
    <t xml:space="preserve">Francis Marion University </t>
  </si>
  <si>
    <t xml:space="preserve">South Carolina State University </t>
  </si>
  <si>
    <t>Lander University</t>
  </si>
  <si>
    <t>University of South Carolina-Aiken</t>
  </si>
  <si>
    <t>University of South Carolina-Beaufort</t>
  </si>
  <si>
    <t>University of South Carolina-Upstate</t>
  </si>
  <si>
    <t xml:space="preserve">Greenville Technical College </t>
  </si>
  <si>
    <t xml:space="preserve">Horry-Georgetown Technical College </t>
  </si>
  <si>
    <t xml:space="preserve">Midlands Technical College </t>
  </si>
  <si>
    <t xml:space="preserve">Tri-County Technical College </t>
  </si>
  <si>
    <t xml:space="preserve">Trident Technical College </t>
  </si>
  <si>
    <t xml:space="preserve">Aiken Technical College </t>
  </si>
  <si>
    <t xml:space="preserve">Central Carolina Technical College </t>
  </si>
  <si>
    <t xml:space="preserve">Florence-Darlington Technical College </t>
  </si>
  <si>
    <t xml:space="preserve">Orangeburg-Calhoun Technical College </t>
  </si>
  <si>
    <t xml:space="preserve">Piedmont Technical College </t>
  </si>
  <si>
    <t xml:space="preserve">Spartanburg Community College </t>
  </si>
  <si>
    <t xml:space="preserve">York Technical College </t>
  </si>
  <si>
    <t xml:space="preserve">Denmark Technical College </t>
  </si>
  <si>
    <t xml:space="preserve">Northeastern Technical College </t>
  </si>
  <si>
    <t>Technical College of the Lowcountry</t>
  </si>
  <si>
    <t>University of South Carolina-Lancaster</t>
  </si>
  <si>
    <t>University of South Carolina-Salkehatchie</t>
  </si>
  <si>
    <t>University of South Carolina-Sumter</t>
  </si>
  <si>
    <t>University of South Carolina-Union</t>
  </si>
  <si>
    <t xml:space="preserve">Willamsburg Technical College </t>
  </si>
  <si>
    <t>Reclassified: Met the criteria for Two-year 1 in 2010-11, 2011-12, and 2012-13.</t>
  </si>
  <si>
    <t xml:space="preserve">Hinds Community College </t>
  </si>
  <si>
    <t xml:space="preserve">Itawamba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</si>
  <si>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</si>
  <si>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</si>
  <si>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</si>
  <si>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</si>
  <si>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</si>
  <si>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</si>
  <si>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</si>
  <si>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</si>
  <si>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</si>
  <si>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</si>
  <si>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</si>
  <si>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</si>
  <si>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</si>
  <si>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Met criteria for Two-Year 1 in 2012-13.</t>
  </si>
  <si>
    <t>Percent of Undergraduate Instructional Activity in Traditional Classroom Instruction by Type of Institution, 2012</t>
  </si>
  <si>
    <t>Percent of Undergraduate Instructional Activity in e-Learning by Type of Institution, 2012</t>
  </si>
  <si>
    <t>by Type of Institution, 2012</t>
  </si>
  <si>
    <t xml:space="preserve">Public Four-Year 1 Institutions, 2011 </t>
  </si>
  <si>
    <t>Public Four-Year 1 Institutions, 2012</t>
  </si>
  <si>
    <t>Public Four-Year 2 Institutions, 2012</t>
  </si>
  <si>
    <t>Public Four-Year 3 Institutions, 2012</t>
  </si>
  <si>
    <t>Public Four-Year 4 Institutions, 2012</t>
  </si>
  <si>
    <t>Public Four-Year 5 Institutions, 2012</t>
  </si>
  <si>
    <t>Public Four-Year 6 Institutions, 2012</t>
  </si>
  <si>
    <t>Public Two-Year, 2012</t>
  </si>
  <si>
    <t>Public Two-Year with Bachelor's Institutions, 2012</t>
  </si>
  <si>
    <t>Public Two-Year 1 Institutions, 2012</t>
  </si>
  <si>
    <t>Public Two-Year 2 Institutions, 2012</t>
  </si>
  <si>
    <t>Public Two-Year 3 Institutions, 2012</t>
  </si>
  <si>
    <t>Public Technical Institutes or Colleges, 2012</t>
  </si>
  <si>
    <t>Public Technical Institutes or Colleges 1, 2012</t>
  </si>
  <si>
    <t>Public Technical Institutes or Colleges 2, 2012</t>
  </si>
  <si>
    <r>
      <t>Part 5: Credit</t>
    </r>
    <r>
      <rPr>
        <b/>
        <sz val="14"/>
        <color rgb="FFFF0000"/>
        <rFont val="Arial"/>
        <family val="2"/>
      </rPr>
      <t xml:space="preserve"> </t>
    </r>
    <r>
      <rPr>
        <b/>
        <sz val="14"/>
        <color theme="0"/>
        <rFont val="Arial"/>
        <family val="2"/>
      </rPr>
      <t>Hours by Mode of Instruction</t>
    </r>
  </si>
  <si>
    <t>(blank)</t>
  </si>
  <si>
    <t>(blank) Total</t>
  </si>
  <si>
    <t xml:space="preserve">Chipola College </t>
  </si>
  <si>
    <t xml:space="preserve">Daytona State College </t>
  </si>
  <si>
    <t xml:space="preserve">Edison State College </t>
  </si>
  <si>
    <t>Florida State College at Jacksonville</t>
  </si>
  <si>
    <t xml:space="preserve">Indian River State College </t>
  </si>
  <si>
    <t xml:space="preserve">Miami Dade College </t>
  </si>
  <si>
    <t>Northwest Florida State College</t>
  </si>
  <si>
    <t xml:space="preserve">St. Petersburg College </t>
  </si>
  <si>
    <t xml:space="preserve">Brevard Community College </t>
  </si>
  <si>
    <t xml:space="preserve">Broward College </t>
  </si>
  <si>
    <t>College of Central Florida</t>
  </si>
  <si>
    <t xml:space="preserve">Hillsborough Community College </t>
  </si>
  <si>
    <t xml:space="preserve">Palm Beach State College </t>
  </si>
  <si>
    <t xml:space="preserve">Pasco-Hernando Community College </t>
  </si>
  <si>
    <t xml:space="preserve">Pensacola State College </t>
  </si>
  <si>
    <t xml:space="preserve">Polk State College </t>
  </si>
  <si>
    <t xml:space="preserve">Santa Fe College </t>
  </si>
  <si>
    <t>Seminole State College of Florida</t>
  </si>
  <si>
    <t>State College of Florida, Manatee-Sarasota</t>
  </si>
  <si>
    <t xml:space="preserve">Tallahassee Community College </t>
  </si>
  <si>
    <t xml:space="preserve">Valencia Community College </t>
  </si>
  <si>
    <t>Florida Gateway College</t>
  </si>
  <si>
    <t xml:space="preserve">Gulf Coast Community College </t>
  </si>
  <si>
    <t xml:space="preserve">Lake-Sumter Community College </t>
  </si>
  <si>
    <t xml:space="preserve">South Florida Community College </t>
  </si>
  <si>
    <t xml:space="preserve">St. Johns River Community College </t>
  </si>
  <si>
    <t xml:space="preserve">Florida Keys Community College </t>
  </si>
  <si>
    <t xml:space="preserve">North Florida Community College </t>
  </si>
  <si>
    <t>Met the criteria for Two-Year with Bachelor's in 2011-12 and 2012-13.</t>
  </si>
  <si>
    <t>Met the criteria for Two-Year with Bachelor's in 2012-13.</t>
  </si>
  <si>
    <t xml:space="preserve"> February 2014</t>
  </si>
  <si>
    <r>
      <t xml:space="preserve">1 </t>
    </r>
    <r>
      <rPr>
        <sz val="8"/>
        <rFont val="Arial"/>
        <family val="2"/>
      </rPr>
      <t>The "all four-year" figures include the Marion Military Institute, University of Arkansas for Medical Sciences, Georgia Health Sciences University, Southern Polytechnic State University, University of Maryland University College, and University of Maryland - Baltimore.</t>
    </r>
  </si>
  <si>
    <r>
      <t>1</t>
    </r>
    <r>
      <rPr>
        <sz val="8"/>
        <rFont val="Arial"/>
        <family val="2"/>
      </rPr>
      <t xml:space="preserve"> The "all four-year" figures include the Marion Military Institute, University of Arkansas for Medical Sciences, Georgia Health Sciences University, Southern Polytechnic State University, University of Maryland University College, and University of Maryland - Baltimore.</t>
    </r>
  </si>
  <si>
    <r>
      <t>2</t>
    </r>
    <r>
      <rPr>
        <sz val="8"/>
        <rFont val="Arial"/>
        <family val="2"/>
      </rPr>
      <t xml:space="preserve"> The university system in Florida uses an 80 percent rule; Florida's community colleges and Mississippi's community and junior colleges use a 75 percent rule to define e-learning so their figures here are likely lower than they would be if they used the 50 percent rule.</t>
    </r>
  </si>
  <si>
    <r>
      <t>All</t>
    </r>
    <r>
      <rPr>
        <b/>
        <vertAlign val="superscript"/>
        <sz val="9"/>
        <rFont val="Arial"/>
        <family val="2"/>
      </rPr>
      <t>1</t>
    </r>
  </si>
  <si>
    <r>
      <t>2</t>
    </r>
    <r>
      <rPr>
        <sz val="8"/>
        <rFont val="Arial"/>
        <family val="2"/>
      </rPr>
      <t xml:space="preserve"> The university system in Florida uses an 80 percent rule to define e-learning so their figures here are likely lower than they would be if they used the 50 percent rule.</t>
    </r>
  </si>
  <si>
    <r>
      <t>Public Four-Year Institutions</t>
    </r>
    <r>
      <rPr>
        <b/>
        <vertAlign val="superscript"/>
        <sz val="12"/>
        <rFont val="Arial"/>
        <family val="2"/>
      </rPr>
      <t>1</t>
    </r>
    <r>
      <rPr>
        <b/>
        <sz val="12"/>
        <rFont val="Arial"/>
        <family val="2"/>
      </rPr>
      <t>, 2012</t>
    </r>
  </si>
  <si>
    <r>
      <t>1</t>
    </r>
    <r>
      <rPr>
        <sz val="8"/>
        <rFont val="Arial"/>
        <family val="2"/>
      </rPr>
      <t>This "all four-year" table includes the Marion Military Institute, University of Arkansas for Medical Sciences, Georgia Health Sciences University, Southern Polytechnic State University, University of Maryland University College, and University of Maryland - Baltimore.</t>
    </r>
  </si>
  <si>
    <r>
      <t>2</t>
    </r>
    <r>
      <rPr>
        <sz val="8"/>
        <rFont val="Arial"/>
        <family val="2"/>
      </rPr>
      <t>Courses delivered via satellite, cable TV, broadcast TV/radio, closed-circuit TV, video tape, CD-ROMS, e-mail, etc.</t>
    </r>
  </si>
  <si>
    <r>
      <t>3</t>
    </r>
    <r>
      <rPr>
        <sz val="8"/>
        <rFont val="Arial"/>
        <family val="2"/>
      </rPr>
      <t>The university system in Florida uses an 80 percent rule to define e-learning so their figures here are likely lower than they would be if they used the 50 percent rule.</t>
    </r>
  </si>
  <si>
    <r>
      <t>Other</t>
    </r>
    <r>
      <rPr>
        <b/>
        <vertAlign val="superscript"/>
        <sz val="9"/>
        <rFont val="Arial"/>
        <family val="2"/>
      </rPr>
      <t>2</t>
    </r>
  </si>
  <si>
    <r>
      <t>Florida</t>
    </r>
    <r>
      <rPr>
        <vertAlign val="superscript"/>
        <sz val="10"/>
        <rFont val="Arial"/>
        <family val="2"/>
      </rPr>
      <t>3</t>
    </r>
  </si>
  <si>
    <r>
      <t>Public Four-Year Institutions</t>
    </r>
    <r>
      <rPr>
        <b/>
        <vertAlign val="superscript"/>
        <sz val="12"/>
        <rFont val="Arial"/>
        <family val="2"/>
      </rPr>
      <t>1</t>
    </r>
    <r>
      <rPr>
        <b/>
        <sz val="12"/>
        <rFont val="Arial"/>
        <family val="2"/>
      </rPr>
      <t>, 2011</t>
    </r>
  </si>
  <si>
    <t xml:space="preserve"> February 2013</t>
  </si>
  <si>
    <r>
      <t>All</t>
    </r>
    <r>
      <rPr>
        <b/>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</si>
</sst>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0_)"/>
    <numFmt numFmtId="165" formatCode="_(* #,##0_);_(* \(#,##0\);_(* &quot;-&quot;??_);_(@_)"/>
    <numFmt numFmtId="166" formatCode="0.0%"/>
    <numFmt numFmtId="167" formatCode="0.0"/>
    <numFmt numFmtId="168" formatCode="_(* #,##0.0_);_(* \(#,##0.0\);_(* &quot;-&quot;??_);_(@_)"/>
    <numFmt numFmtId="169" formatCode="0.000"/>
    <numFmt numFmtId="170" formatCode="#,##0.0"/>
    <numFmt numFmtId="171" formatCode="General_)"/>
    <numFmt numFmtId="172" formatCode="0.0000"/>
  </numFmts>
  <fonts count="79" x14ac:knownFonts="1">
    <font>
      <sz val="11"/>
      <color theme="1"/>
      <name val="Calibri"/>
      <family val="2"/>
      <scheme val="minor"/>
    </font>
    <font>
      <sz val="11"/>
      <color theme="1"/>
      <name val="Calibri"/>
      <family val="2"/>
      <scheme val="minor"/>
    </font>
    <font>
      <sz val="10"/>
      <name val="Arial"/>
      <family val="2"/>
    </font>
    <font>
      <b/>
      <sz val="10"/>
      <color indexed="10"/>
      <name val="Arial"/>
      <family val="2"/>
    </font>
    <font>
      <sz val="8"/>
      <name val="Arial"/>
      <family val="2"/>
    </font>
    <font>
      <b/>
      <sz val="10"/>
      <name val="Arial"/>
      <family val="2"/>
    </font>
    <font>
      <b/>
      <sz val="10"/>
      <color indexed="12"/>
      <name val="Arial"/>
      <family val="2"/>
    </font>
    <font>
      <sz val="12"/>
      <name val="AGaramond"/>
      <family val="1"/>
    </font>
    <font>
      <sz val="10"/>
      <color indexed="12"/>
      <name val="Arial"/>
      <family val="2"/>
    </font>
    <font>
      <sz val="12"/>
      <name val="AGaramond"/>
      <family val="3"/>
    </font>
    <font>
      <sz val="10"/>
      <color rgb="FFC00000"/>
      <name val="Arial"/>
      <family val="2"/>
    </font>
    <font>
      <b/>
      <sz val="11"/>
      <color indexed="81"/>
      <name val="Tahoma"/>
      <family val="2"/>
    </font>
    <font>
      <b/>
      <sz val="10"/>
      <color indexed="81"/>
      <name val="Tahoma"/>
      <family val="2"/>
    </font>
    <font>
      <sz val="10"/>
      <color indexed="81"/>
      <name val="Tahoma"/>
      <family val="2"/>
    </font>
    <font>
      <sz val="11"/>
      <name val="Calibri"/>
      <family val="2"/>
      <scheme val="minor"/>
    </font>
    <font>
      <b/>
      <sz val="14"/>
      <name val="Arial"/>
      <family val="2"/>
    </font>
    <font>
      <sz val="14"/>
      <name val="Arial"/>
      <family val="2"/>
    </font>
    <font>
      <b/>
      <sz val="12"/>
      <color indexed="8"/>
      <name val="Arial"/>
      <family val="2"/>
    </font>
    <font>
      <b/>
      <sz val="10"/>
      <color indexed="8"/>
      <name val="Arial"/>
      <family val="2"/>
    </font>
    <font>
      <vertAlign val="superscript"/>
      <sz val="10"/>
      <name val="Arial"/>
      <family val="2"/>
    </font>
    <font>
      <vertAlign val="superscript"/>
      <sz val="8"/>
      <name val="Arial"/>
      <family val="2"/>
    </font>
    <font>
      <b/>
      <sz val="12"/>
      <name val="Arial"/>
      <family val="2"/>
    </font>
    <font>
      <b/>
      <sz val="9"/>
      <name val="Arial"/>
      <family val="2"/>
    </font>
    <font>
      <sz val="9"/>
      <name val="Arial"/>
      <family val="2"/>
    </font>
    <font>
      <b/>
      <vertAlign val="superscript"/>
      <sz val="9"/>
      <name val="Arial"/>
      <family val="2"/>
    </font>
    <font>
      <b/>
      <sz val="9"/>
      <color rgb="FFC00000"/>
      <name val="Arial"/>
      <family val="2"/>
    </font>
    <font>
      <sz val="14"/>
      <color rgb="FFC00000"/>
      <name val="Arial"/>
      <family val="2"/>
    </font>
    <font>
      <b/>
      <sz val="10"/>
      <color rgb="FFC00000"/>
      <name val="Arial"/>
      <family val="2"/>
    </font>
    <font>
      <sz val="8"/>
      <color rgb="FFC00000"/>
      <name val="Arial"/>
      <family val="2"/>
    </font>
    <font>
      <sz val="11"/>
      <color rgb="FFC00000"/>
      <name val="Calibri"/>
      <family val="2"/>
      <scheme val="minor"/>
    </font>
    <font>
      <sz val="9"/>
      <color rgb="FFC00000"/>
      <name val="Arial"/>
      <family val="2"/>
    </font>
    <font>
      <sz val="10"/>
      <color rgb="FF0000FF"/>
      <name val="Arial"/>
      <family val="2"/>
    </font>
    <font>
      <b/>
      <sz val="11"/>
      <name val="Calibri"/>
      <family val="2"/>
      <scheme val="minor"/>
    </font>
    <font>
      <sz val="11"/>
      <name val="Arial"/>
      <family val="2"/>
    </font>
    <font>
      <b/>
      <sz val="10"/>
      <color theme="0"/>
      <name val="Arial"/>
      <family val="2"/>
    </font>
    <font>
      <b/>
      <sz val="10"/>
      <color rgb="FF0000FF"/>
      <name val="Arial"/>
      <family val="2"/>
    </font>
    <font>
      <b/>
      <sz val="14"/>
      <color theme="0"/>
      <name val="Arial"/>
      <family val="2"/>
    </font>
    <font>
      <b/>
      <sz val="8"/>
      <name val="Times New Roman"/>
      <family val="1"/>
    </font>
    <font>
      <b/>
      <sz val="8"/>
      <color rgb="FFC00000"/>
      <name val="Times New Roman"/>
      <family val="1"/>
    </font>
    <font>
      <sz val="10"/>
      <color theme="1"/>
      <name val="Arial"/>
      <family val="2"/>
    </font>
    <font>
      <sz val="10"/>
      <color indexed="8"/>
      <name val="Arial"/>
      <family val="2"/>
    </font>
    <font>
      <sz val="11"/>
      <color indexed="8"/>
      <name val="Calibri"/>
      <family val="2"/>
    </font>
    <font>
      <sz val="10"/>
      <name val="Courier"/>
      <family val="3"/>
    </font>
    <font>
      <sz val="12"/>
      <name val="Arial"/>
      <family val="2"/>
    </font>
    <font>
      <sz val="12"/>
      <name val="AGaramond"/>
      <family val="1"/>
    </font>
    <font>
      <sz val="10"/>
      <name val="Helv"/>
    </font>
    <font>
      <sz val="12"/>
      <name val="AGaramond"/>
      <family val="1"/>
    </font>
    <font>
      <sz val="10"/>
      <color rgb="FF000000"/>
      <name val="Times New Roman"/>
      <family val="1"/>
    </font>
    <font>
      <sz val="10"/>
      <color rgb="FF000000"/>
      <name val="Times New Roman"/>
      <family val="1"/>
    </font>
    <font>
      <b/>
      <sz val="8"/>
      <color indexed="81"/>
      <name val="Tahoma"/>
      <family val="2"/>
    </font>
    <font>
      <sz val="8"/>
      <color indexed="81"/>
      <name val="Tahoma"/>
      <family val="2"/>
    </font>
    <font>
      <sz val="12"/>
      <name val="AGaramond"/>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rgb="FFFF0000"/>
      <name val="Arial"/>
      <family val="2"/>
    </font>
    <font>
      <b/>
      <sz val="8"/>
      <color rgb="FFFF0000"/>
      <name val="Times New Roman"/>
      <family val="1"/>
    </font>
    <font>
      <b/>
      <sz val="10"/>
      <color theme="1"/>
      <name val="Arial"/>
      <family val="2"/>
    </font>
    <font>
      <strike/>
      <sz val="8"/>
      <color theme="5"/>
      <name val="Arial"/>
      <family val="2"/>
    </font>
    <font>
      <strike/>
      <sz val="10"/>
      <color theme="5"/>
      <name val="Arial"/>
      <family val="2"/>
    </font>
    <font>
      <strike/>
      <sz val="10"/>
      <color rgb="FFC00000"/>
      <name val="Arial"/>
      <family val="2"/>
    </font>
    <font>
      <sz val="9"/>
      <color indexed="81"/>
      <name val="Tahoma"/>
      <family val="2"/>
    </font>
    <font>
      <b/>
      <sz val="9"/>
      <color indexed="81"/>
      <name val="Tahoma"/>
      <family val="2"/>
    </font>
    <font>
      <b/>
      <sz val="10"/>
      <color rgb="FFFF0000"/>
      <name val="Arial"/>
      <family val="2"/>
    </font>
    <font>
      <b/>
      <vertAlign val="superscript"/>
      <sz val="12"/>
      <name val="Arial"/>
      <family val="2"/>
    </font>
    <font>
      <b/>
      <vertAlign val="superscript"/>
      <sz val="10"/>
      <name val="Arial"/>
      <family val="2"/>
    </font>
  </fonts>
  <fills count="50">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theme="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00000"/>
        <bgColor indexed="64"/>
      </patternFill>
    </fill>
    <fill>
      <patternFill patternType="solid">
        <fgColor theme="0"/>
        <bgColor indexed="64"/>
      </patternFill>
    </fill>
    <fill>
      <patternFill patternType="solid">
        <fgColor indexed="46"/>
        <bgColor indexed="64"/>
      </patternFill>
    </fill>
    <fill>
      <patternFill patternType="solid">
        <fgColor rgb="FFFF99CC"/>
        <bgColor indexed="64"/>
      </patternFill>
    </fill>
    <fill>
      <patternFill patternType="solid">
        <fgColor rgb="FFFFFFCC"/>
      </patternFill>
    </fill>
    <fill>
      <patternFill patternType="solid">
        <fgColor indexed="44"/>
        <bgColor indexed="64"/>
      </patternFill>
    </fill>
    <fill>
      <patternFill patternType="solid">
        <fgColor indexed="44"/>
        <bgColor indexed="4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2"/>
        <bgColor indexed="42"/>
      </patternFill>
    </fill>
    <fill>
      <patternFill patternType="solid">
        <fgColor indexed="47"/>
        <bgColor indexed="42"/>
      </patternFill>
    </fill>
    <fill>
      <patternFill patternType="solid">
        <fgColor indexed="45"/>
        <bgColor indexed="42"/>
      </patternFill>
    </fill>
    <fill>
      <patternFill patternType="solid">
        <fgColor rgb="FFFFFF00"/>
        <bgColor indexed="64"/>
      </patternFill>
    </fill>
    <fill>
      <patternFill patternType="solid">
        <fgColor indexed="43"/>
        <bgColor indexed="42"/>
      </patternFill>
    </fill>
    <fill>
      <patternFill patternType="solid">
        <fgColor indexed="15"/>
        <bgColor indexed="64"/>
      </patternFill>
    </fill>
    <fill>
      <patternFill patternType="solid">
        <fgColor indexed="51"/>
        <bgColor indexed="64"/>
      </patternFill>
    </fill>
    <fill>
      <patternFill patternType="solid">
        <fgColor rgb="FFFFCC00"/>
        <bgColor indexed="64"/>
      </patternFill>
    </fill>
    <fill>
      <patternFill patternType="solid">
        <fgColor indexed="15"/>
        <bgColor indexed="42"/>
      </patternFill>
    </fill>
  </fills>
  <borders count="6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bottom/>
      <diagonal/>
    </border>
    <border>
      <left style="thin">
        <color indexed="65"/>
      </left>
      <right/>
      <top style="thin">
        <color indexed="8"/>
      </top>
      <bottom/>
      <diagonal/>
    </border>
    <border>
      <left style="thin">
        <color indexed="8"/>
      </left>
      <right/>
      <top style="thin">
        <color indexed="64"/>
      </top>
      <bottom/>
      <diagonal/>
    </border>
    <border>
      <left style="thin">
        <color indexed="65"/>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8"/>
      </left>
      <right/>
      <top style="thin">
        <color indexed="65"/>
      </top>
      <bottom/>
      <diagonal/>
    </border>
    <border>
      <left style="thin">
        <color indexed="64"/>
      </left>
      <right/>
      <top style="thin">
        <color indexed="8"/>
      </top>
      <bottom/>
      <diagonal/>
    </border>
    <border>
      <left style="thin">
        <color indexed="8"/>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diagonal/>
    </border>
    <border>
      <left style="double">
        <color indexed="64"/>
      </left>
      <right style="thin">
        <color indexed="64"/>
      </right>
      <top/>
      <bottom/>
      <diagonal/>
    </border>
    <border>
      <left style="medium">
        <color indexed="64"/>
      </left>
      <right style="medium">
        <color indexed="64"/>
      </right>
      <top/>
      <bottom/>
      <diagonal/>
    </border>
    <border>
      <left style="thin">
        <color indexed="64"/>
      </left>
      <right/>
      <top style="thin">
        <color auto="1"/>
      </top>
      <bottom/>
      <diagonal/>
    </border>
    <border>
      <left/>
      <right style="thin">
        <color indexed="64"/>
      </right>
      <top style="thin">
        <color indexed="64"/>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8"/>
      </left>
      <right/>
      <top style="thin">
        <color indexed="65"/>
      </top>
      <bottom style="thin">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right/>
      <top style="thin">
        <color indexed="65"/>
      </top>
      <bottom/>
      <diagonal/>
    </border>
    <border>
      <left style="thin">
        <color indexed="8"/>
      </left>
      <right style="thin">
        <color indexed="8"/>
      </right>
      <top style="thin">
        <color indexed="65"/>
      </top>
      <bottom style="thin">
        <color indexed="64"/>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style="thin">
        <color indexed="8"/>
      </right>
      <top/>
      <bottom style="thin">
        <color indexed="64"/>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bottom/>
      <diagonal/>
    </border>
    <border>
      <left style="thin">
        <color indexed="65"/>
      </left>
      <right style="thin">
        <color indexed="64"/>
      </right>
      <top style="thin">
        <color indexed="8"/>
      </top>
      <bottom/>
      <diagonal/>
    </border>
    <border>
      <left style="thin">
        <color indexed="8"/>
      </left>
      <right/>
      <top/>
      <bottom style="double">
        <color indexed="8"/>
      </bottom>
      <diagonal/>
    </border>
    <border>
      <left/>
      <right/>
      <top/>
      <bottom style="double">
        <color indexed="8"/>
      </bottom>
      <diagonal/>
    </border>
    <border>
      <left style="thin">
        <color indexed="64"/>
      </left>
      <right/>
      <top/>
      <bottom style="double">
        <color indexed="8"/>
      </bottom>
      <diagonal/>
    </border>
    <border>
      <left style="thin">
        <color indexed="8"/>
      </left>
      <right/>
      <top/>
      <bottom style="medium">
        <color indexed="8"/>
      </bottom>
      <diagonal/>
    </border>
    <border>
      <left/>
      <right/>
      <top/>
      <bottom style="medium">
        <color indexed="8"/>
      </bottom>
      <diagonal/>
    </border>
    <border>
      <left style="thin">
        <color indexed="64"/>
      </left>
      <right/>
      <top/>
      <bottom style="medium">
        <color indexed="8"/>
      </bottom>
      <diagonal/>
    </border>
    <border>
      <left style="medium">
        <color indexed="64"/>
      </left>
      <right style="medium">
        <color indexed="64"/>
      </right>
      <top style="medium">
        <color indexed="64"/>
      </top>
      <bottom style="medium">
        <color indexed="64"/>
      </bottom>
      <diagonal/>
    </border>
  </borders>
  <cellStyleXfs count="19659">
    <xf numFmtId="0" fontId="0" fillId="0" borderId="0"/>
    <xf numFmtId="9" fontId="1" fillId="0" borderId="0" applyFont="0" applyFill="0" applyBorder="0" applyAlignment="0" applyProtection="0"/>
    <xf numFmtId="0" fontId="2" fillId="0" borderId="0"/>
    <xf numFmtId="0" fontId="2" fillId="0" borderId="0"/>
    <xf numFmtId="0" fontId="2" fillId="0" borderId="0"/>
    <xf numFmtId="164" fontId="7" fillId="0" borderId="0"/>
    <xf numFmtId="43" fontId="2" fillId="0" borderId="0" applyFont="0" applyFill="0" applyBorder="0" applyAlignment="0" applyProtection="0"/>
    <xf numFmtId="43" fontId="9" fillId="0" borderId="0" applyFont="0" applyFill="0" applyBorder="0" applyAlignment="0" applyProtection="0"/>
    <xf numFmtId="164" fontId="7" fillId="0" borderId="0"/>
    <xf numFmtId="43" fontId="1" fillId="0" borderId="0" applyFont="0" applyFill="0" applyBorder="0" applyAlignment="0" applyProtection="0"/>
    <xf numFmtId="164" fontId="7" fillId="0" borderId="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0" fontId="2" fillId="0" borderId="0"/>
    <xf numFmtId="164" fontId="9" fillId="0" borderId="0"/>
    <xf numFmtId="164" fontId="9" fillId="0" borderId="0"/>
    <xf numFmtId="164" fontId="7" fillId="0" borderId="0"/>
    <xf numFmtId="0" fontId="1" fillId="0" borderId="0"/>
    <xf numFmtId="0" fontId="1" fillId="0" borderId="0"/>
    <xf numFmtId="43" fontId="1" fillId="0" borderId="0" applyFont="0" applyFill="0" applyBorder="0" applyAlignment="0" applyProtection="0"/>
    <xf numFmtId="0" fontId="39" fillId="0" borderId="0"/>
    <xf numFmtId="9" fontId="39" fillId="0" borderId="0" applyFont="0" applyFill="0" applyBorder="0" applyAlignment="0" applyProtection="0"/>
    <xf numFmtId="9" fontId="7" fillId="0" borderId="0" applyFont="0" applyFill="0" applyBorder="0" applyAlignment="0" applyProtection="0"/>
    <xf numFmtId="164" fontId="7" fillId="0" borderId="0"/>
    <xf numFmtId="0" fontId="1" fillId="0" borderId="0"/>
    <xf numFmtId="0" fontId="39" fillId="0" borderId="0"/>
    <xf numFmtId="9" fontId="39" fillId="0" borderId="0" applyFont="0" applyFill="0" applyBorder="0" applyAlignment="0" applyProtection="0"/>
    <xf numFmtId="43" fontId="39" fillId="0" borderId="0" applyFont="0" applyFill="0" applyBorder="0" applyAlignment="0" applyProtection="0"/>
    <xf numFmtId="0" fontId="41" fillId="0" borderId="0"/>
    <xf numFmtId="0" fontId="41" fillId="0" borderId="0"/>
    <xf numFmtId="0" fontId="41" fillId="0" borderId="0"/>
    <xf numFmtId="0" fontId="41" fillId="0" borderId="0"/>
    <xf numFmtId="0" fontId="40" fillId="0" borderId="0"/>
    <xf numFmtId="0" fontId="40" fillId="0" borderId="0">
      <alignment vertical="top"/>
    </xf>
    <xf numFmtId="0" fontId="2" fillId="0" borderId="0"/>
    <xf numFmtId="0" fontId="2" fillId="0" borderId="0"/>
    <xf numFmtId="0" fontId="1" fillId="0" borderId="0"/>
    <xf numFmtId="0" fontId="2" fillId="0" borderId="0"/>
    <xf numFmtId="0" fontId="42" fillId="0" borderId="0">
      <alignment horizontal="left" wrapText="1"/>
    </xf>
    <xf numFmtId="0" fontId="39" fillId="0" borderId="0"/>
    <xf numFmtId="0" fontId="43"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164" fontId="44" fillId="0" borderId="0"/>
    <xf numFmtId="9" fontId="9" fillId="0" borderId="0" applyFont="0" applyFill="0" applyBorder="0" applyAlignment="0" applyProtection="0"/>
    <xf numFmtId="3" fontId="2" fillId="0" borderId="28" applyFont="0"/>
    <xf numFmtId="164" fontId="5" fillId="0" borderId="20" applyNumberFormat="0" applyFont="0" applyBorder="0" applyAlignme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0" fontId="1" fillId="0" borderId="0"/>
    <xf numFmtId="0" fontId="1" fillId="0" borderId="0"/>
    <xf numFmtId="9" fontId="39" fillId="0" borderId="0" applyFont="0" applyFill="0" applyBorder="0" applyAlignment="0" applyProtection="0"/>
    <xf numFmtId="0" fontId="1" fillId="0" borderId="0"/>
    <xf numFmtId="0" fontId="1" fillId="0" borderId="0"/>
    <xf numFmtId="164" fontId="9" fillId="0" borderId="0"/>
    <xf numFmtId="43" fontId="9"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3" fontId="4" fillId="0" borderId="0"/>
    <xf numFmtId="43" fontId="7" fillId="0" borderId="0" applyFont="0" applyFill="0" applyBorder="0" applyAlignment="0" applyProtection="0"/>
    <xf numFmtId="171" fontId="45" fillId="0" borderId="0"/>
    <xf numFmtId="171" fontId="45" fillId="0" borderId="0"/>
    <xf numFmtId="3" fontId="2" fillId="0" borderId="28"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39" fillId="0" borderId="0"/>
    <xf numFmtId="9" fontId="39" fillId="0" borderId="0" applyFont="0" applyFill="0" applyBorder="0" applyAlignment="0" applyProtection="0"/>
    <xf numFmtId="0" fontId="1" fillId="0" borderId="0"/>
    <xf numFmtId="0" fontId="1" fillId="0" borderId="0"/>
    <xf numFmtId="0" fontId="41" fillId="0" borderId="0"/>
    <xf numFmtId="0" fontId="41" fillId="0" borderId="0"/>
    <xf numFmtId="0" fontId="41" fillId="0" borderId="0"/>
    <xf numFmtId="0" fontId="40" fillId="0" borderId="0">
      <alignment vertical="top"/>
    </xf>
    <xf numFmtId="0" fontId="1" fillId="0" borderId="0"/>
    <xf numFmtId="43" fontId="1" fillId="0" borderId="0" applyFont="0" applyFill="0" applyBorder="0" applyAlignment="0" applyProtection="0"/>
    <xf numFmtId="0" fontId="1" fillId="0" borderId="0"/>
    <xf numFmtId="0" fontId="1" fillId="0" borderId="0"/>
    <xf numFmtId="0" fontId="39" fillId="0" borderId="0"/>
    <xf numFmtId="0" fontId="2" fillId="0" borderId="0"/>
    <xf numFmtId="0" fontId="1" fillId="0" borderId="0"/>
    <xf numFmtId="0" fontId="1" fillId="0" borderId="0"/>
    <xf numFmtId="164" fontId="44" fillId="0" borderId="0"/>
    <xf numFmtId="164" fontId="44" fillId="0" borderId="0"/>
    <xf numFmtId="164" fontId="44" fillId="0" borderId="0"/>
    <xf numFmtId="164" fontId="44"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71" fontId="45" fillId="0" borderId="0"/>
    <xf numFmtId="0" fontId="1" fillId="0" borderId="0"/>
    <xf numFmtId="0" fontId="1" fillId="0" borderId="0"/>
    <xf numFmtId="0" fontId="1" fillId="0" borderId="0"/>
    <xf numFmtId="9" fontId="9"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64" fontId="44" fillId="0" borderId="0"/>
    <xf numFmtId="9" fontId="39" fillId="0" borderId="0" applyFont="0" applyFill="0" applyBorder="0" applyAlignment="0" applyProtection="0"/>
    <xf numFmtId="0" fontId="2" fillId="0" borderId="0"/>
    <xf numFmtId="164" fontId="46" fillId="0" borderId="0"/>
    <xf numFmtId="164" fontId="46" fillId="0" borderId="0"/>
    <xf numFmtId="164" fontId="46" fillId="0" borderId="0"/>
    <xf numFmtId="164" fontId="46" fillId="0" borderId="0"/>
    <xf numFmtId="0" fontId="1" fillId="0" borderId="0"/>
    <xf numFmtId="171" fontId="45" fillId="0" borderId="0"/>
    <xf numFmtId="164" fontId="46" fillId="0" borderId="0"/>
    <xf numFmtId="164" fontId="46" fillId="0" borderId="0"/>
    <xf numFmtId="164" fontId="46" fillId="0" borderId="0"/>
    <xf numFmtId="164" fontId="46" fillId="0" borderId="0"/>
    <xf numFmtId="164" fontId="46" fillId="0" borderId="0"/>
    <xf numFmtId="164" fontId="46"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164" fontId="46" fillId="0" borderId="0"/>
    <xf numFmtId="164" fontId="46" fillId="0" borderId="0"/>
    <xf numFmtId="164" fontId="46"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47" fillId="0" borderId="0"/>
    <xf numFmtId="0" fontId="48" fillId="0" borderId="0"/>
    <xf numFmtId="0" fontId="1" fillId="0" borderId="0"/>
    <xf numFmtId="0" fontId="47" fillId="0" borderId="0"/>
    <xf numFmtId="0" fontId="1" fillId="0" borderId="0"/>
    <xf numFmtId="164" fontId="46" fillId="0" borderId="0"/>
    <xf numFmtId="164" fontId="46"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71" fontId="45"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164" fontId="7" fillId="0" borderId="0"/>
    <xf numFmtId="164" fontId="7" fillId="0" borderId="0"/>
    <xf numFmtId="164" fontId="7" fillId="0" borderId="0"/>
    <xf numFmtId="164" fontId="7" fillId="0" borderId="0"/>
    <xf numFmtId="164" fontId="7" fillId="0" borderId="0"/>
    <xf numFmtId="164" fontId="7" fillId="0" borderId="0"/>
    <xf numFmtId="3" fontId="4" fillId="0" borderId="0"/>
    <xf numFmtId="164" fontId="9" fillId="0" borderId="0"/>
    <xf numFmtId="164" fontId="5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64" fontId="7" fillId="0" borderId="0"/>
    <xf numFmtId="164" fontId="7" fillId="0" borderId="0"/>
    <xf numFmtId="164" fontId="7" fillId="0" borderId="0"/>
    <xf numFmtId="0" fontId="4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 fillId="0" borderId="0"/>
    <xf numFmtId="164" fontId="7" fillId="0" borderId="0"/>
    <xf numFmtId="164" fontId="7" fillId="0" borderId="0"/>
    <xf numFmtId="0" fontId="1" fillId="0" borderId="0"/>
    <xf numFmtId="0" fontId="1" fillId="0" borderId="0"/>
    <xf numFmtId="0" fontId="1" fillId="0" borderId="0"/>
    <xf numFmtId="0" fontId="1" fillId="0" borderId="0"/>
    <xf numFmtId="0" fontId="1" fillId="0" borderId="0"/>
    <xf numFmtId="164" fontId="7" fillId="0" borderId="0"/>
    <xf numFmtId="164" fontId="7" fillId="0" borderId="0"/>
    <xf numFmtId="164" fontId="7" fillId="0" borderId="0"/>
    <xf numFmtId="164" fontId="7" fillId="0" borderId="0"/>
    <xf numFmtId="164" fontId="7" fillId="0" borderId="0"/>
    <xf numFmtId="164"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 fillId="0" borderId="0"/>
    <xf numFmtId="164" fontId="7" fillId="0" borderId="0"/>
    <xf numFmtId="164" fontId="7" fillId="0" borderId="0"/>
    <xf numFmtId="0" fontId="1" fillId="0" borderId="0"/>
    <xf numFmtId="0" fontId="1" fillId="0" borderId="0"/>
    <xf numFmtId="0" fontId="1" fillId="0" borderId="0"/>
    <xf numFmtId="0" fontId="1" fillId="0" borderId="0"/>
    <xf numFmtId="0" fontId="1" fillId="0" borderId="0"/>
    <xf numFmtId="164" fontId="7" fillId="0" borderId="0"/>
    <xf numFmtId="164" fontId="7" fillId="0" borderId="0"/>
    <xf numFmtId="164" fontId="7" fillId="0" borderId="0"/>
    <xf numFmtId="164" fontId="7" fillId="0" borderId="0"/>
    <xf numFmtId="164" fontId="7" fillId="0" borderId="0"/>
    <xf numFmtId="164"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applyNumberFormat="0" applyFill="0" applyBorder="0" applyAlignment="0" applyProtection="0"/>
    <xf numFmtId="0" fontId="1" fillId="0" borderId="0"/>
    <xf numFmtId="0" fontId="57" fillId="2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35"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58" fillId="0" borderId="50" applyNumberFormat="0" applyFill="0" applyAlignment="0" applyProtection="0"/>
    <xf numFmtId="0" fontId="53" fillId="19"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 fillId="0" borderId="0"/>
    <xf numFmtId="0" fontId="60" fillId="0" borderId="52" applyNumberFormat="0" applyFill="0" applyAlignment="0" applyProtection="0"/>
    <xf numFmtId="0" fontId="52" fillId="25" borderId="0" applyNumberFormat="0" applyBorder="0" applyAlignment="0" applyProtection="0"/>
    <xf numFmtId="0" fontId="65" fillId="0" borderId="0" applyNumberFormat="0" applyFill="0" applyBorder="0" applyAlignment="0" applyProtection="0"/>
    <xf numFmtId="0" fontId="1" fillId="0" borderId="0"/>
    <xf numFmtId="0" fontId="41" fillId="27" borderId="0" applyNumberFormat="0" applyBorder="0" applyAlignment="0" applyProtection="0"/>
    <xf numFmtId="9" fontId="2" fillId="0" borderId="0" applyFont="0" applyFill="0" applyBorder="0" applyAlignment="0" applyProtection="0"/>
    <xf numFmtId="0" fontId="52" fillId="30" borderId="0" applyNumberFormat="0" applyBorder="0" applyAlignment="0" applyProtection="0"/>
    <xf numFmtId="0" fontId="1" fillId="0" borderId="0"/>
    <xf numFmtId="0" fontId="1" fillId="0" borderId="0"/>
    <xf numFmtId="0" fontId="1" fillId="0" borderId="0"/>
    <xf numFmtId="0" fontId="1" fillId="0" borderId="0"/>
    <xf numFmtId="0" fontId="41" fillId="39" borderId="54" applyNumberFormat="0" applyFont="0" applyAlignment="0" applyProtection="0"/>
    <xf numFmtId="0" fontId="66" fillId="0" borderId="56" applyNumberFormat="0" applyFill="0" applyAlignment="0" applyProtection="0"/>
    <xf numFmtId="9" fontId="41" fillId="0" borderId="0" applyFont="0" applyFill="0" applyBorder="0" applyAlignment="0" applyProtection="0"/>
    <xf numFmtId="0" fontId="1" fillId="0" borderId="0"/>
    <xf numFmtId="0" fontId="61" fillId="23" borderId="48" applyNumberFormat="0" applyAlignment="0" applyProtection="0"/>
    <xf numFmtId="0" fontId="1" fillId="0" borderId="0"/>
    <xf numFmtId="0" fontId="2" fillId="39" borderId="54" applyNumberFormat="0" applyFont="0" applyAlignment="0" applyProtection="0"/>
    <xf numFmtId="0" fontId="64" fillId="36" borderId="55" applyNumberFormat="0" applyAlignment="0" applyProtection="0"/>
    <xf numFmtId="43" fontId="41" fillId="0" borderId="0" applyFont="0" applyFill="0" applyBorder="0" applyAlignment="0" applyProtection="0"/>
    <xf numFmtId="0" fontId="59" fillId="0" borderId="51" applyNumberFormat="0" applyFill="0" applyAlignment="0" applyProtection="0"/>
    <xf numFmtId="0" fontId="41" fillId="24" borderId="0" applyNumberFormat="0" applyBorder="0" applyAlignment="0" applyProtection="0"/>
    <xf numFmtId="164" fontId="9" fillId="0" borderId="0"/>
    <xf numFmtId="164" fontId="7" fillId="0" borderId="0"/>
    <xf numFmtId="0" fontId="52" fillId="26" borderId="0" applyNumberFormat="0" applyBorder="0" applyAlignment="0" applyProtection="0"/>
    <xf numFmtId="0" fontId="41" fillId="18" borderId="0" applyNumberFormat="0" applyBorder="0" applyAlignment="0" applyProtection="0"/>
    <xf numFmtId="164" fontId="7" fillId="0" borderId="0"/>
    <xf numFmtId="0" fontId="1" fillId="0" borderId="0"/>
    <xf numFmtId="0" fontId="1" fillId="0" borderId="0"/>
    <xf numFmtId="0" fontId="54" fillId="36" borderId="48" applyNumberFormat="0" applyAlignment="0" applyProtection="0"/>
    <xf numFmtId="0" fontId="55" fillId="37" borderId="49" applyNumberFormat="0" applyAlignment="0" applyProtection="0"/>
    <xf numFmtId="0" fontId="62" fillId="0" borderId="53" applyNumberFormat="0" applyFill="0" applyAlignment="0" applyProtection="0"/>
    <xf numFmtId="0" fontId="54" fillId="36" borderId="48" applyNumberFormat="0" applyAlignment="0" applyProtection="0"/>
    <xf numFmtId="0" fontId="52" fillId="34" borderId="0" applyNumberFormat="0" applyBorder="0" applyAlignment="0" applyProtection="0"/>
    <xf numFmtId="0" fontId="41" fillId="39" borderId="54" applyNumberFormat="0" applyFont="0" applyAlignment="0" applyProtection="0"/>
    <xf numFmtId="164" fontId="7" fillId="0" borderId="0"/>
    <xf numFmtId="0" fontId="52" fillId="28" borderId="0" applyNumberFormat="0" applyBorder="0" applyAlignment="0" applyProtection="0"/>
    <xf numFmtId="0" fontId="1" fillId="0" borderId="0"/>
    <xf numFmtId="0" fontId="1" fillId="0" borderId="0"/>
    <xf numFmtId="171" fontId="45" fillId="0" borderId="0"/>
    <xf numFmtId="0" fontId="47" fillId="0" borderId="0"/>
    <xf numFmtId="0" fontId="41" fillId="24" borderId="0" applyNumberFormat="0" applyBorder="0" applyAlignment="0" applyProtection="0"/>
    <xf numFmtId="0" fontId="1" fillId="0" borderId="0"/>
    <xf numFmtId="171" fontId="45" fillId="0" borderId="0"/>
    <xf numFmtId="0" fontId="1" fillId="0" borderId="0"/>
    <xf numFmtId="0" fontId="1" fillId="0" borderId="0"/>
    <xf numFmtId="0" fontId="2" fillId="0" borderId="0"/>
    <xf numFmtId="0" fontId="63" fillId="38" borderId="0" applyNumberFormat="0" applyBorder="0" applyAlignment="0" applyProtection="0"/>
    <xf numFmtId="0" fontId="52" fillId="29" borderId="0" applyNumberFormat="0" applyBorder="0" applyAlignment="0" applyProtection="0"/>
    <xf numFmtId="0" fontId="2" fillId="39" borderId="54" applyNumberFormat="0" applyFont="0" applyAlignment="0" applyProtection="0"/>
    <xf numFmtId="0" fontId="52" fillId="31" borderId="0" applyNumberFormat="0" applyBorder="0" applyAlignment="0" applyProtection="0"/>
    <xf numFmtId="171" fontId="45" fillId="0" borderId="0"/>
    <xf numFmtId="0" fontId="41" fillId="26" borderId="0" applyNumberFormat="0" applyBorder="0" applyAlignment="0" applyProtection="0"/>
    <xf numFmtId="0" fontId="1" fillId="15" borderId="47" applyNumberFormat="0" applyFont="0" applyAlignment="0" applyProtection="0"/>
    <xf numFmtId="0" fontId="61" fillId="23" borderId="48" applyNumberFormat="0" applyAlignment="0" applyProtection="0"/>
    <xf numFmtId="0" fontId="41" fillId="22" borderId="0" applyNumberFormat="0" applyBorder="0" applyAlignment="0" applyProtection="0"/>
    <xf numFmtId="0" fontId="41" fillId="20" borderId="0" applyNumberFormat="0" applyBorder="0" applyAlignment="0" applyProtection="0"/>
    <xf numFmtId="0" fontId="60" fillId="0" borderId="0" applyNumberFormat="0" applyFill="0" applyBorder="0" applyAlignment="0" applyProtection="0"/>
    <xf numFmtId="164" fontId="7" fillId="0" borderId="0"/>
    <xf numFmtId="0" fontId="52" fillId="32" borderId="0" applyNumberFormat="0" applyBorder="0" applyAlignment="0" applyProtection="0"/>
    <xf numFmtId="0" fontId="67" fillId="0" borderId="0" applyNumberFormat="0" applyFill="0" applyBorder="0" applyAlignment="0" applyProtection="0"/>
    <xf numFmtId="0" fontId="66" fillId="0" borderId="56" applyNumberFormat="0" applyFill="0" applyAlignment="0" applyProtection="0"/>
    <xf numFmtId="0" fontId="41" fillId="21" borderId="0" applyNumberFormat="0" applyBorder="0" applyAlignment="0" applyProtection="0"/>
    <xf numFmtId="0" fontId="64" fillId="36" borderId="55" applyNumberFormat="0" applyAlignment="0" applyProtection="0"/>
    <xf numFmtId="0" fontId="1" fillId="0" borderId="0"/>
    <xf numFmtId="0" fontId="52" fillId="29" borderId="0" applyNumberFormat="0" applyBorder="0" applyAlignment="0" applyProtection="0"/>
    <xf numFmtId="0" fontId="41" fillId="19" borderId="0" applyNumberFormat="0" applyBorder="0" applyAlignment="0" applyProtection="0"/>
    <xf numFmtId="0" fontId="41" fillId="21" borderId="0" applyNumberFormat="0" applyBorder="0" applyAlignment="0" applyProtection="0"/>
    <xf numFmtId="0" fontId="41" fillId="23" borderId="0" applyNumberFormat="0" applyBorder="0" applyAlignment="0" applyProtection="0"/>
    <xf numFmtId="0" fontId="52" fillId="33" borderId="0" applyNumberFormat="0" applyBorder="0" applyAlignment="0" applyProtection="0"/>
    <xf numFmtId="0" fontId="41" fillId="0" borderId="0"/>
    <xf numFmtId="0" fontId="41" fillId="25" borderId="0" applyNumberFormat="0" applyBorder="0" applyAlignment="0" applyProtection="0"/>
    <xf numFmtId="0" fontId="52"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171"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7" applyNumberFormat="0" applyFont="0" applyAlignment="0" applyProtection="0"/>
    <xf numFmtId="164" fontId="51" fillId="0" borderId="0"/>
    <xf numFmtId="171" fontId="45" fillId="0" borderId="0"/>
    <xf numFmtId="3" fontId="4"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4" fillId="0" borderId="0"/>
    <xf numFmtId="0" fontId="1" fillId="0" borderId="0"/>
    <xf numFmtId="0" fontId="1" fillId="0" borderId="0"/>
    <xf numFmtId="0" fontId="1" fillId="0" borderId="0"/>
    <xf numFmtId="0" fontId="1" fillId="0" borderId="0"/>
    <xf numFmtId="0" fontId="1" fillId="0" borderId="0"/>
    <xf numFmtId="0" fontId="1" fillId="0" borderId="0"/>
    <xf numFmtId="3" fontId="4" fillId="0" borderId="0"/>
    <xf numFmtId="171" fontId="45"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1" fillId="0" borderId="0"/>
    <xf numFmtId="171" fontId="45"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 fillId="0" borderId="0"/>
    <xf numFmtId="164" fontId="7"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7" applyNumberFormat="0" applyFont="0" applyAlignment="0" applyProtection="0"/>
    <xf numFmtId="164" fontId="5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1" fillId="0" borderId="0"/>
    <xf numFmtId="164" fontId="51" fillId="0" borderId="0"/>
    <xf numFmtId="171" fontId="45" fillId="0" borderId="0"/>
    <xf numFmtId="171" fontId="45" fillId="0" borderId="0"/>
    <xf numFmtId="171" fontId="45" fillId="0" borderId="0"/>
    <xf numFmtId="164" fontId="51" fillId="0" borderId="0"/>
    <xf numFmtId="164" fontId="51" fillId="0" borderId="0"/>
    <xf numFmtId="164" fontId="51" fillId="0" borderId="0"/>
    <xf numFmtId="164"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1" fillId="0" borderId="0"/>
    <xf numFmtId="164" fontId="51" fillId="0" borderId="0"/>
    <xf numFmtId="164" fontId="5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164" fontId="5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15" borderId="47" applyNumberFormat="0" applyFont="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7" applyNumberFormat="0" applyFont="0" applyAlignment="0" applyProtection="0"/>
    <xf numFmtId="3" fontId="4"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4" fillId="0" borderId="0"/>
    <xf numFmtId="164" fontId="51" fillId="0" borderId="0"/>
    <xf numFmtId="171" fontId="45" fillId="0" borderId="0"/>
    <xf numFmtId="164" fontId="51" fillId="0" borderId="0"/>
    <xf numFmtId="164" fontId="51"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9" fillId="0" borderId="0"/>
    <xf numFmtId="164" fontId="9" fillId="0" borderId="0"/>
    <xf numFmtId="3" fontId="4" fillId="0" borderId="0"/>
    <xf numFmtId="164" fontId="9" fillId="0" borderId="0"/>
    <xf numFmtId="164" fontId="7" fillId="0" borderId="0"/>
  </cellStyleXfs>
  <cellXfs count="691">
    <xf numFmtId="0" fontId="0" fillId="0" borderId="0" xfId="0"/>
    <xf numFmtId="0" fontId="2" fillId="0" borderId="0" xfId="2" applyFont="1"/>
    <xf numFmtId="3" fontId="6" fillId="2" borderId="3" xfId="3" applyNumberFormat="1" applyFont="1" applyFill="1" applyBorder="1" applyAlignment="1">
      <alignment horizontal="centerContinuous"/>
    </xf>
    <xf numFmtId="3" fontId="3" fillId="2" borderId="4" xfId="3" applyNumberFormat="1" applyFont="1" applyFill="1" applyBorder="1" applyAlignment="1">
      <alignment horizontal="centerContinuous"/>
    </xf>
    <xf numFmtId="0" fontId="6" fillId="0" borderId="9" xfId="3" applyFont="1" applyBorder="1" applyAlignment="1">
      <alignment horizontal="centerContinuous" wrapText="1"/>
    </xf>
    <xf numFmtId="0" fontId="6" fillId="0" borderId="4" xfId="3" applyFont="1" applyBorder="1" applyAlignment="1">
      <alignment horizontal="centerContinuous" wrapText="1"/>
    </xf>
    <xf numFmtId="49" fontId="2" fillId="4" borderId="0" xfId="3" applyNumberFormat="1" applyFont="1" applyFill="1" applyBorder="1" applyAlignment="1">
      <alignment horizontal="center"/>
    </xf>
    <xf numFmtId="49" fontId="2" fillId="4" borderId="0" xfId="3" applyNumberFormat="1" applyFont="1" applyFill="1" applyBorder="1" applyAlignment="1">
      <alignment horizontal="left"/>
    </xf>
    <xf numFmtId="0" fontId="2" fillId="4" borderId="0" xfId="3" applyFont="1" applyFill="1" applyBorder="1" applyAlignment="1">
      <alignment horizontal="center" wrapText="1"/>
    </xf>
    <xf numFmtId="0" fontId="2" fillId="0" borderId="0" xfId="2" applyFont="1" applyFill="1" applyBorder="1"/>
    <xf numFmtId="49" fontId="2" fillId="0" borderId="0" xfId="2" applyNumberFormat="1" applyFont="1" applyFill="1" applyBorder="1" applyAlignment="1">
      <alignment horizontal="center"/>
    </xf>
    <xf numFmtId="49" fontId="2" fillId="0" borderId="0" xfId="2" applyNumberFormat="1" applyFont="1" applyFill="1" applyBorder="1" applyAlignment="1">
      <alignment horizontal="left"/>
    </xf>
    <xf numFmtId="0" fontId="6" fillId="0" borderId="0" xfId="2" applyFont="1" applyFill="1" applyBorder="1"/>
    <xf numFmtId="0" fontId="8" fillId="0" borderId="0" xfId="2" applyFont="1" applyFill="1" applyBorder="1"/>
    <xf numFmtId="0" fontId="0" fillId="0" borderId="0" xfId="0" applyBorder="1"/>
    <xf numFmtId="0" fontId="0" fillId="0" borderId="0" xfId="0" applyFill="1"/>
    <xf numFmtId="37" fontId="15" fillId="0" borderId="0" xfId="0" applyNumberFormat="1" applyFont="1" applyFill="1" applyAlignment="1" applyProtection="1">
      <alignment horizontal="centerContinuous"/>
    </xf>
    <xf numFmtId="0" fontId="0" fillId="0" borderId="0" xfId="0" applyFill="1" applyAlignment="1">
      <alignment horizontal="centerContinuous"/>
    </xf>
    <xf numFmtId="37" fontId="5" fillId="0" borderId="0" xfId="0" applyNumberFormat="1" applyFont="1" applyFill="1" applyAlignment="1" applyProtection="1">
      <alignment horizontal="centerContinuous"/>
    </xf>
    <xf numFmtId="0" fontId="2" fillId="0" borderId="0" xfId="0" applyFont="1" applyFill="1" applyAlignment="1">
      <alignment horizontal="centerContinuous"/>
    </xf>
    <xf numFmtId="0" fontId="0" fillId="0" borderId="1" xfId="0" applyFill="1" applyBorder="1"/>
    <xf numFmtId="0" fontId="5" fillId="0" borderId="2" xfId="0" applyFont="1" applyFill="1" applyBorder="1" applyAlignment="1">
      <alignment horizontal="centerContinuous"/>
    </xf>
    <xf numFmtId="0" fontId="5" fillId="0" borderId="9" xfId="0" applyFont="1" applyFill="1" applyBorder="1" applyAlignment="1">
      <alignment horizontal="center"/>
    </xf>
    <xf numFmtId="0" fontId="5" fillId="0" borderId="3" xfId="0" applyFont="1" applyFill="1" applyBorder="1" applyAlignment="1">
      <alignment horizontal="center"/>
    </xf>
    <xf numFmtId="0" fontId="20" fillId="0" borderId="0" xfId="0" applyFont="1" applyFill="1" applyBorder="1"/>
    <xf numFmtId="0" fontId="4" fillId="0" borderId="0" xfId="0" applyFont="1" applyFill="1"/>
    <xf numFmtId="0" fontId="4" fillId="0" borderId="0" xfId="0" applyFont="1" applyFill="1" applyBorder="1"/>
    <xf numFmtId="49" fontId="4" fillId="0" borderId="0" xfId="0" quotePrefix="1" applyNumberFormat="1" applyFont="1" applyFill="1" applyAlignment="1">
      <alignment horizontal="right"/>
    </xf>
    <xf numFmtId="0" fontId="2" fillId="0" borderId="0" xfId="0" applyFont="1" applyFill="1"/>
    <xf numFmtId="0" fontId="5" fillId="0" borderId="4" xfId="0" applyFont="1" applyFill="1" applyBorder="1" applyAlignment="1">
      <alignment horizontal="centerContinuous"/>
    </xf>
    <xf numFmtId="0" fontId="20" fillId="0" borderId="0" xfId="0" applyFont="1" applyFill="1" applyBorder="1" applyAlignment="1">
      <alignment wrapText="1"/>
    </xf>
    <xf numFmtId="0" fontId="5" fillId="0" borderId="0" xfId="0" applyFont="1" applyFill="1"/>
    <xf numFmtId="0" fontId="5" fillId="0" borderId="0" xfId="0" applyFont="1" applyFill="1" applyAlignment="1">
      <alignment horizontal="center"/>
    </xf>
    <xf numFmtId="0" fontId="0" fillId="0" borderId="0" xfId="0" applyFill="1" applyAlignment="1">
      <alignment horizontal="center"/>
    </xf>
    <xf numFmtId="0" fontId="16" fillId="0" borderId="0" xfId="0" applyFont="1" applyFill="1" applyAlignment="1">
      <alignment horizontal="centerContinuous"/>
    </xf>
    <xf numFmtId="0" fontId="16" fillId="0" borderId="0" xfId="0" applyFont="1" applyFill="1" applyBorder="1" applyAlignment="1">
      <alignment horizontal="centerContinuous"/>
    </xf>
    <xf numFmtId="0" fontId="2" fillId="0" borderId="0" xfId="0" applyFont="1" applyFill="1" applyBorder="1" applyAlignment="1">
      <alignment horizontal="centerContinuous"/>
    </xf>
    <xf numFmtId="37" fontId="21" fillId="0" borderId="0" xfId="0" applyNumberFormat="1" applyFont="1" applyFill="1" applyAlignment="1" applyProtection="1">
      <alignment horizontal="centerContinuous"/>
    </xf>
    <xf numFmtId="165" fontId="2" fillId="0" borderId="0" xfId="6" applyNumberFormat="1" applyFont="1" applyFill="1" applyBorder="1" applyAlignment="1">
      <alignment horizontal="left"/>
    </xf>
    <xf numFmtId="0" fontId="2" fillId="0" borderId="1" xfId="0" applyFont="1" applyFill="1" applyBorder="1"/>
    <xf numFmtId="3" fontId="2" fillId="0" borderId="1" xfId="0" applyNumberFormat="1" applyFont="1" applyFill="1" applyBorder="1"/>
    <xf numFmtId="0" fontId="2" fillId="0" borderId="1" xfId="0" applyFont="1" applyFill="1" applyBorder="1" applyAlignment="1">
      <alignment horizontal="left"/>
    </xf>
    <xf numFmtId="3" fontId="2" fillId="0" borderId="0" xfId="0" applyNumberFormat="1" applyFont="1" applyFill="1" applyBorder="1"/>
    <xf numFmtId="37" fontId="22" fillId="0" borderId="0" xfId="0" applyNumberFormat="1" applyFont="1" applyFill="1" applyBorder="1" applyProtection="1"/>
    <xf numFmtId="0" fontId="22" fillId="0" borderId="2" xfId="0" applyFont="1" applyFill="1" applyBorder="1" applyAlignment="1">
      <alignment horizontal="centerContinuous"/>
    </xf>
    <xf numFmtId="0" fontId="22" fillId="0" borderId="0" xfId="0" applyFont="1" applyFill="1" applyBorder="1" applyAlignment="1">
      <alignment horizontal="centerContinuous"/>
    </xf>
    <xf numFmtId="165" fontId="23" fillId="0" borderId="0" xfId="6" applyNumberFormat="1" applyFont="1" applyFill="1" applyBorder="1" applyAlignment="1">
      <alignment horizontal="left"/>
    </xf>
    <xf numFmtId="165" fontId="22" fillId="0" borderId="0" xfId="6" applyNumberFormat="1" applyFont="1" applyFill="1" applyBorder="1" applyAlignment="1">
      <alignment horizontal="centerContinuous"/>
    </xf>
    <xf numFmtId="0" fontId="22" fillId="0" borderId="0" xfId="0" applyFont="1" applyFill="1"/>
    <xf numFmtId="0" fontId="22" fillId="0" borderId="19" xfId="0" applyFont="1" applyFill="1" applyBorder="1" applyAlignment="1">
      <alignment horizontal="centerContinuous"/>
    </xf>
    <xf numFmtId="0" fontId="22" fillId="0" borderId="2" xfId="0" applyFont="1" applyFill="1" applyBorder="1" applyAlignment="1">
      <alignment horizontal="center" wrapText="1"/>
    </xf>
    <xf numFmtId="0" fontId="22" fillId="0" borderId="4" xfId="0" applyFont="1" applyFill="1" applyBorder="1" applyAlignment="1">
      <alignment horizontal="center" wrapText="1"/>
    </xf>
    <xf numFmtId="0" fontId="22" fillId="0" borderId="9" xfId="0" applyFont="1" applyFill="1" applyBorder="1" applyAlignment="1">
      <alignment horizontal="center" wrapText="1"/>
    </xf>
    <xf numFmtId="0" fontId="22" fillId="0" borderId="3" xfId="0" applyFont="1" applyFill="1" applyBorder="1" applyAlignment="1">
      <alignment horizontal="centerContinuous"/>
    </xf>
    <xf numFmtId="0" fontId="22" fillId="0" borderId="4" xfId="0" applyFont="1" applyFill="1" applyBorder="1" applyAlignment="1">
      <alignment horizontal="centerContinuous"/>
    </xf>
    <xf numFmtId="0" fontId="22" fillId="0" borderId="7" xfId="0" applyFont="1" applyFill="1" applyBorder="1" applyAlignment="1">
      <alignment horizontal="center" wrapText="1"/>
    </xf>
    <xf numFmtId="3" fontId="25" fillId="0" borderId="0" xfId="0" applyNumberFormat="1" applyFont="1" applyFill="1"/>
    <xf numFmtId="0" fontId="25" fillId="0" borderId="0" xfId="0" applyFont="1" applyFill="1"/>
    <xf numFmtId="0" fontId="2" fillId="0" borderId="18" xfId="0" applyFont="1" applyFill="1" applyBorder="1" applyAlignment="1">
      <alignment horizontal="left"/>
    </xf>
    <xf numFmtId="167" fontId="2" fillId="0" borderId="0" xfId="1" applyNumberFormat="1" applyFont="1" applyFill="1" applyBorder="1" applyAlignment="1">
      <alignment horizontal="right"/>
    </xf>
    <xf numFmtId="167" fontId="2" fillId="0" borderId="6" xfId="1" applyNumberFormat="1" applyFont="1" applyFill="1" applyBorder="1" applyAlignment="1">
      <alignment horizontal="right"/>
    </xf>
    <xf numFmtId="169" fontId="2" fillId="0" borderId="0" xfId="1" applyNumberFormat="1" applyFont="1" applyFill="1" applyBorder="1" applyAlignment="1">
      <alignment horizontal="right"/>
    </xf>
    <xf numFmtId="0" fontId="2" fillId="0" borderId="18" xfId="0" applyFont="1" applyFill="1" applyBorder="1"/>
    <xf numFmtId="167" fontId="2" fillId="0" borderId="0" xfId="0" applyNumberFormat="1" applyFont="1" applyFill="1"/>
    <xf numFmtId="1" fontId="2" fillId="0" borderId="0" xfId="0" applyNumberFormat="1" applyFont="1" applyFill="1"/>
    <xf numFmtId="0" fontId="2" fillId="0" borderId="0" xfId="0" applyFont="1" applyFill="1" applyBorder="1"/>
    <xf numFmtId="167" fontId="2" fillId="0" borderId="11" xfId="1" applyNumberFormat="1" applyFont="1" applyFill="1" applyBorder="1" applyAlignment="1">
      <alignment horizontal="right"/>
    </xf>
    <xf numFmtId="2" fontId="2" fillId="0" borderId="0" xfId="1" applyNumberFormat="1" applyFont="1" applyFill="1" applyBorder="1" applyAlignment="1">
      <alignment horizontal="right"/>
    </xf>
    <xf numFmtId="2" fontId="2" fillId="0" borderId="11" xfId="1" applyNumberFormat="1" applyFont="1" applyFill="1" applyBorder="1" applyAlignment="1">
      <alignment horizontal="right"/>
    </xf>
    <xf numFmtId="168" fontId="4" fillId="0" borderId="0" xfId="6" applyNumberFormat="1" applyFont="1" applyFill="1" applyBorder="1" applyAlignment="1">
      <alignment horizontal="right"/>
    </xf>
    <xf numFmtId="168" fontId="4" fillId="0" borderId="0" xfId="6" applyNumberFormat="1" applyFont="1" applyFill="1" applyBorder="1" applyAlignment="1">
      <alignment horizontal="right" indent="1"/>
    </xf>
    <xf numFmtId="167" fontId="4" fillId="0" borderId="0" xfId="0" applyNumberFormat="1" applyFont="1" applyFill="1"/>
    <xf numFmtId="0" fontId="0" fillId="0" borderId="0" xfId="0" applyFill="1" applyAlignment="1"/>
    <xf numFmtId="3" fontId="22" fillId="0" borderId="0" xfId="0" applyNumberFormat="1" applyFont="1" applyFill="1"/>
    <xf numFmtId="3" fontId="2" fillId="0" borderId="0" xfId="0" applyNumberFormat="1" applyFont="1" applyFill="1"/>
    <xf numFmtId="0" fontId="20" fillId="0" borderId="0" xfId="0" applyFont="1" applyFill="1"/>
    <xf numFmtId="168" fontId="4" fillId="0" borderId="0" xfId="0" applyNumberFormat="1" applyFont="1" applyFill="1"/>
    <xf numFmtId="0" fontId="4" fillId="0" borderId="0" xfId="0" applyFont="1" applyFill="1" applyAlignment="1">
      <alignment horizontal="centerContinuous"/>
    </xf>
    <xf numFmtId="0" fontId="20" fillId="0" borderId="0" xfId="0" applyFont="1" applyFill="1" applyBorder="1" applyAlignment="1">
      <alignment vertical="top" wrapText="1"/>
    </xf>
    <xf numFmtId="0" fontId="0" fillId="0" borderId="0" xfId="0" applyBorder="1" applyAlignment="1">
      <alignment vertical="top" wrapText="1"/>
    </xf>
    <xf numFmtId="0" fontId="2" fillId="0" borderId="0" xfId="0" applyFont="1" applyFill="1" applyBorder="1" applyAlignment="1">
      <alignment horizontal="left"/>
    </xf>
    <xf numFmtId="167" fontId="2" fillId="0" borderId="0" xfId="6" applyNumberFormat="1" applyFont="1" applyFill="1" applyBorder="1" applyAlignment="1"/>
    <xf numFmtId="167" fontId="2" fillId="0" borderId="0" xfId="1" quotePrefix="1" applyNumberFormat="1" applyFont="1" applyFill="1" applyBorder="1" applyAlignment="1">
      <alignment horizontal="right"/>
    </xf>
    <xf numFmtId="167" fontId="2" fillId="0" borderId="0" xfId="6" applyNumberFormat="1" applyFont="1" applyFill="1" applyBorder="1" applyAlignment="1">
      <alignment horizontal="right"/>
    </xf>
    <xf numFmtId="167" fontId="2" fillId="0" borderId="0" xfId="6" applyNumberFormat="1" applyFont="1" applyFill="1" applyBorder="1" applyAlignment="1">
      <alignment horizontal="right" indent="1"/>
    </xf>
    <xf numFmtId="0" fontId="4" fillId="0" borderId="0" xfId="0" applyFont="1" applyFill="1" applyBorder="1" applyAlignment="1">
      <alignment horizontal="left"/>
    </xf>
    <xf numFmtId="167" fontId="2" fillId="0" borderId="0" xfId="1" quotePrefix="1" applyNumberFormat="1" applyFont="1" applyFill="1" applyBorder="1" applyAlignment="1">
      <alignment horizontal="left"/>
    </xf>
    <xf numFmtId="167" fontId="2" fillId="0" borderId="0" xfId="0" applyNumberFormat="1" applyFont="1" applyFill="1" applyBorder="1"/>
    <xf numFmtId="0" fontId="2" fillId="0" borderId="0" xfId="0" applyFont="1" applyFill="1" applyAlignment="1">
      <alignment horizontal="left"/>
    </xf>
    <xf numFmtId="165" fontId="26" fillId="0" borderId="0" xfId="6" applyNumberFormat="1" applyFont="1" applyFill="1" applyBorder="1" applyAlignment="1">
      <alignment horizontal="left"/>
    </xf>
    <xf numFmtId="165" fontId="26" fillId="0" borderId="0" xfId="6" applyNumberFormat="1" applyFont="1" applyFill="1" applyBorder="1" applyAlignment="1">
      <alignment horizontal="centerContinuous"/>
    </xf>
    <xf numFmtId="0" fontId="10" fillId="0" borderId="0" xfId="0" applyFont="1" applyFill="1"/>
    <xf numFmtId="165" fontId="10" fillId="0" borderId="0" xfId="6" applyNumberFormat="1" applyFont="1" applyFill="1" applyBorder="1" applyAlignment="1">
      <alignment horizontal="left"/>
    </xf>
    <xf numFmtId="165" fontId="10" fillId="0" borderId="0" xfId="6" applyNumberFormat="1" applyFont="1" applyFill="1" applyBorder="1" applyAlignment="1">
      <alignment horizontal="centerContinuous"/>
    </xf>
    <xf numFmtId="165" fontId="10" fillId="0" borderId="0" xfId="6" applyNumberFormat="1" applyFont="1" applyFill="1" applyBorder="1"/>
    <xf numFmtId="165" fontId="30" fillId="0" borderId="0" xfId="6" applyNumberFormat="1" applyFont="1" applyFill="1" applyBorder="1" applyAlignment="1">
      <alignment horizontal="left"/>
    </xf>
    <xf numFmtId="165" fontId="25" fillId="0" borderId="0" xfId="6" applyNumberFormat="1" applyFont="1" applyFill="1" applyBorder="1" applyAlignment="1">
      <alignment horizontal="centerContinuous"/>
    </xf>
    <xf numFmtId="168" fontId="10" fillId="0" borderId="0" xfId="6" applyNumberFormat="1" applyFont="1" applyFill="1" applyBorder="1" applyAlignment="1">
      <alignment horizontal="right"/>
    </xf>
    <xf numFmtId="167" fontId="10" fillId="0" borderId="0" xfId="0" applyNumberFormat="1" applyFont="1" applyFill="1"/>
    <xf numFmtId="1" fontId="10" fillId="0" borderId="0" xfId="0" applyNumberFormat="1" applyFont="1" applyFill="1"/>
    <xf numFmtId="0" fontId="10" fillId="0" borderId="0" xfId="0" applyFont="1" applyFill="1" applyBorder="1"/>
    <xf numFmtId="168" fontId="28" fillId="0" borderId="0" xfId="6" applyNumberFormat="1" applyFont="1" applyFill="1" applyBorder="1" applyAlignment="1">
      <alignment horizontal="right"/>
    </xf>
    <xf numFmtId="167" fontId="28" fillId="0" borderId="0" xfId="0" applyNumberFormat="1" applyFont="1" applyFill="1"/>
    <xf numFmtId="0" fontId="28" fillId="0" borderId="0" xfId="0" applyFont="1" applyFill="1"/>
    <xf numFmtId="3" fontId="10" fillId="0" borderId="0" xfId="0" applyNumberFormat="1" applyFont="1" applyFill="1"/>
    <xf numFmtId="0" fontId="28" fillId="0" borderId="0" xfId="0" applyFont="1" applyFill="1" applyBorder="1"/>
    <xf numFmtId="165" fontId="28" fillId="0" borderId="0" xfId="6" applyNumberFormat="1" applyFont="1" applyFill="1" applyBorder="1"/>
    <xf numFmtId="167" fontId="10" fillId="0" borderId="0" xfId="0" applyNumberFormat="1" applyFont="1" applyFill="1" applyBorder="1"/>
    <xf numFmtId="165" fontId="28" fillId="0" borderId="0" xfId="6" applyNumberFormat="1" applyFont="1" applyFill="1" applyBorder="1" applyAlignment="1">
      <alignment horizontal="left"/>
    </xf>
    <xf numFmtId="167" fontId="31" fillId="0" borderId="10" xfId="6" applyNumberFormat="1" applyFont="1" applyFill="1" applyBorder="1" applyAlignment="1">
      <alignment horizontal="right"/>
    </xf>
    <xf numFmtId="0" fontId="14" fillId="0" borderId="0" xfId="0" applyFont="1" applyFill="1" applyAlignment="1"/>
    <xf numFmtId="0" fontId="14" fillId="0" borderId="0" xfId="0" applyFont="1" applyBorder="1" applyAlignment="1">
      <alignment vertical="top" wrapText="1"/>
    </xf>
    <xf numFmtId="0" fontId="14" fillId="0" borderId="0" xfId="0" applyFont="1" applyFill="1" applyBorder="1" applyAlignment="1">
      <alignment vertical="top" wrapText="1"/>
    </xf>
    <xf numFmtId="49" fontId="15" fillId="0" borderId="0" xfId="0" applyNumberFormat="1" applyFont="1" applyFill="1" applyAlignment="1" applyProtection="1">
      <alignment horizontal="centerContinuous"/>
      <protection locked="0"/>
    </xf>
    <xf numFmtId="0" fontId="0" fillId="0" borderId="1" xfId="0" applyFill="1" applyBorder="1" applyAlignment="1">
      <alignment horizontal="centerContinuous"/>
    </xf>
    <xf numFmtId="167" fontId="2" fillId="0" borderId="12" xfId="0" applyNumberFormat="1" applyFont="1" applyFill="1" applyBorder="1" applyAlignment="1">
      <alignment horizontal="center"/>
    </xf>
    <xf numFmtId="167" fontId="2" fillId="0" borderId="10" xfId="0" applyNumberFormat="1" applyFont="1" applyFill="1" applyBorder="1" applyAlignment="1">
      <alignment horizontal="center"/>
    </xf>
    <xf numFmtId="167" fontId="2" fillId="0" borderId="13" xfId="0" applyNumberFormat="1" applyFont="1" applyFill="1" applyBorder="1" applyAlignment="1">
      <alignment horizontal="center"/>
    </xf>
    <xf numFmtId="167" fontId="2" fillId="0" borderId="19" xfId="0" applyNumberFormat="1" applyFont="1" applyFill="1" applyBorder="1" applyAlignment="1">
      <alignment horizontal="center"/>
    </xf>
    <xf numFmtId="167" fontId="2" fillId="0" borderId="5" xfId="0" applyNumberFormat="1" applyFont="1" applyFill="1" applyBorder="1" applyAlignment="1">
      <alignment horizontal="center"/>
    </xf>
    <xf numFmtId="167" fontId="2" fillId="0" borderId="7" xfId="0" applyNumberFormat="1" applyFont="1" applyFill="1" applyBorder="1" applyAlignment="1">
      <alignment horizontal="center"/>
    </xf>
    <xf numFmtId="0" fontId="2" fillId="0" borderId="5" xfId="0" applyFont="1" applyFill="1" applyBorder="1"/>
    <xf numFmtId="167" fontId="2" fillId="0" borderId="0" xfId="0" applyNumberFormat="1" applyFont="1" applyFill="1" applyAlignment="1">
      <alignment horizontal="center"/>
    </xf>
    <xf numFmtId="0" fontId="0" fillId="0" borderId="0" xfId="0" applyFill="1" applyBorder="1"/>
    <xf numFmtId="0" fontId="0" fillId="5" borderId="5" xfId="0" applyFill="1" applyBorder="1"/>
    <xf numFmtId="0" fontId="0" fillId="5" borderId="0" xfId="0" applyFill="1" applyBorder="1"/>
    <xf numFmtId="0" fontId="0" fillId="5" borderId="0" xfId="0" applyFill="1"/>
    <xf numFmtId="0" fontId="0" fillId="3" borderId="5" xfId="0" applyFill="1" applyBorder="1"/>
    <xf numFmtId="0" fontId="0" fillId="3" borderId="0" xfId="0" applyFill="1" applyBorder="1"/>
    <xf numFmtId="0" fontId="0" fillId="3" borderId="0" xfId="0" applyFill="1"/>
    <xf numFmtId="0" fontId="0" fillId="6" borderId="5" xfId="0" applyFill="1" applyBorder="1"/>
    <xf numFmtId="0" fontId="0" fillId="6" borderId="0" xfId="0" applyFill="1" applyBorder="1"/>
    <xf numFmtId="0" fontId="0" fillId="5" borderId="7" xfId="0" applyFill="1" applyBorder="1" applyAlignment="1">
      <alignment horizontal="centerContinuous"/>
    </xf>
    <xf numFmtId="0" fontId="0" fillId="5" borderId="8" xfId="0" applyFill="1" applyBorder="1" applyAlignment="1">
      <alignment horizontal="centerContinuous"/>
    </xf>
    <xf numFmtId="0" fontId="0" fillId="5" borderId="1" xfId="0" applyFill="1" applyBorder="1" applyAlignment="1">
      <alignment horizontal="centerContinuous"/>
    </xf>
    <xf numFmtId="0" fontId="0" fillId="3" borderId="7" xfId="0" applyFill="1" applyBorder="1" applyAlignment="1">
      <alignment horizontal="centerContinuous"/>
    </xf>
    <xf numFmtId="0" fontId="0" fillId="3" borderId="1" xfId="0" applyFill="1" applyBorder="1" applyAlignment="1">
      <alignment horizontal="centerContinuous"/>
    </xf>
    <xf numFmtId="0" fontId="0" fillId="6" borderId="7" xfId="0" applyFill="1" applyBorder="1" applyAlignment="1">
      <alignment horizontal="centerContinuous"/>
    </xf>
    <xf numFmtId="0" fontId="0" fillId="6" borderId="1" xfId="0" applyFill="1" applyBorder="1" applyAlignment="1">
      <alignment horizontal="centerContinuous"/>
    </xf>
    <xf numFmtId="165" fontId="0" fillId="0" borderId="5" xfId="6" applyNumberFormat="1" applyFont="1" applyBorder="1"/>
    <xf numFmtId="165" fontId="0" fillId="0" borderId="0" xfId="6" applyNumberFormat="1" applyFont="1"/>
    <xf numFmtId="165" fontId="0" fillId="5" borderId="0" xfId="6" applyNumberFormat="1" applyFont="1" applyFill="1" applyBorder="1"/>
    <xf numFmtId="165" fontId="0" fillId="0" borderId="0" xfId="6" applyNumberFormat="1" applyFont="1" applyBorder="1"/>
    <xf numFmtId="165" fontId="0" fillId="3" borderId="0" xfId="6" applyNumberFormat="1" applyFont="1" applyFill="1" applyBorder="1"/>
    <xf numFmtId="165" fontId="0" fillId="6" borderId="5" xfId="6" applyNumberFormat="1" applyFont="1" applyFill="1" applyBorder="1"/>
    <xf numFmtId="165" fontId="0" fillId="6" borderId="0" xfId="6" applyNumberFormat="1" applyFont="1" applyFill="1" applyBorder="1"/>
    <xf numFmtId="0" fontId="14" fillId="0" borderId="0" xfId="0" applyFont="1" applyFill="1" applyAlignment="1">
      <alignment horizontal="centerContinuous"/>
    </xf>
    <xf numFmtId="0" fontId="14" fillId="0" borderId="1" xfId="0" applyFont="1" applyFill="1" applyBorder="1"/>
    <xf numFmtId="0" fontId="14" fillId="0" borderId="0" xfId="0" applyFont="1" applyFill="1"/>
    <xf numFmtId="0" fontId="14" fillId="0" borderId="0" xfId="0" applyFont="1" applyFill="1" applyAlignment="1">
      <alignment wrapText="1"/>
    </xf>
    <xf numFmtId="0" fontId="14" fillId="0" borderId="0" xfId="0" applyFont="1" applyFill="1" applyAlignment="1">
      <alignment horizontal="center"/>
    </xf>
    <xf numFmtId="167" fontId="14" fillId="0" borderId="0" xfId="0" applyNumberFormat="1" applyFont="1" applyFill="1"/>
    <xf numFmtId="167" fontId="14" fillId="0" borderId="0" xfId="0" applyNumberFormat="1" applyFont="1" applyFill="1" applyBorder="1" applyAlignment="1">
      <alignment horizontal="right"/>
    </xf>
    <xf numFmtId="0" fontId="5" fillId="0" borderId="0" xfId="0" applyFont="1" applyFill="1" applyBorder="1"/>
    <xf numFmtId="0" fontId="5" fillId="0" borderId="0" xfId="0" applyFont="1" applyFill="1" applyBorder="1" applyAlignment="1">
      <alignment horizontal="center"/>
    </xf>
    <xf numFmtId="167" fontId="2" fillId="0" borderId="0" xfId="0" applyNumberFormat="1" applyFont="1" applyFill="1" applyBorder="1" applyAlignment="1">
      <alignment horizontal="right"/>
    </xf>
    <xf numFmtId="0" fontId="14" fillId="0" borderId="0" xfId="0" applyFont="1" applyFill="1" applyBorder="1"/>
    <xf numFmtId="2" fontId="2" fillId="0" borderId="0" xfId="0" applyNumberFormat="1" applyFont="1" applyFill="1" applyBorder="1" applyAlignment="1">
      <alignment horizontal="right"/>
    </xf>
    <xf numFmtId="0" fontId="14" fillId="0" borderId="15" xfId="0" applyFont="1" applyFill="1" applyBorder="1"/>
    <xf numFmtId="9" fontId="14" fillId="0" borderId="15" xfId="0" applyNumberFormat="1" applyFont="1" applyFill="1" applyBorder="1"/>
    <xf numFmtId="0" fontId="14" fillId="0" borderId="16" xfId="0" applyFont="1" applyFill="1" applyBorder="1"/>
    <xf numFmtId="0" fontId="14" fillId="0" borderId="17" xfId="0" applyFont="1" applyFill="1" applyBorder="1"/>
    <xf numFmtId="0" fontId="14" fillId="0" borderId="18" xfId="0" applyFont="1" applyFill="1" applyBorder="1"/>
    <xf numFmtId="0" fontId="14" fillId="0" borderId="19" xfId="0" applyFont="1" applyFill="1" applyBorder="1"/>
    <xf numFmtId="0" fontId="14" fillId="0" borderId="20" xfId="0" applyFont="1" applyFill="1" applyBorder="1"/>
    <xf numFmtId="166" fontId="14" fillId="0" borderId="21" xfId="0" applyNumberFormat="1" applyFont="1" applyFill="1" applyBorder="1"/>
    <xf numFmtId="0" fontId="32" fillId="0" borderId="20" xfId="0" applyFont="1" applyFill="1" applyBorder="1"/>
    <xf numFmtId="0" fontId="14" fillId="0" borderId="14" xfId="0" applyFont="1" applyFill="1" applyBorder="1"/>
    <xf numFmtId="166" fontId="14" fillId="0" borderId="14" xfId="0" applyNumberFormat="1" applyFont="1" applyFill="1" applyBorder="1"/>
    <xf numFmtId="166" fontId="14" fillId="0" borderId="0" xfId="0" applyNumberFormat="1" applyFont="1" applyFill="1" applyBorder="1"/>
    <xf numFmtId="166" fontId="14" fillId="0" borderId="5" xfId="0" applyNumberFormat="1" applyFont="1" applyFill="1" applyBorder="1"/>
    <xf numFmtId="168" fontId="14" fillId="0" borderId="0" xfId="9" applyNumberFormat="1" applyFont="1" applyFill="1"/>
    <xf numFmtId="0" fontId="32" fillId="0" borderId="22" xfId="0" applyFont="1" applyFill="1" applyBorder="1"/>
    <xf numFmtId="168" fontId="14" fillId="0" borderId="0" xfId="6" applyNumberFormat="1" applyFont="1" applyFill="1"/>
    <xf numFmtId="0" fontId="22" fillId="0" borderId="9" xfId="0" applyFont="1" applyFill="1" applyBorder="1" applyAlignment="1">
      <alignment horizontal="center"/>
    </xf>
    <xf numFmtId="167" fontId="33" fillId="0" borderId="10" xfId="0" applyNumberFormat="1" applyFont="1" applyFill="1" applyBorder="1" applyAlignment="1">
      <alignment horizontal="center"/>
    </xf>
    <xf numFmtId="167" fontId="33" fillId="0" borderId="5" xfId="0" applyNumberFormat="1" applyFont="1" applyFill="1" applyBorder="1" applyAlignment="1">
      <alignment horizontal="center"/>
    </xf>
    <xf numFmtId="167" fontId="33" fillId="0" borderId="7" xfId="0" applyNumberFormat="1" applyFont="1" applyFill="1" applyBorder="1" applyAlignment="1">
      <alignment horizontal="center"/>
    </xf>
    <xf numFmtId="167" fontId="33" fillId="0" borderId="19" xfId="0" applyNumberFormat="1" applyFont="1" applyFill="1" applyBorder="1" applyAlignment="1">
      <alignment horizontal="center"/>
    </xf>
    <xf numFmtId="49" fontId="34" fillId="7" borderId="23" xfId="10" applyNumberFormat="1" applyFont="1" applyFill="1" applyBorder="1" applyAlignment="1" applyProtection="1">
      <alignment horizontal="center"/>
      <protection locked="0"/>
    </xf>
    <xf numFmtId="49" fontId="34" fillId="7" borderId="24" xfId="10" applyNumberFormat="1" applyFont="1" applyFill="1" applyBorder="1" applyAlignment="1" applyProtection="1">
      <alignment horizontal="left"/>
      <protection locked="0"/>
    </xf>
    <xf numFmtId="1" fontId="34" fillId="7" borderId="24" xfId="10" applyNumberFormat="1" applyFont="1" applyFill="1" applyBorder="1" applyAlignment="1" applyProtection="1">
      <alignment horizontal="center"/>
      <protection locked="0"/>
    </xf>
    <xf numFmtId="1" fontId="34" fillId="7" borderId="25" xfId="10" applyNumberFormat="1" applyFont="1" applyFill="1" applyBorder="1" applyAlignment="1" applyProtection="1">
      <alignment horizontal="center"/>
      <protection locked="0"/>
    </xf>
    <xf numFmtId="0" fontId="35" fillId="9" borderId="7" xfId="3" applyFont="1" applyFill="1" applyBorder="1" applyAlignment="1" applyProtection="1">
      <alignment horizontal="center" wrapText="1"/>
    </xf>
    <xf numFmtId="0" fontId="5" fillId="10" borderId="13" xfId="3" applyFont="1" applyFill="1" applyBorder="1" applyAlignment="1" applyProtection="1">
      <alignment horizontal="center" wrapText="1"/>
      <protection locked="0"/>
    </xf>
    <xf numFmtId="0" fontId="5" fillId="0" borderId="13" xfId="3" applyFont="1" applyFill="1" applyBorder="1" applyAlignment="1" applyProtection="1">
      <alignment horizontal="center" wrapText="1"/>
      <protection locked="0"/>
    </xf>
    <xf numFmtId="0" fontId="5" fillId="0" borderId="0" xfId="2" applyFont="1" applyFill="1" applyProtection="1">
      <protection locked="0"/>
    </xf>
    <xf numFmtId="0" fontId="35" fillId="0" borderId="7" xfId="3" applyFont="1" applyFill="1" applyBorder="1" applyAlignment="1">
      <alignment horizontal="centerContinuous" wrapText="1"/>
    </xf>
    <xf numFmtId="0" fontId="35" fillId="0" borderId="8" xfId="3" applyFont="1" applyFill="1" applyBorder="1" applyAlignment="1">
      <alignment horizontal="centerContinuous" wrapText="1"/>
    </xf>
    <xf numFmtId="0" fontId="6" fillId="0" borderId="8" xfId="3" applyFont="1" applyFill="1" applyBorder="1" applyAlignment="1">
      <alignment horizontal="centerContinuous" wrapText="1"/>
    </xf>
    <xf numFmtId="0" fontId="5" fillId="0" borderId="7" xfId="3" applyFont="1" applyFill="1" applyBorder="1" applyAlignment="1">
      <alignment horizontal="centerContinuous" wrapText="1"/>
    </xf>
    <xf numFmtId="0" fontId="2" fillId="0" borderId="5" xfId="3" applyFont="1" applyFill="1" applyBorder="1" applyAlignment="1"/>
    <xf numFmtId="0" fontId="2" fillId="0" borderId="1" xfId="3" applyFont="1" applyFill="1" applyBorder="1" applyAlignment="1">
      <alignment horizontal="centerContinuous"/>
    </xf>
    <xf numFmtId="0" fontId="2" fillId="0" borderId="8" xfId="3" applyFont="1" applyFill="1" applyBorder="1" applyAlignment="1">
      <alignment horizontal="centerContinuous"/>
    </xf>
    <xf numFmtId="0" fontId="5" fillId="0" borderId="8" xfId="3" applyFont="1" applyBorder="1" applyAlignment="1">
      <alignment horizontal="centerContinuous" wrapText="1"/>
    </xf>
    <xf numFmtId="0" fontId="2" fillId="0" borderId="2" xfId="3" applyFont="1" applyFill="1" applyBorder="1" applyAlignment="1">
      <alignment horizontal="centerContinuous"/>
    </xf>
    <xf numFmtId="0" fontId="5" fillId="0" borderId="2" xfId="3" applyFont="1" applyFill="1" applyBorder="1" applyAlignment="1">
      <alignment horizontal="centerContinuous"/>
    </xf>
    <xf numFmtId="0" fontId="2" fillId="0" borderId="2" xfId="2" applyFont="1" applyBorder="1" applyAlignment="1">
      <alignment horizontal="centerContinuous"/>
    </xf>
    <xf numFmtId="0" fontId="5" fillId="0" borderId="13" xfId="3" applyFont="1" applyFill="1" applyBorder="1" applyAlignment="1">
      <alignment horizontal="center" wrapText="1"/>
    </xf>
    <xf numFmtId="0" fontId="5" fillId="0" borderId="13" xfId="3" applyFont="1" applyFill="1" applyBorder="1" applyAlignment="1">
      <alignment horizontal="centerContinuous" wrapText="1"/>
    </xf>
    <xf numFmtId="0" fontId="6" fillId="0" borderId="9" xfId="3" applyFont="1" applyFill="1" applyBorder="1" applyAlignment="1">
      <alignment horizontal="centerContinuous" wrapText="1"/>
    </xf>
    <xf numFmtId="0" fontId="6" fillId="0" borderId="4" xfId="3" applyFont="1" applyFill="1" applyBorder="1" applyAlignment="1">
      <alignment horizontal="centerContinuous" wrapText="1"/>
    </xf>
    <xf numFmtId="0" fontId="5" fillId="0" borderId="9" xfId="3" applyFont="1" applyFill="1" applyBorder="1" applyAlignment="1">
      <alignment horizontal="center" wrapText="1"/>
    </xf>
    <xf numFmtId="3" fontId="31" fillId="8" borderId="26" xfId="6" applyNumberFormat="1" applyFont="1" applyFill="1" applyBorder="1" applyAlignment="1" applyProtection="1"/>
    <xf numFmtId="3" fontId="35" fillId="9" borderId="5" xfId="6" applyNumberFormat="1" applyFont="1" applyFill="1" applyBorder="1" applyAlignment="1" applyProtection="1"/>
    <xf numFmtId="3" fontId="31" fillId="8" borderId="27" xfId="6" applyNumberFormat="1" applyFont="1" applyFill="1" applyBorder="1" applyAlignment="1" applyProtection="1"/>
    <xf numFmtId="3" fontId="35" fillId="9" borderId="10" xfId="6" applyNumberFormat="1" applyFont="1" applyFill="1" applyBorder="1" applyAlignment="1" applyProtection="1"/>
    <xf numFmtId="0" fontId="32" fillId="0" borderId="22" xfId="0" applyFont="1" applyFill="1" applyBorder="1" applyAlignment="1">
      <alignment horizontal="right"/>
    </xf>
    <xf numFmtId="170" fontId="32" fillId="0" borderId="22" xfId="0" applyNumberFormat="1" applyFont="1" applyFill="1" applyBorder="1"/>
    <xf numFmtId="170" fontId="32" fillId="0" borderId="1" xfId="0" applyNumberFormat="1" applyFont="1" applyFill="1" applyBorder="1"/>
    <xf numFmtId="170" fontId="32" fillId="0" borderId="7" xfId="0" applyNumberFormat="1" applyFont="1" applyFill="1" applyBorder="1"/>
    <xf numFmtId="1" fontId="0" fillId="0" borderId="0" xfId="0" applyNumberFormat="1"/>
    <xf numFmtId="1" fontId="0" fillId="0" borderId="0" xfId="0" applyNumberFormat="1" applyBorder="1"/>
    <xf numFmtId="49" fontId="2" fillId="11" borderId="0" xfId="5" applyNumberFormat="1" applyFont="1" applyFill="1" applyBorder="1" applyAlignment="1" applyProtection="1">
      <alignment horizontal="center"/>
      <protection locked="0"/>
    </xf>
    <xf numFmtId="49" fontId="2" fillId="11" borderId="0" xfId="5" applyNumberFormat="1" applyFont="1" applyFill="1" applyBorder="1" applyAlignment="1" applyProtection="1">
      <alignment horizontal="left"/>
      <protection locked="0"/>
    </xf>
    <xf numFmtId="1" fontId="2" fillId="11" borderId="0" xfId="8" applyNumberFormat="1" applyFont="1" applyFill="1" applyBorder="1" applyAlignment="1" applyProtection="1">
      <alignment horizontal="center"/>
      <protection locked="0"/>
    </xf>
    <xf numFmtId="0" fontId="36" fillId="7" borderId="24" xfId="7" applyNumberFormat="1" applyFont="1" applyFill="1" applyBorder="1" applyAlignment="1" applyProtection="1">
      <alignment horizontal="left"/>
      <protection locked="0"/>
    </xf>
    <xf numFmtId="165" fontId="5" fillId="0" borderId="0" xfId="13" applyNumberFormat="1" applyFont="1" applyFill="1" applyBorder="1" applyAlignment="1" applyProtection="1">
      <alignment horizontal="left" vertical="top"/>
      <protection locked="0"/>
    </xf>
    <xf numFmtId="164" fontId="5" fillId="0" borderId="0" xfId="10" applyFont="1" applyBorder="1" applyAlignment="1" applyProtection="1">
      <alignment horizontal="left" vertical="top"/>
      <protection locked="0"/>
    </xf>
    <xf numFmtId="49" fontId="5" fillId="12" borderId="5" xfId="10" applyNumberFormat="1" applyFont="1" applyFill="1" applyBorder="1" applyAlignment="1" applyProtection="1">
      <alignment horizontal="left" vertical="top"/>
      <protection locked="0"/>
    </xf>
    <xf numFmtId="49" fontId="5" fillId="12" borderId="0" xfId="10" applyNumberFormat="1" applyFont="1" applyFill="1" applyBorder="1" applyAlignment="1" applyProtection="1">
      <alignment horizontal="left" vertical="top"/>
      <protection locked="0"/>
    </xf>
    <xf numFmtId="0" fontId="34" fillId="7" borderId="24" xfId="15" applyNumberFormat="1" applyFont="1" applyFill="1" applyBorder="1" applyAlignment="1" applyProtection="1">
      <alignment horizontal="left" wrapText="1"/>
      <protection locked="0"/>
    </xf>
    <xf numFmtId="0" fontId="15" fillId="0" borderId="3" xfId="4" applyFont="1" applyFill="1" applyBorder="1" applyAlignment="1">
      <alignment horizontal="centerContinuous"/>
    </xf>
    <xf numFmtId="0" fontId="2" fillId="0" borderId="0" xfId="2" applyFont="1" applyAlignment="1">
      <alignment horizontal="centerContinuous"/>
    </xf>
    <xf numFmtId="0" fontId="6" fillId="0" borderId="30" xfId="3" applyFont="1" applyBorder="1" applyAlignment="1">
      <alignment horizontal="centerContinuous"/>
    </xf>
    <xf numFmtId="0" fontId="6" fillId="0" borderId="30" xfId="3" applyFont="1" applyFill="1" applyBorder="1" applyAlignment="1">
      <alignment horizontal="centerContinuous"/>
    </xf>
    <xf numFmtId="0" fontId="2" fillId="0" borderId="29" xfId="3" applyFont="1" applyFill="1" applyBorder="1" applyAlignment="1"/>
    <xf numFmtId="49" fontId="2" fillId="13" borderId="5" xfId="18" applyNumberFormat="1" applyFont="1" applyFill="1" applyBorder="1" applyAlignment="1" applyProtection="1">
      <alignment horizontal="center"/>
      <protection locked="0"/>
    </xf>
    <xf numFmtId="49" fontId="2" fillId="13" borderId="0" xfId="18" applyNumberFormat="1" applyFont="1" applyFill="1" applyBorder="1" applyAlignment="1" applyProtection="1">
      <alignment horizontal="left"/>
      <protection locked="0"/>
    </xf>
    <xf numFmtId="49" fontId="2" fillId="13" borderId="0" xfId="18" applyNumberFormat="1" applyFont="1" applyFill="1" applyBorder="1" applyAlignment="1" applyProtection="1">
      <alignment horizontal="center"/>
      <protection locked="0"/>
    </xf>
    <xf numFmtId="1" fontId="2" fillId="13" borderId="0" xfId="5" applyNumberFormat="1" applyFont="1" applyFill="1" applyBorder="1" applyAlignment="1" applyProtection="1">
      <alignment horizontal="center"/>
      <protection locked="0"/>
    </xf>
    <xf numFmtId="3" fontId="2" fillId="10" borderId="10" xfId="11" applyNumberFormat="1" applyFont="1" applyFill="1" applyBorder="1" applyProtection="1">
      <protection locked="0"/>
    </xf>
    <xf numFmtId="3" fontId="5" fillId="0" borderId="10" xfId="11" applyNumberFormat="1" applyFont="1" applyFill="1" applyBorder="1" applyProtection="1">
      <protection locked="0"/>
    </xf>
    <xf numFmtId="3" fontId="5" fillId="0" borderId="5" xfId="11" applyNumberFormat="1" applyFont="1" applyFill="1" applyBorder="1" applyProtection="1">
      <protection locked="0"/>
    </xf>
    <xf numFmtId="3" fontId="35" fillId="9" borderId="5" xfId="6" applyNumberFormat="1" applyFont="1" applyFill="1" applyBorder="1" applyAlignment="1" applyProtection="1"/>
    <xf numFmtId="3" fontId="31" fillId="8" borderId="26" xfId="6" applyNumberFormat="1" applyFont="1" applyFill="1" applyBorder="1" applyAlignment="1" applyProtection="1"/>
    <xf numFmtId="3" fontId="31" fillId="8" borderId="27" xfId="6" applyNumberFormat="1" applyFont="1" applyFill="1" applyBorder="1" applyAlignment="1" applyProtection="1"/>
    <xf numFmtId="3" fontId="35" fillId="9" borderId="10" xfId="6" applyNumberFormat="1" applyFont="1" applyFill="1" applyBorder="1" applyAlignment="1" applyProtection="1"/>
    <xf numFmtId="3" fontId="2" fillId="10" borderId="10" xfId="11" applyNumberFormat="1" applyFont="1" applyFill="1" applyBorder="1" applyAlignment="1" applyProtection="1">
      <alignment horizontal="right"/>
      <protection locked="0"/>
    </xf>
    <xf numFmtId="3" fontId="5" fillId="0" borderId="10" xfId="11" applyNumberFormat="1" applyFont="1" applyFill="1" applyBorder="1" applyAlignment="1" applyProtection="1">
      <alignment horizontal="right"/>
      <protection locked="0"/>
    </xf>
    <xf numFmtId="3" fontId="5" fillId="0" borderId="5" xfId="11" applyNumberFormat="1" applyFont="1" applyFill="1" applyBorder="1" applyAlignment="1" applyProtection="1">
      <alignment horizontal="right"/>
      <protection locked="0"/>
    </xf>
    <xf numFmtId="3" fontId="2" fillId="10" borderId="5" xfId="11" applyNumberFormat="1" applyFont="1" applyFill="1" applyBorder="1" applyAlignment="1" applyProtection="1">
      <alignment horizontal="right"/>
      <protection locked="0"/>
    </xf>
    <xf numFmtId="0" fontId="2" fillId="0" borderId="1" xfId="0" applyFont="1" applyFill="1" applyBorder="1"/>
    <xf numFmtId="167" fontId="2" fillId="0" borderId="0" xfId="1" applyNumberFormat="1" applyFont="1" applyFill="1" applyBorder="1" applyAlignment="1">
      <alignment horizontal="right"/>
    </xf>
    <xf numFmtId="0" fontId="2" fillId="0" borderId="0" xfId="0" applyFont="1" applyFill="1" applyBorder="1"/>
    <xf numFmtId="167" fontId="2" fillId="0" borderId="11" xfId="1" applyNumberFormat="1" applyFont="1" applyFill="1" applyBorder="1" applyAlignment="1">
      <alignment horizontal="right"/>
    </xf>
    <xf numFmtId="167" fontId="2" fillId="0" borderId="1" xfId="1" applyNumberFormat="1" applyFont="1" applyFill="1" applyBorder="1" applyAlignment="1">
      <alignment horizontal="right"/>
    </xf>
    <xf numFmtId="167" fontId="2" fillId="0" borderId="8" xfId="1" applyNumberFormat="1" applyFont="1" applyFill="1" applyBorder="1" applyAlignment="1">
      <alignment horizontal="right"/>
    </xf>
    <xf numFmtId="168" fontId="10" fillId="0" borderId="0" xfId="6" applyNumberFormat="1" applyFont="1" applyFill="1" applyBorder="1" applyAlignment="1">
      <alignment horizontal="right"/>
    </xf>
    <xf numFmtId="167" fontId="31" fillId="0" borderId="10" xfId="6" applyNumberFormat="1" applyFont="1" applyFill="1" applyBorder="1" applyAlignment="1">
      <alignment horizontal="right"/>
    </xf>
    <xf numFmtId="167" fontId="31" fillId="0" borderId="13" xfId="6" applyNumberFormat="1" applyFont="1" applyFill="1" applyBorder="1" applyAlignment="1">
      <alignment horizontal="right"/>
    </xf>
    <xf numFmtId="167" fontId="2" fillId="0" borderId="18" xfId="0" applyNumberFormat="1" applyFont="1" applyFill="1" applyBorder="1"/>
    <xf numFmtId="167" fontId="2" fillId="0" borderId="1" xfId="0" applyNumberFormat="1" applyFont="1" applyFill="1" applyBorder="1"/>
    <xf numFmtId="0" fontId="29" fillId="0" borderId="0" xfId="0" applyFont="1" applyFill="1"/>
    <xf numFmtId="169" fontId="2" fillId="0" borderId="11" xfId="1" applyNumberFormat="1" applyFont="1" applyFill="1" applyBorder="1" applyAlignment="1">
      <alignment horizontal="right"/>
    </xf>
    <xf numFmtId="2" fontId="2" fillId="0" borderId="8" xfId="1" applyNumberFormat="1" applyFont="1" applyFill="1" applyBorder="1" applyAlignment="1">
      <alignment horizontal="right"/>
    </xf>
    <xf numFmtId="172" fontId="2" fillId="0" borderId="0" xfId="1" applyNumberFormat="1" applyFont="1" applyFill="1" applyBorder="1" applyAlignment="1">
      <alignment horizontal="right"/>
    </xf>
    <xf numFmtId="172" fontId="2" fillId="0" borderId="11" xfId="1" applyNumberFormat="1" applyFont="1" applyFill="1" applyBorder="1" applyAlignment="1">
      <alignment horizontal="right"/>
    </xf>
    <xf numFmtId="165" fontId="14" fillId="0" borderId="0" xfId="9" applyNumberFormat="1" applyFont="1" applyFill="1"/>
    <xf numFmtId="165" fontId="14" fillId="0" borderId="0" xfId="9" applyNumberFormat="1" applyFont="1" applyFill="1" applyBorder="1"/>
    <xf numFmtId="165" fontId="14" fillId="0" borderId="1" xfId="9" applyNumberFormat="1" applyFont="1" applyFill="1" applyBorder="1"/>
    <xf numFmtId="3" fontId="14" fillId="0" borderId="0" xfId="9" applyNumberFormat="1" applyFont="1" applyFill="1" applyBorder="1"/>
    <xf numFmtId="3" fontId="1" fillId="0" borderId="0" xfId="9" applyNumberFormat="1" applyFont="1" applyFill="1" applyBorder="1"/>
    <xf numFmtId="3" fontId="14" fillId="0" borderId="0" xfId="9" applyNumberFormat="1" applyFont="1" applyFill="1" applyBorder="1" applyAlignment="1">
      <alignment horizontal="right"/>
    </xf>
    <xf numFmtId="3" fontId="2" fillId="0" borderId="0" xfId="9" applyNumberFormat="1" applyFont="1" applyFill="1" applyBorder="1"/>
    <xf numFmtId="3" fontId="29" fillId="0" borderId="0" xfId="9" applyNumberFormat="1" applyFont="1" applyFill="1" applyBorder="1"/>
    <xf numFmtId="0" fontId="0" fillId="0" borderId="34" xfId="0" applyFont="1" applyFill="1" applyBorder="1"/>
    <xf numFmtId="0" fontId="0" fillId="0" borderId="35" xfId="0" applyFont="1" applyFill="1" applyBorder="1"/>
    <xf numFmtId="0" fontId="14" fillId="0" borderId="34" xfId="0" applyFont="1" applyFill="1" applyBorder="1"/>
    <xf numFmtId="9" fontId="14" fillId="0" borderId="35" xfId="0" applyNumberFormat="1" applyFont="1" applyFill="1" applyBorder="1"/>
    <xf numFmtId="9" fontId="14" fillId="0" borderId="36" xfId="0" applyNumberFormat="1" applyFont="1" applyFill="1" applyBorder="1"/>
    <xf numFmtId="0" fontId="14" fillId="0" borderId="35" xfId="0" applyFont="1" applyFill="1" applyBorder="1"/>
    <xf numFmtId="0" fontId="14" fillId="0" borderId="37" xfId="0" applyFont="1" applyFill="1" applyBorder="1"/>
    <xf numFmtId="0" fontId="14" fillId="0" borderId="38" xfId="0" applyFont="1" applyFill="1" applyBorder="1"/>
    <xf numFmtId="3" fontId="14" fillId="0" borderId="14" xfId="0" applyNumberFormat="1" applyFont="1" applyFill="1" applyBorder="1"/>
    <xf numFmtId="3" fontId="14" fillId="0" borderId="0" xfId="0" applyNumberFormat="1" applyFont="1" applyFill="1" applyBorder="1"/>
    <xf numFmtId="3" fontId="14" fillId="0" borderId="39" xfId="0" applyNumberFormat="1" applyFont="1" applyFill="1" applyBorder="1"/>
    <xf numFmtId="3" fontId="14" fillId="0" borderId="22" xfId="0" applyNumberFormat="1" applyFont="1" applyFill="1" applyBorder="1"/>
    <xf numFmtId="3" fontId="14" fillId="0" borderId="1" xfId="0" applyNumberFormat="1" applyFont="1" applyFill="1" applyBorder="1"/>
    <xf numFmtId="3" fontId="14" fillId="0" borderId="40" xfId="0" applyNumberFormat="1" applyFont="1" applyFill="1" applyBorder="1"/>
    <xf numFmtId="3" fontId="0" fillId="0" borderId="0" xfId="0" applyNumberFormat="1" applyFont="1" applyFill="1" applyBorder="1"/>
    <xf numFmtId="3" fontId="0" fillId="0" borderId="41" xfId="0" applyNumberFormat="1" applyFont="1" applyFill="1" applyBorder="1"/>
    <xf numFmtId="3" fontId="0" fillId="0" borderId="1" xfId="0" applyNumberFormat="1" applyFont="1" applyFill="1" applyBorder="1"/>
    <xf numFmtId="0" fontId="0" fillId="0" borderId="31" xfId="0" applyFont="1" applyFill="1" applyBorder="1"/>
    <xf numFmtId="0" fontId="14" fillId="0" borderId="31" xfId="0" applyFont="1" applyFill="1" applyBorder="1"/>
    <xf numFmtId="0" fontId="14" fillId="0" borderId="33" xfId="0" applyFont="1" applyFill="1" applyBorder="1"/>
    <xf numFmtId="0" fontId="14" fillId="0" borderId="42" xfId="0" applyFont="1" applyFill="1" applyBorder="1"/>
    <xf numFmtId="0" fontId="14" fillId="0" borderId="32" xfId="0" applyFont="1" applyFill="1" applyBorder="1"/>
    <xf numFmtId="3" fontId="14" fillId="0" borderId="5" xfId="0" applyNumberFormat="1" applyFont="1" applyFill="1" applyBorder="1"/>
    <xf numFmtId="3" fontId="14" fillId="0" borderId="7" xfId="0" applyNumberFormat="1" applyFont="1" applyFill="1" applyBorder="1"/>
    <xf numFmtId="0" fontId="14" fillId="0" borderId="43" xfId="0" applyFont="1" applyFill="1" applyBorder="1"/>
    <xf numFmtId="0" fontId="14" fillId="0" borderId="44" xfId="0" applyFont="1" applyFill="1" applyBorder="1"/>
    <xf numFmtId="0" fontId="0" fillId="0" borderId="38" xfId="0" applyFont="1" applyFill="1" applyBorder="1"/>
    <xf numFmtId="9" fontId="14" fillId="0" borderId="38" xfId="0" applyNumberFormat="1" applyFont="1" applyFill="1" applyBorder="1"/>
    <xf numFmtId="3" fontId="14" fillId="0" borderId="46" xfId="0" applyNumberFormat="1" applyFont="1" applyFill="1" applyBorder="1"/>
    <xf numFmtId="3" fontId="14" fillId="0" borderId="45" xfId="0" applyNumberFormat="1" applyFont="1" applyFill="1" applyBorder="1"/>
    <xf numFmtId="0" fontId="5" fillId="0" borderId="0" xfId="0" applyFont="1" applyAlignment="1">
      <alignment horizontal="left"/>
    </xf>
    <xf numFmtId="0" fontId="0" fillId="0" borderId="0" xfId="0" applyAlignment="1">
      <alignment horizontal="left"/>
    </xf>
    <xf numFmtId="0" fontId="5" fillId="0" borderId="0" xfId="0" applyFont="1" applyFill="1" applyAlignment="1">
      <alignment horizontal="left"/>
    </xf>
    <xf numFmtId="0" fontId="0" fillId="0" borderId="0" xfId="0" applyFill="1" applyAlignment="1">
      <alignment horizontal="left"/>
    </xf>
    <xf numFmtId="1" fontId="0" fillId="0" borderId="1" xfId="0" applyNumberFormat="1" applyBorder="1" applyAlignment="1">
      <alignment horizontal="left"/>
    </xf>
    <xf numFmtId="1" fontId="2" fillId="5" borderId="3" xfId="0" applyNumberFormat="1" applyFont="1" applyFill="1" applyBorder="1" applyAlignment="1">
      <alignment horizontal="center"/>
    </xf>
    <xf numFmtId="1" fontId="2" fillId="5" borderId="4" xfId="0" applyNumberFormat="1" applyFont="1" applyFill="1" applyBorder="1" applyAlignment="1">
      <alignment horizontal="center"/>
    </xf>
    <xf numFmtId="1" fontId="0" fillId="3" borderId="3" xfId="0" applyNumberFormat="1" applyFill="1" applyBorder="1" applyAlignment="1">
      <alignment horizontal="center"/>
    </xf>
    <xf numFmtId="1" fontId="0" fillId="3" borderId="4" xfId="0" applyNumberFormat="1" applyFill="1" applyBorder="1" applyAlignment="1">
      <alignment horizontal="center"/>
    </xf>
    <xf numFmtId="1" fontId="0" fillId="6" borderId="3" xfId="0" applyNumberFormat="1" applyFill="1" applyBorder="1" applyAlignment="1">
      <alignment horizontal="center"/>
    </xf>
    <xf numFmtId="1" fontId="0" fillId="6" borderId="2" xfId="0" applyNumberFormat="1" applyFill="1" applyBorder="1" applyAlignment="1">
      <alignment horizontal="center"/>
    </xf>
    <xf numFmtId="0" fontId="0" fillId="0" borderId="1" xfId="0" applyBorder="1" applyAlignment="1">
      <alignment horizontal="left"/>
    </xf>
    <xf numFmtId="165" fontId="0" fillId="0" borderId="7" xfId="6" applyNumberFormat="1" applyFont="1" applyBorder="1"/>
    <xf numFmtId="165" fontId="0" fillId="0" borderId="1" xfId="6" applyNumberFormat="1" applyFont="1" applyBorder="1"/>
    <xf numFmtId="165" fontId="0" fillId="5" borderId="1" xfId="6" applyNumberFormat="1" applyFont="1" applyFill="1" applyBorder="1"/>
    <xf numFmtId="165" fontId="0" fillId="3" borderId="1" xfId="6" applyNumberFormat="1" applyFont="1" applyFill="1" applyBorder="1"/>
    <xf numFmtId="165" fontId="0" fillId="6" borderId="7" xfId="6" applyNumberFormat="1" applyFont="1" applyFill="1" applyBorder="1"/>
    <xf numFmtId="165" fontId="0" fillId="6" borderId="1" xfId="6" applyNumberFormat="1" applyFont="1" applyFill="1" applyBorder="1"/>
    <xf numFmtId="165" fontId="0" fillId="0" borderId="5" xfId="6" applyNumberFormat="1" applyFont="1" applyFill="1" applyBorder="1"/>
    <xf numFmtId="0" fontId="35" fillId="8" borderId="9" xfId="3" applyFont="1" applyFill="1" applyBorder="1" applyAlignment="1" applyProtection="1">
      <alignment horizontal="center" wrapText="1"/>
    </xf>
    <xf numFmtId="0" fontId="5" fillId="0" borderId="7" xfId="3" applyFont="1" applyFill="1" applyBorder="1" applyAlignment="1" applyProtection="1">
      <alignment horizontal="center" wrapText="1"/>
      <protection locked="0"/>
    </xf>
    <xf numFmtId="0" fontId="5" fillId="10" borderId="9" xfId="3" applyFont="1" applyFill="1" applyBorder="1" applyAlignment="1" applyProtection="1">
      <alignment horizontal="center" wrapText="1"/>
      <protection locked="0"/>
    </xf>
    <xf numFmtId="1" fontId="2" fillId="13" borderId="0" xfId="17" applyNumberFormat="1" applyFont="1" applyFill="1" applyBorder="1" applyAlignment="1" applyProtection="1">
      <alignment horizontal="center"/>
      <protection locked="0"/>
    </xf>
    <xf numFmtId="49" fontId="5" fillId="13" borderId="0" xfId="18" applyNumberFormat="1" applyFont="1" applyFill="1" applyBorder="1" applyAlignment="1" applyProtection="1">
      <alignment horizontal="left"/>
      <protection locked="0"/>
    </xf>
    <xf numFmtId="49" fontId="27" fillId="13" borderId="0" xfId="18" applyNumberFormat="1" applyFont="1" applyFill="1" applyBorder="1" applyAlignment="1" applyProtection="1">
      <alignment horizontal="left"/>
      <protection locked="0"/>
    </xf>
    <xf numFmtId="1" fontId="27" fillId="13" borderId="0" xfId="17" applyNumberFormat="1" applyFont="1" applyFill="1" applyBorder="1" applyAlignment="1" applyProtection="1">
      <alignment horizontal="center"/>
      <protection locked="0"/>
    </xf>
    <xf numFmtId="49" fontId="2" fillId="5" borderId="0" xfId="16" applyNumberFormat="1" applyFont="1" applyFill="1" applyBorder="1" applyAlignment="1" applyProtection="1">
      <alignment horizontal="left"/>
      <protection locked="0"/>
    </xf>
    <xf numFmtId="49" fontId="37" fillId="5" borderId="0" xfId="16" applyNumberFormat="1" applyFont="1" applyFill="1" applyBorder="1" applyAlignment="1" applyProtection="1">
      <alignment horizontal="left"/>
      <protection locked="0"/>
    </xf>
    <xf numFmtId="1" fontId="2" fillId="5" borderId="0" xfId="16" applyNumberFormat="1" applyFont="1" applyFill="1" applyBorder="1" applyAlignment="1" applyProtection="1">
      <alignment horizontal="center"/>
      <protection locked="0"/>
    </xf>
    <xf numFmtId="1" fontId="2" fillId="5" borderId="0" xfId="17" applyNumberFormat="1" applyFont="1" applyFill="1" applyBorder="1" applyAlignment="1" applyProtection="1">
      <alignment horizontal="center"/>
      <protection locked="0"/>
    </xf>
    <xf numFmtId="3" fontId="2" fillId="10" borderId="5" xfId="11" applyNumberFormat="1" applyFont="1" applyFill="1" applyBorder="1" applyProtection="1">
      <protection locked="0"/>
    </xf>
    <xf numFmtId="49" fontId="2" fillId="14" borderId="0" xfId="18" applyNumberFormat="1" applyFont="1" applyFill="1" applyBorder="1" applyAlignment="1" applyProtection="1">
      <alignment horizontal="left"/>
      <protection locked="0"/>
    </xf>
    <xf numFmtId="49" fontId="37" fillId="14" borderId="0" xfId="18" applyNumberFormat="1" applyFont="1" applyFill="1" applyBorder="1" applyAlignment="1" applyProtection="1">
      <alignment horizontal="left"/>
      <protection locked="0"/>
    </xf>
    <xf numFmtId="1" fontId="2" fillId="5" borderId="0" xfId="471" applyNumberFormat="1" applyFont="1" applyFill="1" applyBorder="1" applyAlignment="1" applyProtection="1">
      <alignment horizontal="center"/>
      <protection locked="0"/>
    </xf>
    <xf numFmtId="1" fontId="2" fillId="5" borderId="0" xfId="5" applyNumberFormat="1" applyFont="1" applyFill="1" applyBorder="1" applyAlignment="1" applyProtection="1">
      <alignment horizontal="center"/>
      <protection locked="0"/>
    </xf>
    <xf numFmtId="49" fontId="2" fillId="5" borderId="0" xfId="18" applyNumberFormat="1" applyFont="1" applyFill="1" applyBorder="1" applyAlignment="1" applyProtection="1">
      <alignment horizontal="left"/>
      <protection locked="0"/>
    </xf>
    <xf numFmtId="49" fontId="37" fillId="5" borderId="0" xfId="18" applyNumberFormat="1" applyFont="1" applyFill="1" applyBorder="1" applyAlignment="1" applyProtection="1">
      <alignment horizontal="left"/>
      <protection locked="0"/>
    </xf>
    <xf numFmtId="49" fontId="38" fillId="5" borderId="0" xfId="18" applyNumberFormat="1" applyFont="1" applyFill="1" applyBorder="1" applyAlignment="1" applyProtection="1">
      <alignment horizontal="left"/>
      <protection locked="0"/>
    </xf>
    <xf numFmtId="1" fontId="2" fillId="5" borderId="0" xfId="18" applyNumberFormat="1" applyFont="1" applyFill="1" applyBorder="1" applyAlignment="1" applyProtection="1">
      <alignment horizontal="center"/>
      <protection locked="0"/>
    </xf>
    <xf numFmtId="49" fontId="2" fillId="16" borderId="0" xfId="5" applyNumberFormat="1" applyFont="1" applyFill="1" applyBorder="1" applyAlignment="1" applyProtection="1">
      <alignment horizontal="center"/>
      <protection locked="0"/>
    </xf>
    <xf numFmtId="49" fontId="2" fillId="16" borderId="0" xfId="17" applyNumberFormat="1" applyFont="1" applyFill="1" applyBorder="1" applyAlignment="1" applyProtection="1">
      <alignment horizontal="center"/>
      <protection locked="0"/>
    </xf>
    <xf numFmtId="49" fontId="2" fillId="16" borderId="0" xfId="471" applyNumberFormat="1" applyFont="1" applyFill="1" applyBorder="1" applyAlignment="1" applyProtection="1">
      <alignment horizontal="center"/>
      <protection locked="0"/>
    </xf>
    <xf numFmtId="164" fontId="2" fillId="16" borderId="0" xfId="5" applyFont="1" applyFill="1" applyBorder="1" applyAlignment="1" applyProtection="1">
      <protection locked="0"/>
    </xf>
    <xf numFmtId="49" fontId="2" fillId="16" borderId="0" xfId="17" applyNumberFormat="1" applyFont="1" applyFill="1" applyBorder="1" applyAlignment="1" applyProtection="1">
      <alignment horizontal="left"/>
      <protection locked="0"/>
    </xf>
    <xf numFmtId="3" fontId="2" fillId="16" borderId="0" xfId="471" applyFont="1" applyFill="1" applyBorder="1" applyAlignment="1" applyProtection="1">
      <protection locked="0"/>
    </xf>
    <xf numFmtId="49" fontId="2" fillId="16" borderId="0" xfId="471" applyNumberFormat="1" applyFont="1" applyFill="1" applyBorder="1" applyAlignment="1" applyProtection="1">
      <alignment horizontal="left"/>
      <protection locked="0"/>
    </xf>
    <xf numFmtId="49" fontId="2" fillId="16" borderId="0" xfId="5" applyNumberFormat="1" applyFont="1" applyFill="1" applyBorder="1" applyAlignment="1" applyProtection="1">
      <alignment horizontal="left"/>
      <protection locked="0"/>
    </xf>
    <xf numFmtId="49" fontId="38" fillId="16" borderId="0" xfId="5" applyNumberFormat="1" applyFont="1" applyFill="1" applyBorder="1" applyAlignment="1" applyProtection="1">
      <alignment horizontal="left"/>
      <protection locked="0"/>
    </xf>
    <xf numFmtId="1" fontId="2" fillId="16" borderId="0" xfId="17" applyNumberFormat="1" applyFont="1" applyFill="1" applyBorder="1" applyAlignment="1" applyProtection="1">
      <alignment horizontal="center"/>
      <protection locked="0"/>
    </xf>
    <xf numFmtId="49" fontId="37" fillId="16" borderId="0" xfId="17" applyNumberFormat="1" applyFont="1" applyFill="1" applyBorder="1" applyAlignment="1" applyProtection="1">
      <alignment horizontal="left"/>
      <protection locked="0"/>
    </xf>
    <xf numFmtId="49" fontId="2" fillId="16" borderId="0" xfId="13" applyNumberFormat="1" applyFont="1" applyFill="1" applyBorder="1" applyAlignment="1" applyProtection="1">
      <alignment horizontal="center"/>
      <protection locked="0"/>
    </xf>
    <xf numFmtId="1" fontId="2" fillId="16" borderId="0" xfId="5" applyNumberFormat="1" applyFont="1" applyFill="1" applyBorder="1" applyAlignment="1" applyProtection="1">
      <alignment horizontal="center"/>
      <protection locked="0"/>
    </xf>
    <xf numFmtId="1" fontId="27" fillId="16" borderId="0" xfId="5" applyNumberFormat="1" applyFont="1" applyFill="1" applyBorder="1" applyAlignment="1" applyProtection="1">
      <alignment horizontal="center"/>
      <protection locked="0"/>
    </xf>
    <xf numFmtId="1" fontId="5" fillId="16" borderId="0" xfId="5" applyNumberFormat="1" applyFont="1" applyFill="1" applyBorder="1" applyAlignment="1" applyProtection="1">
      <alignment horizontal="center"/>
      <protection locked="0"/>
    </xf>
    <xf numFmtId="1" fontId="5" fillId="17" borderId="0" xfId="472" applyNumberFormat="1" applyFont="1" applyFill="1" applyBorder="1" applyAlignment="1" applyProtection="1">
      <alignment horizontal="center"/>
      <protection locked="0"/>
    </xf>
    <xf numFmtId="1" fontId="2" fillId="16" borderId="0" xfId="3304" applyNumberFormat="1" applyFont="1" applyFill="1" applyBorder="1" applyAlignment="1" applyProtection="1">
      <alignment horizontal="center"/>
      <protection locked="0"/>
    </xf>
    <xf numFmtId="49" fontId="37" fillId="16" borderId="0" xfId="5" applyNumberFormat="1" applyFont="1" applyFill="1" applyBorder="1" applyAlignment="1" applyProtection="1">
      <alignment horizontal="center"/>
      <protection locked="0"/>
    </xf>
    <xf numFmtId="1" fontId="2" fillId="17" borderId="0" xfId="472" applyNumberFormat="1" applyFont="1" applyFill="1" applyBorder="1" applyAlignment="1" applyProtection="1">
      <alignment horizontal="center"/>
      <protection locked="0"/>
    </xf>
    <xf numFmtId="49" fontId="37" fillId="16" borderId="0" xfId="5" applyNumberFormat="1" applyFont="1" applyFill="1" applyBorder="1" applyAlignment="1" applyProtection="1">
      <alignment horizontal="left"/>
      <protection locked="0"/>
    </xf>
    <xf numFmtId="0" fontId="5" fillId="13" borderId="0" xfId="5" applyNumberFormat="1" applyFont="1" applyFill="1" applyBorder="1" applyAlignment="1" applyProtection="1">
      <alignment horizontal="center"/>
      <protection locked="0"/>
    </xf>
    <xf numFmtId="49" fontId="2" fillId="13" borderId="0" xfId="8" applyNumberFormat="1" applyFont="1" applyFill="1" applyBorder="1" applyAlignment="1" applyProtection="1">
      <alignment horizontal="left"/>
      <protection locked="0"/>
    </xf>
    <xf numFmtId="164" fontId="2" fillId="13" borderId="0" xfId="18" applyFont="1" applyFill="1" applyBorder="1" applyProtection="1">
      <protection locked="0"/>
    </xf>
    <xf numFmtId="164" fontId="37" fillId="13" borderId="0" xfId="18" applyFont="1" applyFill="1" applyBorder="1" applyProtection="1">
      <protection locked="0"/>
    </xf>
    <xf numFmtId="49" fontId="37" fillId="13" borderId="0" xfId="16" applyNumberFormat="1" applyFont="1" applyFill="1" applyBorder="1" applyAlignment="1" applyProtection="1">
      <alignment horizontal="left"/>
      <protection locked="0"/>
    </xf>
    <xf numFmtId="49" fontId="38" fillId="13" borderId="0" xfId="18" applyNumberFormat="1" applyFont="1" applyFill="1" applyBorder="1" applyAlignment="1" applyProtection="1">
      <alignment horizontal="left"/>
      <protection locked="0"/>
    </xf>
    <xf numFmtId="49" fontId="37" fillId="13" borderId="0" xfId="18" applyNumberFormat="1" applyFont="1" applyFill="1" applyBorder="1" applyAlignment="1" applyProtection="1">
      <alignment horizontal="left"/>
      <protection locked="0"/>
    </xf>
    <xf numFmtId="1" fontId="27" fillId="13" borderId="0" xfId="5" applyNumberFormat="1" applyFont="1" applyFill="1" applyBorder="1" applyAlignment="1" applyProtection="1">
      <alignment horizontal="center"/>
      <protection locked="0"/>
    </xf>
    <xf numFmtId="1" fontId="2" fillId="13" borderId="0" xfId="3304" applyNumberFormat="1" applyFont="1" applyFill="1" applyBorder="1" applyAlignment="1" applyProtection="1">
      <alignment horizontal="center"/>
      <protection locked="0"/>
    </xf>
    <xf numFmtId="1" fontId="5" fillId="13" borderId="0" xfId="5" applyNumberFormat="1" applyFont="1" applyFill="1" applyBorder="1" applyAlignment="1" applyProtection="1">
      <alignment horizontal="center"/>
      <protection locked="0"/>
    </xf>
    <xf numFmtId="49" fontId="2" fillId="40" borderId="0" xfId="18" applyNumberFormat="1" applyFont="1" applyFill="1" applyBorder="1" applyAlignment="1" applyProtection="1">
      <alignment horizontal="center"/>
      <protection locked="0"/>
    </xf>
    <xf numFmtId="49" fontId="2" fillId="40" borderId="0" xfId="18" applyNumberFormat="1" applyFont="1" applyFill="1" applyBorder="1" applyAlignment="1" applyProtection="1">
      <alignment horizontal="left"/>
      <protection locked="0"/>
    </xf>
    <xf numFmtId="49" fontId="37" fillId="40" borderId="0" xfId="18" applyNumberFormat="1" applyFont="1" applyFill="1" applyBorder="1" applyAlignment="1" applyProtection="1">
      <alignment horizontal="left"/>
      <protection locked="0"/>
    </xf>
    <xf numFmtId="1" fontId="2" fillId="40" borderId="0" xfId="5" applyNumberFormat="1" applyFont="1" applyFill="1" applyBorder="1" applyAlignment="1" applyProtection="1">
      <alignment horizontal="center"/>
      <protection locked="0"/>
    </xf>
    <xf numFmtId="49" fontId="2" fillId="40" borderId="0" xfId="8" applyNumberFormat="1" applyFont="1" applyFill="1" applyBorder="1" applyAlignment="1" applyProtection="1">
      <alignment horizontal="left"/>
      <protection locked="0"/>
    </xf>
    <xf numFmtId="1" fontId="5" fillId="40" borderId="0" xfId="5" applyNumberFormat="1" applyFont="1" applyFill="1" applyBorder="1" applyAlignment="1" applyProtection="1">
      <alignment horizontal="center"/>
      <protection locked="0"/>
    </xf>
    <xf numFmtId="49" fontId="38" fillId="40" borderId="0" xfId="18" applyNumberFormat="1" applyFont="1" applyFill="1" applyBorder="1" applyAlignment="1" applyProtection="1">
      <alignment horizontal="left"/>
      <protection locked="0"/>
    </xf>
    <xf numFmtId="3" fontId="2" fillId="40" borderId="0" xfId="471" applyFont="1" applyFill="1" applyBorder="1" applyAlignment="1" applyProtection="1">
      <protection locked="0"/>
    </xf>
    <xf numFmtId="3" fontId="37" fillId="40" borderId="0" xfId="471" applyFont="1" applyFill="1" applyBorder="1" applyAlignment="1" applyProtection="1">
      <protection locked="0"/>
    </xf>
    <xf numFmtId="49" fontId="2" fillId="40" borderId="0" xfId="471" applyNumberFormat="1" applyFont="1" applyFill="1" applyBorder="1" applyAlignment="1" applyProtection="1">
      <alignment horizontal="left"/>
      <protection locked="0"/>
    </xf>
    <xf numFmtId="49" fontId="37" fillId="40" borderId="0" xfId="471" applyNumberFormat="1" applyFont="1" applyFill="1" applyBorder="1" applyAlignment="1" applyProtection="1">
      <alignment horizontal="left"/>
      <protection locked="0"/>
    </xf>
    <xf numFmtId="1" fontId="2" fillId="40" borderId="0" xfId="16" applyNumberFormat="1" applyFont="1" applyFill="1" applyBorder="1" applyAlignment="1" applyProtection="1">
      <alignment horizontal="center"/>
      <protection locked="0"/>
    </xf>
    <xf numFmtId="1" fontId="2" fillId="40" borderId="0" xfId="17" applyNumberFormat="1" applyFont="1" applyFill="1" applyBorder="1" applyAlignment="1" applyProtection="1">
      <alignment horizontal="center"/>
      <protection locked="0"/>
    </xf>
    <xf numFmtId="49" fontId="37" fillId="40" borderId="0" xfId="16" applyNumberFormat="1" applyFont="1" applyFill="1" applyBorder="1" applyAlignment="1" applyProtection="1">
      <alignment horizontal="left"/>
      <protection locked="0"/>
    </xf>
    <xf numFmtId="1" fontId="2" fillId="40" borderId="0" xfId="18" applyNumberFormat="1" applyFont="1" applyFill="1" applyBorder="1" applyAlignment="1" applyProtection="1">
      <alignment horizontal="center"/>
      <protection locked="0"/>
    </xf>
    <xf numFmtId="49" fontId="37" fillId="40" borderId="0" xfId="19654" applyNumberFormat="1" applyFont="1" applyFill="1" applyBorder="1" applyAlignment="1" applyProtection="1">
      <alignment horizontal="left"/>
      <protection locked="0"/>
    </xf>
    <xf numFmtId="1" fontId="2" fillId="40" borderId="0" xfId="3304" applyNumberFormat="1" applyFont="1" applyFill="1" applyBorder="1" applyAlignment="1" applyProtection="1">
      <alignment horizontal="center"/>
      <protection locked="0"/>
    </xf>
    <xf numFmtId="1" fontId="2" fillId="40" borderId="0" xfId="471" applyNumberFormat="1" applyFont="1" applyFill="1" applyBorder="1" applyAlignment="1" applyProtection="1">
      <alignment horizontal="center"/>
      <protection locked="0"/>
    </xf>
    <xf numFmtId="1" fontId="2" fillId="41" borderId="0" xfId="472" applyNumberFormat="1" applyFont="1" applyFill="1" applyBorder="1" applyAlignment="1" applyProtection="1">
      <alignment horizontal="center"/>
      <protection locked="0"/>
    </xf>
    <xf numFmtId="49" fontId="38" fillId="40" borderId="0" xfId="471" applyNumberFormat="1" applyFont="1" applyFill="1" applyBorder="1" applyAlignment="1" applyProtection="1">
      <alignment horizontal="left"/>
      <protection locked="0"/>
    </xf>
    <xf numFmtId="1" fontId="27" fillId="41" borderId="0" xfId="472" applyNumberFormat="1" applyFont="1" applyFill="1" applyBorder="1" applyAlignment="1" applyProtection="1">
      <alignment horizontal="center"/>
      <protection locked="0"/>
    </xf>
    <xf numFmtId="1" fontId="27" fillId="40" borderId="0" xfId="471" quotePrefix="1" applyNumberFormat="1" applyFont="1" applyFill="1" applyBorder="1" applyAlignment="1" applyProtection="1">
      <alignment horizontal="center"/>
      <protection locked="0"/>
    </xf>
    <xf numFmtId="1" fontId="27" fillId="40" borderId="0" xfId="17" applyNumberFormat="1" applyFont="1" applyFill="1" applyBorder="1" applyAlignment="1" applyProtection="1">
      <alignment horizontal="center"/>
      <protection locked="0"/>
    </xf>
    <xf numFmtId="49" fontId="2" fillId="40" borderId="5" xfId="18" applyNumberFormat="1" applyFont="1" applyFill="1" applyBorder="1" applyAlignment="1" applyProtection="1">
      <alignment horizontal="center"/>
      <protection locked="0"/>
    </xf>
    <xf numFmtId="3" fontId="2" fillId="0" borderId="10" xfId="11" applyNumberFormat="1" applyFont="1" applyFill="1" applyBorder="1" applyAlignment="1" applyProtection="1">
      <alignment horizontal="right"/>
      <protection locked="0"/>
    </xf>
    <xf numFmtId="49" fontId="2" fillId="5" borderId="0" xfId="5" applyNumberFormat="1" applyFont="1" applyFill="1" applyBorder="1" applyAlignment="1" applyProtection="1">
      <alignment horizontal="left"/>
      <protection locked="0"/>
    </xf>
    <xf numFmtId="49" fontId="37" fillId="5" borderId="0" xfId="5" applyNumberFormat="1" applyFont="1" applyFill="1" applyBorder="1" applyAlignment="1" applyProtection="1">
      <alignment horizontal="left"/>
      <protection locked="0"/>
    </xf>
    <xf numFmtId="3" fontId="2" fillId="10" borderId="10" xfId="6" applyNumberFormat="1" applyFont="1" applyFill="1" applyBorder="1" applyAlignment="1" applyProtection="1">
      <alignment horizontal="right"/>
      <protection locked="0"/>
    </xf>
    <xf numFmtId="3" fontId="40" fillId="0" borderId="10" xfId="0" applyNumberFormat="1" applyFont="1" applyFill="1" applyBorder="1" applyAlignment="1">
      <alignment vertical="top"/>
    </xf>
    <xf numFmtId="3" fontId="2" fillId="10" borderId="5" xfId="6" applyNumberFormat="1" applyFont="1" applyFill="1" applyBorder="1" applyAlignment="1" applyProtection="1">
      <alignment horizontal="right"/>
      <protection locked="0"/>
    </xf>
    <xf numFmtId="3" fontId="5" fillId="0" borderId="10" xfId="11" applyNumberFormat="1" applyFont="1" applyFill="1" applyBorder="1" applyAlignment="1" applyProtection="1">
      <alignment horizontal="right" wrapText="1"/>
      <protection locked="0"/>
    </xf>
    <xf numFmtId="3" fontId="5" fillId="0" borderId="10" xfId="6060" applyNumberFormat="1" applyFont="1" applyFill="1" applyBorder="1" applyAlignment="1" applyProtection="1">
      <alignment horizontal="right"/>
      <protection locked="0"/>
    </xf>
    <xf numFmtId="3" fontId="5" fillId="0" borderId="5" xfId="6060" applyNumberFormat="1" applyFont="1" applyFill="1" applyBorder="1" applyAlignment="1" applyProtection="1">
      <alignment horizontal="right"/>
      <protection locked="0"/>
    </xf>
    <xf numFmtId="3" fontId="5" fillId="0" borderId="10" xfId="1358" applyNumberFormat="1" applyFont="1" applyFill="1" applyBorder="1" applyAlignment="1" applyProtection="1">
      <alignment horizontal="right"/>
      <protection locked="0"/>
    </xf>
    <xf numFmtId="3" fontId="5" fillId="0" borderId="5" xfId="1358" applyNumberFormat="1" applyFont="1" applyFill="1" applyBorder="1" applyAlignment="1" applyProtection="1">
      <alignment horizontal="right"/>
      <protection locked="0"/>
    </xf>
    <xf numFmtId="3" fontId="5" fillId="0" borderId="10" xfId="11" applyNumberFormat="1" applyFont="1" applyFill="1" applyBorder="1" applyAlignment="1" applyProtection="1">
      <alignment horizontal="right" vertical="center"/>
      <protection locked="0"/>
    </xf>
    <xf numFmtId="3" fontId="5" fillId="0" borderId="5" xfId="11" applyNumberFormat="1" applyFont="1" applyFill="1" applyBorder="1" applyAlignment="1" applyProtection="1">
      <alignment horizontal="right" vertical="center"/>
      <protection locked="0"/>
    </xf>
    <xf numFmtId="3" fontId="5" fillId="0" borderId="10" xfId="1928" applyNumberFormat="1" applyFont="1" applyFill="1" applyBorder="1" applyAlignment="1" applyProtection="1">
      <alignment horizontal="right"/>
      <protection locked="0"/>
    </xf>
    <xf numFmtId="3" fontId="5" fillId="0" borderId="5" xfId="1928" applyNumberFormat="1" applyFont="1" applyFill="1" applyBorder="1" applyAlignment="1" applyProtection="1">
      <alignment horizontal="right"/>
      <protection locked="0"/>
    </xf>
    <xf numFmtId="49" fontId="38" fillId="14" borderId="0" xfId="18" applyNumberFormat="1" applyFont="1" applyFill="1" applyBorder="1" applyAlignment="1" applyProtection="1">
      <alignment horizontal="left"/>
      <protection locked="0"/>
    </xf>
    <xf numFmtId="3" fontId="2" fillId="5" borderId="0" xfId="471" applyFont="1" applyFill="1" applyBorder="1" applyAlignment="1" applyProtection="1">
      <protection locked="0"/>
    </xf>
    <xf numFmtId="3" fontId="37" fillId="5" borderId="0" xfId="471" applyFont="1" applyFill="1" applyBorder="1" applyAlignment="1" applyProtection="1">
      <protection locked="0"/>
    </xf>
    <xf numFmtId="3" fontId="5" fillId="0" borderId="10" xfId="6" applyNumberFormat="1" applyFont="1" applyFill="1" applyBorder="1" applyAlignment="1" applyProtection="1">
      <alignment horizontal="right"/>
      <protection locked="0"/>
    </xf>
    <xf numFmtId="3" fontId="5" fillId="0" borderId="5" xfId="6" applyNumberFormat="1" applyFont="1" applyFill="1" applyBorder="1" applyAlignment="1" applyProtection="1">
      <alignment horizontal="right"/>
      <protection locked="0"/>
    </xf>
    <xf numFmtId="49" fontId="5" fillId="5" borderId="0" xfId="5" applyNumberFormat="1" applyFont="1" applyFill="1" applyBorder="1" applyAlignment="1" applyProtection="1">
      <alignment horizontal="left"/>
      <protection locked="0"/>
    </xf>
    <xf numFmtId="49" fontId="5" fillId="5" borderId="0" xfId="19655" applyNumberFormat="1" applyFont="1" applyFill="1" applyBorder="1" applyAlignment="1" applyProtection="1">
      <alignment horizontal="left"/>
      <protection locked="0"/>
    </xf>
    <xf numFmtId="49" fontId="2" fillId="5" borderId="0" xfId="19654" applyNumberFormat="1" applyFont="1" applyFill="1" applyBorder="1" applyAlignment="1" applyProtection="1">
      <alignment horizontal="center"/>
      <protection locked="0"/>
    </xf>
    <xf numFmtId="1" fontId="2" fillId="5" borderId="0" xfId="3304" applyNumberFormat="1" applyFont="1" applyFill="1" applyBorder="1" applyAlignment="1" applyProtection="1">
      <alignment horizontal="center"/>
      <protection locked="0"/>
    </xf>
    <xf numFmtId="1" fontId="5" fillId="5" borderId="0" xfId="5" applyNumberFormat="1" applyFont="1" applyFill="1" applyBorder="1" applyAlignment="1" applyProtection="1">
      <alignment horizontal="center"/>
      <protection locked="0"/>
    </xf>
    <xf numFmtId="49" fontId="37" fillId="5" borderId="0" xfId="3304" applyNumberFormat="1" applyFont="1" applyFill="1" applyBorder="1" applyAlignment="1" applyProtection="1">
      <alignment horizontal="left"/>
      <protection locked="0"/>
    </xf>
    <xf numFmtId="49" fontId="2" fillId="3" borderId="0" xfId="5" applyNumberFormat="1" applyFont="1" applyFill="1" applyBorder="1" applyAlignment="1" applyProtection="1">
      <alignment horizontal="center"/>
      <protection locked="0"/>
    </xf>
    <xf numFmtId="49" fontId="2" fillId="3" borderId="0" xfId="5" applyNumberFormat="1" applyFont="1" applyFill="1" applyBorder="1" applyAlignment="1" applyProtection="1">
      <alignment horizontal="left"/>
      <protection locked="0"/>
    </xf>
    <xf numFmtId="49" fontId="37" fillId="3" borderId="0" xfId="5" applyNumberFormat="1" applyFont="1" applyFill="1" applyBorder="1" applyAlignment="1" applyProtection="1">
      <alignment horizontal="left"/>
      <protection locked="0"/>
    </xf>
    <xf numFmtId="1" fontId="2" fillId="3" borderId="0" xfId="5" applyNumberFormat="1" applyFont="1" applyFill="1" applyBorder="1" applyAlignment="1" applyProtection="1">
      <alignment horizontal="center"/>
      <protection locked="0"/>
    </xf>
    <xf numFmtId="49" fontId="38" fillId="3" borderId="0" xfId="5" applyNumberFormat="1" applyFont="1" applyFill="1" applyBorder="1" applyAlignment="1" applyProtection="1">
      <alignment horizontal="left"/>
      <protection locked="0"/>
    </xf>
    <xf numFmtId="1" fontId="27" fillId="3" borderId="0" xfId="5" applyNumberFormat="1" applyFont="1" applyFill="1" applyBorder="1" applyAlignment="1" applyProtection="1">
      <alignment horizontal="center"/>
      <protection locked="0"/>
    </xf>
    <xf numFmtId="49" fontId="2" fillId="3" borderId="0" xfId="471" applyNumberFormat="1" applyFont="1" applyFill="1" applyBorder="1" applyAlignment="1" applyProtection="1">
      <alignment horizontal="center"/>
      <protection locked="0"/>
    </xf>
    <xf numFmtId="49" fontId="2" fillId="3" borderId="0" xfId="471" applyNumberFormat="1" applyFont="1" applyFill="1" applyBorder="1" applyAlignment="1" applyProtection="1">
      <alignment horizontal="left"/>
      <protection locked="0"/>
    </xf>
    <xf numFmtId="49" fontId="37" fillId="3" borderId="0" xfId="471" applyNumberFormat="1" applyFont="1" applyFill="1" applyBorder="1" applyAlignment="1" applyProtection="1">
      <alignment horizontal="left"/>
      <protection locked="0"/>
    </xf>
    <xf numFmtId="164" fontId="2" fillId="3" borderId="0" xfId="5" applyFont="1" applyFill="1" applyBorder="1" applyAlignment="1" applyProtection="1">
      <protection locked="0"/>
    </xf>
    <xf numFmtId="164" fontId="37" fillId="3" borderId="0" xfId="5" applyFont="1" applyFill="1" applyBorder="1" applyAlignment="1" applyProtection="1">
      <protection locked="0"/>
    </xf>
    <xf numFmtId="3" fontId="5" fillId="0" borderId="0" xfId="11" applyNumberFormat="1" applyFont="1" applyFill="1" applyBorder="1" applyAlignment="1" applyProtection="1">
      <alignment horizontal="right"/>
      <protection locked="0"/>
    </xf>
    <xf numFmtId="1" fontId="5" fillId="3" borderId="0" xfId="5" applyNumberFormat="1" applyFont="1" applyFill="1" applyBorder="1" applyAlignment="1" applyProtection="1">
      <alignment horizontal="center"/>
      <protection locked="0"/>
    </xf>
    <xf numFmtId="1" fontId="2" fillId="3" borderId="0" xfId="17" applyNumberFormat="1" applyFont="1" applyFill="1" applyBorder="1" applyAlignment="1" applyProtection="1">
      <alignment horizontal="center"/>
      <protection locked="0"/>
    </xf>
    <xf numFmtId="1" fontId="2" fillId="3" borderId="0" xfId="471" applyNumberFormat="1" applyFont="1" applyFill="1" applyBorder="1" applyAlignment="1" applyProtection="1">
      <alignment horizontal="center"/>
      <protection locked="0"/>
    </xf>
    <xf numFmtId="1" fontId="2" fillId="42" borderId="0" xfId="472" applyNumberFormat="1" applyFont="1" applyFill="1" applyBorder="1" applyAlignment="1" applyProtection="1">
      <alignment horizontal="center"/>
      <protection locked="0"/>
    </xf>
    <xf numFmtId="49" fontId="37" fillId="3" borderId="0" xfId="17" applyNumberFormat="1" applyFont="1" applyFill="1" applyBorder="1" applyAlignment="1" applyProtection="1">
      <alignment horizontal="left"/>
      <protection locked="0"/>
    </xf>
    <xf numFmtId="49" fontId="2" fillId="16" borderId="0" xfId="18" applyNumberFormat="1" applyFont="1" applyFill="1" applyBorder="1" applyAlignment="1" applyProtection="1">
      <alignment horizontal="left"/>
      <protection locked="0"/>
    </xf>
    <xf numFmtId="49" fontId="37" fillId="16" borderId="0" xfId="18" applyNumberFormat="1" applyFont="1" applyFill="1" applyBorder="1" applyAlignment="1" applyProtection="1">
      <alignment horizontal="left"/>
      <protection locked="0"/>
    </xf>
    <xf numFmtId="49" fontId="37" fillId="16" borderId="0" xfId="16" applyNumberFormat="1" applyFont="1" applyFill="1" applyBorder="1" applyAlignment="1" applyProtection="1">
      <alignment horizontal="left"/>
      <protection locked="0"/>
    </xf>
    <xf numFmtId="1" fontId="2" fillId="16" borderId="0" xfId="16" applyNumberFormat="1" applyFont="1" applyFill="1" applyBorder="1" applyAlignment="1" applyProtection="1">
      <alignment horizontal="center"/>
      <protection locked="0"/>
    </xf>
    <xf numFmtId="1" fontId="2" fillId="16" borderId="0" xfId="18" applyNumberFormat="1" applyFont="1" applyFill="1" applyBorder="1" applyAlignment="1" applyProtection="1">
      <alignment horizontal="center"/>
      <protection locked="0"/>
    </xf>
    <xf numFmtId="49" fontId="37" fillId="16" borderId="0" xfId="471" applyNumberFormat="1" applyFont="1" applyFill="1" applyBorder="1" applyAlignment="1" applyProtection="1">
      <alignment horizontal="left"/>
      <protection locked="0"/>
    </xf>
    <xf numFmtId="1" fontId="2" fillId="16" borderId="0" xfId="471" applyNumberFormat="1" applyFont="1" applyFill="1" applyBorder="1" applyAlignment="1" applyProtection="1">
      <alignment horizontal="center"/>
      <protection locked="0"/>
    </xf>
    <xf numFmtId="3" fontId="37" fillId="16" borderId="0" xfId="471" applyFont="1" applyFill="1" applyBorder="1" applyAlignment="1" applyProtection="1">
      <protection locked="0"/>
    </xf>
    <xf numFmtId="49" fontId="2" fillId="40" borderId="0" xfId="5" applyNumberFormat="1" applyFont="1" applyFill="1" applyBorder="1" applyAlignment="1" applyProtection="1">
      <alignment horizontal="center"/>
      <protection locked="0"/>
    </xf>
    <xf numFmtId="49" fontId="2" fillId="40" borderId="0" xfId="5" applyNumberFormat="1" applyFont="1" applyFill="1" applyBorder="1" applyAlignment="1" applyProtection="1">
      <alignment horizontal="left"/>
      <protection locked="0"/>
    </xf>
    <xf numFmtId="49" fontId="37" fillId="40" borderId="0" xfId="5" applyNumberFormat="1" applyFont="1" applyFill="1" applyBorder="1" applyAlignment="1" applyProtection="1">
      <alignment horizontal="left"/>
      <protection locked="0"/>
    </xf>
    <xf numFmtId="3" fontId="5" fillId="0" borderId="10" xfId="507" applyNumberFormat="1" applyFont="1" applyFill="1" applyBorder="1" applyProtection="1">
      <protection locked="0"/>
    </xf>
    <xf numFmtId="3" fontId="5" fillId="0" borderId="5" xfId="507" applyNumberFormat="1" applyFont="1" applyFill="1" applyBorder="1" applyProtection="1">
      <protection locked="0"/>
    </xf>
    <xf numFmtId="3" fontId="5" fillId="0" borderId="10" xfId="507" applyNumberFormat="1" applyFont="1" applyFill="1" applyBorder="1" applyAlignment="1" applyProtection="1">
      <alignment horizontal="right"/>
      <protection locked="0"/>
    </xf>
    <xf numFmtId="3" fontId="5" fillId="0" borderId="5" xfId="507" applyNumberFormat="1" applyFont="1" applyFill="1" applyBorder="1" applyAlignment="1" applyProtection="1">
      <alignment horizontal="right"/>
      <protection locked="0"/>
    </xf>
    <xf numFmtId="49" fontId="2" fillId="6" borderId="0" xfId="18" applyNumberFormat="1" applyFont="1" applyFill="1" applyBorder="1" applyAlignment="1" applyProtection="1">
      <alignment horizontal="center"/>
      <protection locked="0"/>
    </xf>
    <xf numFmtId="49" fontId="2" fillId="6" borderId="0" xfId="18" applyNumberFormat="1" applyFont="1" applyFill="1" applyBorder="1" applyAlignment="1" applyProtection="1">
      <alignment horizontal="left"/>
      <protection locked="0"/>
    </xf>
    <xf numFmtId="1" fontId="2" fillId="6" borderId="0" xfId="5" applyNumberFormat="1" applyFont="1" applyFill="1" applyBorder="1" applyAlignment="1" applyProtection="1">
      <alignment horizontal="center"/>
      <protection locked="0"/>
    </xf>
    <xf numFmtId="1" fontId="5" fillId="6" borderId="0" xfId="5" applyNumberFormat="1" applyFont="1" applyFill="1" applyBorder="1" applyAlignment="1" applyProtection="1">
      <alignment horizontal="center"/>
      <protection locked="0"/>
    </xf>
    <xf numFmtId="1" fontId="2" fillId="6" borderId="0" xfId="16" applyNumberFormat="1" applyFont="1" applyFill="1" applyBorder="1" applyAlignment="1" applyProtection="1">
      <alignment horizontal="center"/>
      <protection locked="0"/>
    </xf>
    <xf numFmtId="1" fontId="2" fillId="6" borderId="0" xfId="17" applyNumberFormat="1" applyFont="1" applyFill="1" applyBorder="1" applyAlignment="1" applyProtection="1">
      <alignment horizontal="center"/>
      <protection locked="0"/>
    </xf>
    <xf numFmtId="49" fontId="5" fillId="6" borderId="0" xfId="18" applyNumberFormat="1" applyFont="1" applyFill="1" applyBorder="1" applyAlignment="1" applyProtection="1">
      <alignment horizontal="left"/>
      <protection locked="0"/>
    </xf>
    <xf numFmtId="1" fontId="2" fillId="6" borderId="0" xfId="18" applyNumberFormat="1" applyFont="1" applyFill="1" applyBorder="1" applyAlignment="1" applyProtection="1">
      <alignment horizontal="center"/>
      <protection locked="0"/>
    </xf>
    <xf numFmtId="49" fontId="27" fillId="6" borderId="0" xfId="18" applyNumberFormat="1" applyFont="1" applyFill="1" applyBorder="1" applyAlignment="1" applyProtection="1">
      <alignment horizontal="left"/>
      <protection locked="0"/>
    </xf>
    <xf numFmtId="49" fontId="5" fillId="6" borderId="0" xfId="16" applyNumberFormat="1" applyFont="1" applyFill="1" applyBorder="1" applyAlignment="1" applyProtection="1">
      <alignment horizontal="left"/>
      <protection locked="0"/>
    </xf>
    <xf numFmtId="1" fontId="2" fillId="6" borderId="0" xfId="3304" applyNumberFormat="1" applyFont="1" applyFill="1" applyBorder="1" applyAlignment="1" applyProtection="1">
      <alignment horizontal="center"/>
      <protection locked="0"/>
    </xf>
    <xf numFmtId="1" fontId="27" fillId="6" borderId="0" xfId="3304" applyNumberFormat="1" applyFont="1" applyFill="1" applyBorder="1" applyAlignment="1" applyProtection="1">
      <alignment horizontal="center"/>
      <protection locked="0"/>
    </xf>
    <xf numFmtId="49" fontId="2" fillId="5" borderId="5" xfId="18" applyNumberFormat="1" applyFont="1" applyFill="1" applyBorder="1" applyAlignment="1" applyProtection="1">
      <alignment horizontal="center"/>
      <protection locked="0"/>
    </xf>
    <xf numFmtId="49" fontId="2" fillId="5" borderId="0" xfId="18" applyNumberFormat="1" applyFont="1" applyFill="1" applyBorder="1" applyAlignment="1" applyProtection="1">
      <alignment horizontal="center"/>
      <protection locked="0"/>
    </xf>
    <xf numFmtId="49" fontId="2" fillId="5" borderId="5" xfId="471" applyNumberFormat="1" applyFont="1" applyFill="1" applyBorder="1" applyAlignment="1" applyProtection="1">
      <alignment horizontal="center"/>
      <protection locked="0"/>
    </xf>
    <xf numFmtId="49" fontId="2" fillId="5" borderId="0" xfId="471" applyNumberFormat="1" applyFont="1" applyFill="1" applyBorder="1" applyAlignment="1" applyProtection="1">
      <alignment horizontal="left"/>
      <protection locked="0"/>
    </xf>
    <xf numFmtId="49" fontId="69" fillId="5" borderId="0" xfId="18" applyNumberFormat="1" applyFont="1" applyFill="1" applyBorder="1" applyAlignment="1" applyProtection="1">
      <alignment horizontal="left"/>
      <protection locked="0"/>
    </xf>
    <xf numFmtId="1" fontId="27" fillId="5" borderId="0" xfId="17" applyNumberFormat="1" applyFont="1" applyFill="1" applyBorder="1" applyAlignment="1" applyProtection="1">
      <alignment horizontal="center"/>
      <protection locked="0"/>
    </xf>
    <xf numFmtId="49" fontId="37" fillId="5" borderId="0" xfId="471" applyNumberFormat="1" applyFont="1" applyFill="1" applyBorder="1" applyAlignment="1" applyProtection="1">
      <alignment horizontal="left"/>
      <protection locked="0"/>
    </xf>
    <xf numFmtId="1" fontId="2" fillId="43" borderId="0" xfId="472" applyNumberFormat="1" applyFont="1" applyFill="1" applyBorder="1" applyAlignment="1" applyProtection="1">
      <alignment horizontal="center"/>
      <protection locked="0"/>
    </xf>
    <xf numFmtId="1" fontId="5" fillId="5" borderId="0" xfId="3304" applyNumberFormat="1" applyFont="1" applyFill="1" applyBorder="1" applyAlignment="1" applyProtection="1">
      <alignment horizontal="center"/>
      <protection locked="0"/>
    </xf>
    <xf numFmtId="1" fontId="27" fillId="5" borderId="0" xfId="3304" applyNumberFormat="1" applyFont="1" applyFill="1" applyBorder="1" applyAlignment="1" applyProtection="1">
      <alignment horizontal="center"/>
      <protection locked="0"/>
    </xf>
    <xf numFmtId="49" fontId="2" fillId="6" borderId="0" xfId="5" applyNumberFormat="1" applyFont="1" applyFill="1" applyBorder="1" applyAlignment="1" applyProtection="1">
      <alignment horizontal="center"/>
      <protection locked="0"/>
    </xf>
    <xf numFmtId="49" fontId="2" fillId="6" borderId="0" xfId="5" applyNumberFormat="1" applyFont="1" applyFill="1" applyBorder="1" applyAlignment="1" applyProtection="1">
      <alignment horizontal="left"/>
      <protection locked="0"/>
    </xf>
    <xf numFmtId="49" fontId="37" fillId="6" borderId="0" xfId="5" applyNumberFormat="1" applyFont="1" applyFill="1" applyBorder="1" applyAlignment="1" applyProtection="1">
      <alignment horizontal="left"/>
      <protection locked="0"/>
    </xf>
    <xf numFmtId="3" fontId="70" fillId="10" borderId="10" xfId="11" applyNumberFormat="1" applyFont="1" applyFill="1" applyBorder="1" applyAlignment="1" applyProtection="1">
      <alignment horizontal="right"/>
      <protection locked="0"/>
    </xf>
    <xf numFmtId="3" fontId="2" fillId="10" borderId="10" xfId="12" applyNumberFormat="1" applyFont="1" applyFill="1" applyBorder="1" applyAlignment="1" applyProtection="1">
      <alignment horizontal="right"/>
      <protection locked="0"/>
    </xf>
    <xf numFmtId="3" fontId="5" fillId="0" borderId="10" xfId="12" applyNumberFormat="1" applyFont="1" applyFill="1" applyBorder="1" applyAlignment="1" applyProtection="1">
      <alignment horizontal="right"/>
      <protection locked="0"/>
    </xf>
    <xf numFmtId="3" fontId="5" fillId="0" borderId="5" xfId="12" applyNumberFormat="1" applyFont="1" applyFill="1" applyBorder="1" applyAlignment="1" applyProtection="1">
      <alignment horizontal="right"/>
      <protection locked="0"/>
    </xf>
    <xf numFmtId="3" fontId="2" fillId="10" borderId="5" xfId="12" applyNumberFormat="1" applyFont="1" applyFill="1" applyBorder="1" applyAlignment="1" applyProtection="1">
      <alignment horizontal="right"/>
      <protection locked="0"/>
    </xf>
    <xf numFmtId="49" fontId="2" fillId="6" borderId="0" xfId="17" applyNumberFormat="1" applyFont="1" applyFill="1" applyBorder="1" applyAlignment="1" applyProtection="1">
      <alignment horizontal="center"/>
      <protection locked="0"/>
    </xf>
    <xf numFmtId="49" fontId="2" fillId="6" borderId="0" xfId="13" applyNumberFormat="1" applyFont="1" applyFill="1" applyBorder="1" applyAlignment="1" applyProtection="1">
      <alignment horizontal="left"/>
      <protection locked="0"/>
    </xf>
    <xf numFmtId="49" fontId="38" fillId="6" borderId="0" xfId="13" applyNumberFormat="1" applyFont="1" applyFill="1" applyBorder="1" applyAlignment="1" applyProtection="1">
      <alignment horizontal="left"/>
      <protection locked="0"/>
    </xf>
    <xf numFmtId="1" fontId="27" fillId="6" borderId="0" xfId="5" applyNumberFormat="1" applyFont="1" applyFill="1" applyBorder="1" applyAlignment="1" applyProtection="1">
      <alignment horizontal="center"/>
      <protection locked="0"/>
    </xf>
    <xf numFmtId="49" fontId="2" fillId="6" borderId="0" xfId="17" applyNumberFormat="1" applyFont="1" applyFill="1" applyBorder="1" applyAlignment="1" applyProtection="1">
      <alignment horizontal="left"/>
      <protection locked="0"/>
    </xf>
    <xf numFmtId="49" fontId="37" fillId="6" borderId="0" xfId="17" applyNumberFormat="1" applyFont="1" applyFill="1" applyBorder="1" applyAlignment="1" applyProtection="1">
      <alignment horizontal="left"/>
      <protection locked="0"/>
    </xf>
    <xf numFmtId="0" fontId="2" fillId="6" borderId="0" xfId="19656" applyNumberFormat="1" applyFont="1" applyFill="1" applyBorder="1" applyAlignment="1" applyProtection="1">
      <protection locked="0"/>
    </xf>
    <xf numFmtId="0" fontId="37" fillId="6" borderId="0" xfId="19656" applyNumberFormat="1" applyFont="1" applyFill="1" applyBorder="1" applyAlignment="1" applyProtection="1">
      <protection locked="0"/>
    </xf>
    <xf numFmtId="49" fontId="38" fillId="6" borderId="0" xfId="5" applyNumberFormat="1" applyFont="1" applyFill="1" applyBorder="1" applyAlignment="1" applyProtection="1">
      <alignment horizontal="left"/>
      <protection locked="0"/>
    </xf>
    <xf numFmtId="49" fontId="2" fillId="3" borderId="0" xfId="18" applyNumberFormat="1" applyFont="1" applyFill="1" applyBorder="1" applyAlignment="1" applyProtection="1">
      <alignment horizontal="center"/>
      <protection locked="0"/>
    </xf>
    <xf numFmtId="49" fontId="2" fillId="3" borderId="0" xfId="18" applyNumberFormat="1" applyFont="1" applyFill="1" applyBorder="1" applyAlignment="1" applyProtection="1">
      <alignment horizontal="left"/>
      <protection locked="0"/>
    </xf>
    <xf numFmtId="49" fontId="37" fillId="3" borderId="0" xfId="18" applyNumberFormat="1" applyFont="1" applyFill="1" applyBorder="1" applyAlignment="1" applyProtection="1">
      <alignment horizontal="left"/>
      <protection locked="0"/>
    </xf>
    <xf numFmtId="49" fontId="38" fillId="3" borderId="0" xfId="18" applyNumberFormat="1" applyFont="1" applyFill="1" applyBorder="1" applyAlignment="1" applyProtection="1">
      <alignment horizontal="left"/>
      <protection locked="0"/>
    </xf>
    <xf numFmtId="49" fontId="2" fillId="44" borderId="0" xfId="18" applyNumberFormat="1" applyFont="1" applyFill="1" applyBorder="1" applyAlignment="1" applyProtection="1">
      <alignment horizontal="left"/>
      <protection locked="0"/>
    </xf>
    <xf numFmtId="1" fontId="2" fillId="3" borderId="0" xfId="18" applyNumberFormat="1" applyFont="1" applyFill="1" applyBorder="1" applyAlignment="1" applyProtection="1">
      <alignment horizontal="center"/>
      <protection locked="0"/>
    </xf>
    <xf numFmtId="49" fontId="37" fillId="3" borderId="0" xfId="16" applyNumberFormat="1" applyFont="1" applyFill="1" applyBorder="1" applyAlignment="1" applyProtection="1">
      <alignment horizontal="left"/>
      <protection locked="0"/>
    </xf>
    <xf numFmtId="1" fontId="2" fillId="3" borderId="0" xfId="16" applyNumberFormat="1" applyFont="1" applyFill="1" applyBorder="1" applyAlignment="1" applyProtection="1">
      <alignment horizontal="center"/>
      <protection locked="0"/>
    </xf>
    <xf numFmtId="1" fontId="2" fillId="3" borderId="0" xfId="3304" applyNumberFormat="1" applyFont="1" applyFill="1" applyBorder="1" applyAlignment="1" applyProtection="1">
      <alignment horizontal="center"/>
      <protection locked="0"/>
    </xf>
    <xf numFmtId="49" fontId="2" fillId="6" borderId="5" xfId="18" applyNumberFormat="1" applyFont="1" applyFill="1" applyBorder="1" applyAlignment="1" applyProtection="1">
      <alignment horizontal="center"/>
      <protection locked="0"/>
    </xf>
    <xf numFmtId="49" fontId="37" fillId="6" borderId="0" xfId="18" applyNumberFormat="1" applyFont="1" applyFill="1" applyBorder="1" applyAlignment="1" applyProtection="1">
      <alignment horizontal="left"/>
      <protection locked="0"/>
    </xf>
    <xf numFmtId="49" fontId="69" fillId="6" borderId="0" xfId="18" applyNumberFormat="1" applyFont="1" applyFill="1" applyBorder="1" applyAlignment="1" applyProtection="1">
      <alignment horizontal="left"/>
      <protection locked="0"/>
    </xf>
    <xf numFmtId="1" fontId="2" fillId="6" borderId="0" xfId="471" applyNumberFormat="1" applyFont="1" applyFill="1" applyBorder="1" applyAlignment="1" applyProtection="1">
      <alignment horizontal="center"/>
      <protection locked="0"/>
    </xf>
    <xf numFmtId="1" fontId="2" fillId="45" borderId="0" xfId="472" applyNumberFormat="1" applyFont="1" applyFill="1" applyBorder="1" applyAlignment="1" applyProtection="1">
      <alignment horizontal="center"/>
      <protection locked="0"/>
    </xf>
    <xf numFmtId="164" fontId="2" fillId="6" borderId="0" xfId="18" applyFont="1" applyFill="1" applyBorder="1" applyProtection="1">
      <protection locked="0"/>
    </xf>
    <xf numFmtId="164" fontId="37" fillId="6" borderId="0" xfId="18" applyFont="1" applyFill="1" applyBorder="1" applyProtection="1">
      <protection locked="0"/>
    </xf>
    <xf numFmtId="49" fontId="38" fillId="6" borderId="0" xfId="18" applyNumberFormat="1" applyFont="1" applyFill="1" applyBorder="1" applyAlignment="1" applyProtection="1">
      <alignment horizontal="left"/>
      <protection locked="0"/>
    </xf>
    <xf numFmtId="1" fontId="27" fillId="6" borderId="0" xfId="17" applyNumberFormat="1" applyFont="1" applyFill="1" applyBorder="1" applyAlignment="1" applyProtection="1">
      <alignment horizontal="center"/>
      <protection locked="0"/>
    </xf>
    <xf numFmtId="49" fontId="2" fillId="5" borderId="5" xfId="5" applyNumberFormat="1" applyFont="1" applyFill="1" applyBorder="1" applyAlignment="1" applyProtection="1">
      <alignment horizontal="center"/>
      <protection locked="0"/>
    </xf>
    <xf numFmtId="49" fontId="2" fillId="16" borderId="0" xfId="18" applyNumberFormat="1" applyFont="1" applyFill="1" applyBorder="1" applyAlignment="1" applyProtection="1">
      <alignment horizontal="center"/>
      <protection locked="0"/>
    </xf>
    <xf numFmtId="49" fontId="2" fillId="6" borderId="0" xfId="471" applyNumberFormat="1" applyFont="1" applyFill="1" applyBorder="1" applyAlignment="1" applyProtection="1">
      <alignment horizontal="center"/>
      <protection locked="0"/>
    </xf>
    <xf numFmtId="49" fontId="2" fillId="40" borderId="5" xfId="5" applyNumberFormat="1" applyFont="1" applyFill="1" applyBorder="1" applyAlignment="1" applyProtection="1">
      <alignment horizontal="center"/>
      <protection locked="0"/>
    </xf>
    <xf numFmtId="49" fontId="2" fillId="5" borderId="0" xfId="16" applyNumberFormat="1" applyFont="1" applyFill="1" applyBorder="1" applyAlignment="1" applyProtection="1">
      <alignment horizontal="center"/>
      <protection locked="0"/>
    </xf>
    <xf numFmtId="49" fontId="2" fillId="6" borderId="5" xfId="17" applyNumberFormat="1" applyFont="1" applyFill="1" applyBorder="1" applyAlignment="1" applyProtection="1">
      <alignment horizontal="center"/>
      <protection locked="0"/>
    </xf>
    <xf numFmtId="49" fontId="2" fillId="16" borderId="5" xfId="5" applyNumberFormat="1" applyFont="1" applyFill="1" applyBorder="1" applyAlignment="1" applyProtection="1">
      <alignment horizontal="center"/>
      <protection locked="0"/>
    </xf>
    <xf numFmtId="49" fontId="2" fillId="6" borderId="5" xfId="5" applyNumberFormat="1" applyFont="1" applyFill="1" applyBorder="1" applyAlignment="1" applyProtection="1">
      <alignment horizontal="center"/>
      <protection locked="0"/>
    </xf>
    <xf numFmtId="49" fontId="2" fillId="3" borderId="5" xfId="5" applyNumberFormat="1" applyFont="1" applyFill="1" applyBorder="1" applyAlignment="1" applyProtection="1">
      <alignment horizontal="center"/>
      <protection locked="0"/>
    </xf>
    <xf numFmtId="164" fontId="0" fillId="0" borderId="10" xfId="0" applyNumberFormat="1" applyFill="1" applyBorder="1" applyProtection="1">
      <protection locked="0"/>
    </xf>
    <xf numFmtId="3" fontId="2" fillId="0" borderId="10" xfId="6050" applyNumberFormat="1" applyFont="1" applyBorder="1"/>
    <xf numFmtId="3" fontId="5" fillId="0" borderId="0" xfId="11" applyNumberFormat="1" applyFont="1" applyFill="1" applyBorder="1" applyProtection="1">
      <protection locked="0"/>
    </xf>
    <xf numFmtId="3" fontId="40" fillId="0" borderId="5" xfId="0" applyNumberFormat="1" applyFont="1" applyFill="1" applyBorder="1" applyAlignment="1">
      <alignment vertical="top"/>
    </xf>
    <xf numFmtId="164" fontId="0" fillId="0" borderId="5" xfId="0" applyNumberFormat="1" applyFill="1" applyBorder="1" applyProtection="1">
      <protection locked="0"/>
    </xf>
    <xf numFmtId="3" fontId="2" fillId="0" borderId="5" xfId="6050" applyNumberFormat="1" applyFont="1" applyBorder="1"/>
    <xf numFmtId="164" fontId="2" fillId="0" borderId="10" xfId="6050" applyFont="1" applyBorder="1"/>
    <xf numFmtId="3" fontId="5" fillId="0" borderId="11" xfId="11" applyNumberFormat="1" applyFont="1" applyFill="1" applyBorder="1" applyProtection="1">
      <protection locked="0"/>
    </xf>
    <xf numFmtId="164" fontId="2" fillId="0" borderId="5" xfId="6050" applyFont="1" applyBorder="1"/>
    <xf numFmtId="3" fontId="5" fillId="0" borderId="57" xfId="11" applyNumberFormat="1" applyFont="1" applyFill="1" applyBorder="1" applyAlignment="1" applyProtection="1">
      <alignment horizontal="right"/>
      <protection locked="0"/>
    </xf>
    <xf numFmtId="0" fontId="32" fillId="0" borderId="34" xfId="0" applyFont="1" applyFill="1" applyBorder="1"/>
    <xf numFmtId="166" fontId="14" fillId="0" borderId="34" xfId="0" applyNumberFormat="1" applyFont="1" applyFill="1" applyBorder="1"/>
    <xf numFmtId="166" fontId="14" fillId="0" borderId="38" xfId="0" applyNumberFormat="1" applyFont="1" applyFill="1" applyBorder="1"/>
    <xf numFmtId="0" fontId="32" fillId="0" borderId="14" xfId="0" applyFont="1" applyFill="1" applyBorder="1"/>
    <xf numFmtId="9" fontId="14" fillId="0" borderId="37" xfId="0" applyNumberFormat="1" applyFont="1" applyFill="1" applyBorder="1"/>
    <xf numFmtId="9" fontId="14" fillId="0" borderId="42" xfId="0" applyNumberFormat="1" applyFont="1" applyFill="1" applyBorder="1"/>
    <xf numFmtId="9" fontId="14" fillId="0" borderId="58" xfId="0" applyNumberFormat="1" applyFont="1" applyFill="1" applyBorder="1"/>
    <xf numFmtId="170" fontId="32" fillId="44" borderId="1" xfId="0" applyNumberFormat="1" applyFont="1" applyFill="1" applyBorder="1"/>
    <xf numFmtId="0" fontId="32" fillId="0" borderId="59" xfId="0" applyFont="1" applyFill="1" applyBorder="1" applyAlignment="1">
      <alignment horizontal="right"/>
    </xf>
    <xf numFmtId="170" fontId="32" fillId="0" borderId="59" xfId="0" applyNumberFormat="1" applyFont="1" applyFill="1" applyBorder="1"/>
    <xf numFmtId="170" fontId="32" fillId="0" borderId="60" xfId="0" applyNumberFormat="1" applyFont="1" applyFill="1" applyBorder="1"/>
    <xf numFmtId="170" fontId="32" fillId="44" borderId="22" xfId="0" applyNumberFormat="1" applyFont="1" applyFill="1" applyBorder="1"/>
    <xf numFmtId="0" fontId="14" fillId="0" borderId="5" xfId="0" applyFont="1" applyFill="1" applyBorder="1"/>
    <xf numFmtId="166" fontId="14" fillId="0" borderId="43" xfId="0" applyNumberFormat="1" applyFont="1" applyFill="1" applyBorder="1"/>
    <xf numFmtId="170" fontId="32" fillId="0" borderId="61" xfId="0" applyNumberFormat="1" applyFont="1" applyFill="1" applyBorder="1"/>
    <xf numFmtId="0" fontId="14" fillId="0" borderId="3" xfId="0" applyFont="1" applyFill="1" applyBorder="1"/>
    <xf numFmtId="170" fontId="32" fillId="44" borderId="7" xfId="0" applyNumberFormat="1" applyFont="1" applyFill="1" applyBorder="1"/>
    <xf numFmtId="0" fontId="32" fillId="0" borderId="62" xfId="0" applyFont="1" applyFill="1" applyBorder="1"/>
    <xf numFmtId="0" fontId="32" fillId="0" borderId="62" xfId="0" applyFont="1" applyFill="1" applyBorder="1" applyAlignment="1">
      <alignment horizontal="right"/>
    </xf>
    <xf numFmtId="170" fontId="32" fillId="0" borderId="62" xfId="0" applyNumberFormat="1" applyFont="1" applyFill="1" applyBorder="1"/>
    <xf numFmtId="170" fontId="32" fillId="0" borderId="63" xfId="0" applyNumberFormat="1" applyFont="1" applyFill="1" applyBorder="1"/>
    <xf numFmtId="170" fontId="32" fillId="0" borderId="64" xfId="0" applyNumberFormat="1" applyFont="1" applyFill="1" applyBorder="1"/>
    <xf numFmtId="49" fontId="27" fillId="5" borderId="0" xfId="5" applyNumberFormat="1" applyFont="1" applyFill="1" applyBorder="1" applyAlignment="1" applyProtection="1">
      <alignment horizontal="left"/>
      <protection locked="0"/>
    </xf>
    <xf numFmtId="49" fontId="2" fillId="46" borderId="0" xfId="18" applyNumberFormat="1" applyFont="1" applyFill="1" applyBorder="1" applyAlignment="1" applyProtection="1">
      <alignment horizontal="center"/>
      <protection locked="0"/>
    </xf>
    <xf numFmtId="49" fontId="2" fillId="46" borderId="0" xfId="18" applyNumberFormat="1" applyFont="1" applyFill="1" applyBorder="1" applyAlignment="1" applyProtection="1">
      <alignment horizontal="left"/>
      <protection locked="0"/>
    </xf>
    <xf numFmtId="49" fontId="37" fillId="46" borderId="0" xfId="19657" applyNumberFormat="1" applyFont="1" applyFill="1" applyBorder="1" applyAlignment="1" applyProtection="1">
      <alignment horizontal="left"/>
      <protection locked="0"/>
    </xf>
    <xf numFmtId="1" fontId="2" fillId="46" borderId="0" xfId="17" applyNumberFormat="1" applyFont="1" applyFill="1" applyBorder="1" applyAlignment="1" applyProtection="1">
      <alignment horizontal="center"/>
      <protection locked="0"/>
    </xf>
    <xf numFmtId="49" fontId="37" fillId="46" borderId="0" xfId="18" applyNumberFormat="1" applyFont="1" applyFill="1" applyBorder="1" applyAlignment="1" applyProtection="1">
      <alignment horizontal="left"/>
      <protection locked="0"/>
    </xf>
    <xf numFmtId="1" fontId="2" fillId="46" borderId="0" xfId="3304" applyNumberFormat="1" applyFont="1" applyFill="1" applyBorder="1" applyAlignment="1" applyProtection="1">
      <alignment horizontal="center"/>
      <protection locked="0"/>
    </xf>
    <xf numFmtId="164" fontId="2" fillId="46" borderId="0" xfId="18" applyFont="1" applyFill="1" applyBorder="1" applyProtection="1">
      <protection locked="0"/>
    </xf>
    <xf numFmtId="164" fontId="69" fillId="46" borderId="0" xfId="18" applyFont="1" applyFill="1" applyBorder="1" applyProtection="1">
      <protection locked="0"/>
    </xf>
    <xf numFmtId="1" fontId="76" fillId="46" borderId="0" xfId="3304" applyNumberFormat="1" applyFont="1" applyFill="1" applyBorder="1" applyAlignment="1" applyProtection="1">
      <alignment horizontal="center"/>
      <protection locked="0"/>
    </xf>
    <xf numFmtId="49" fontId="2" fillId="46" borderId="0" xfId="13" applyNumberFormat="1" applyFont="1" applyFill="1" applyBorder="1" applyAlignment="1" applyProtection="1">
      <alignment horizontal="center"/>
      <protection locked="0"/>
    </xf>
    <xf numFmtId="1" fontId="5" fillId="46" borderId="0" xfId="3304" applyNumberFormat="1" applyFont="1" applyFill="1" applyBorder="1" applyAlignment="1" applyProtection="1">
      <alignment horizontal="center"/>
      <protection locked="0"/>
    </xf>
    <xf numFmtId="49" fontId="69" fillId="46" borderId="0" xfId="18" applyNumberFormat="1" applyFont="1" applyFill="1" applyBorder="1" applyAlignment="1" applyProtection="1">
      <alignment horizontal="left"/>
      <protection locked="0"/>
    </xf>
    <xf numFmtId="49" fontId="2" fillId="47" borderId="0" xfId="18" applyNumberFormat="1" applyFont="1" applyFill="1" applyBorder="1" applyAlignment="1" applyProtection="1">
      <alignment horizontal="center"/>
      <protection locked="0"/>
    </xf>
    <xf numFmtId="49" fontId="2" fillId="47" borderId="0" xfId="18" applyNumberFormat="1" applyFont="1" applyFill="1" applyBorder="1" applyAlignment="1" applyProtection="1">
      <alignment horizontal="left"/>
      <protection locked="0"/>
    </xf>
    <xf numFmtId="49" fontId="37" fillId="47" borderId="0" xfId="18" applyNumberFormat="1" applyFont="1" applyFill="1" applyBorder="1" applyAlignment="1" applyProtection="1">
      <alignment horizontal="left"/>
      <protection locked="0"/>
    </xf>
    <xf numFmtId="49" fontId="2" fillId="47" borderId="0" xfId="5" applyNumberFormat="1" applyFont="1" applyFill="1" applyBorder="1" applyAlignment="1" applyProtection="1">
      <alignment horizontal="center"/>
      <protection locked="0"/>
    </xf>
    <xf numFmtId="3" fontId="31" fillId="8" borderId="10" xfId="6" applyNumberFormat="1" applyFont="1" applyFill="1" applyBorder="1" applyAlignment="1" applyProtection="1"/>
    <xf numFmtId="0" fontId="39" fillId="0" borderId="0" xfId="124" applyFill="1"/>
    <xf numFmtId="1" fontId="2" fillId="47" borderId="0" xfId="5" applyNumberFormat="1" applyFont="1" applyFill="1" applyBorder="1" applyAlignment="1" applyProtection="1">
      <alignment horizontal="center"/>
      <protection locked="0"/>
    </xf>
    <xf numFmtId="3" fontId="2" fillId="47" borderId="0" xfId="471" applyFont="1" applyFill="1" applyBorder="1" applyAlignment="1" applyProtection="1">
      <protection locked="0"/>
    </xf>
    <xf numFmtId="3" fontId="37" fillId="47" borderId="0" xfId="471" applyFont="1" applyFill="1" applyBorder="1" applyAlignment="1" applyProtection="1">
      <protection locked="0"/>
    </xf>
    <xf numFmtId="1" fontId="2" fillId="47" borderId="0" xfId="16" applyNumberFormat="1" applyFont="1" applyFill="1" applyBorder="1" applyAlignment="1" applyProtection="1">
      <alignment horizontal="center"/>
      <protection locked="0"/>
    </xf>
    <xf numFmtId="49" fontId="2" fillId="48" borderId="0" xfId="18" applyNumberFormat="1" applyFont="1" applyFill="1" applyBorder="1" applyAlignment="1" applyProtection="1">
      <alignment horizontal="left"/>
      <protection locked="0"/>
    </xf>
    <xf numFmtId="49" fontId="69" fillId="48" borderId="0" xfId="18" applyNumberFormat="1" applyFont="1" applyFill="1" applyBorder="1" applyAlignment="1" applyProtection="1">
      <alignment horizontal="left"/>
      <protection locked="0"/>
    </xf>
    <xf numFmtId="1" fontId="76" fillId="47" borderId="0" xfId="3304" applyNumberFormat="1" applyFont="1" applyFill="1" applyBorder="1" applyAlignment="1" applyProtection="1">
      <alignment horizontal="center"/>
      <protection locked="0"/>
    </xf>
    <xf numFmtId="49" fontId="2" fillId="47" borderId="0" xfId="471" applyNumberFormat="1" applyFont="1" applyFill="1" applyBorder="1" applyAlignment="1" applyProtection="1">
      <alignment horizontal="left"/>
      <protection locked="0"/>
    </xf>
    <xf numFmtId="49" fontId="37" fillId="47" borderId="0" xfId="471" applyNumberFormat="1" applyFont="1" applyFill="1" applyBorder="1" applyAlignment="1" applyProtection="1">
      <alignment horizontal="left"/>
      <protection locked="0"/>
    </xf>
    <xf numFmtId="49" fontId="37" fillId="48" borderId="0" xfId="18" applyNumberFormat="1" applyFont="1" applyFill="1" applyBorder="1" applyAlignment="1" applyProtection="1">
      <alignment horizontal="left"/>
      <protection locked="0"/>
    </xf>
    <xf numFmtId="49" fontId="37" fillId="47" borderId="0" xfId="19657" applyNumberFormat="1" applyFont="1" applyFill="1" applyBorder="1" applyAlignment="1" applyProtection="1">
      <alignment horizontal="left"/>
      <protection locked="0"/>
    </xf>
    <xf numFmtId="1" fontId="5" fillId="47" borderId="0" xfId="3304" applyNumberFormat="1" applyFont="1" applyFill="1" applyBorder="1" applyAlignment="1" applyProtection="1">
      <alignment horizontal="center"/>
      <protection locked="0"/>
    </xf>
    <xf numFmtId="49" fontId="2" fillId="46" borderId="5" xfId="471" applyNumberFormat="1" applyFont="1" applyFill="1" applyBorder="1" applyAlignment="1" applyProtection="1">
      <alignment horizontal="center"/>
      <protection locked="0"/>
    </xf>
    <xf numFmtId="49" fontId="2" fillId="46" borderId="0" xfId="471" applyNumberFormat="1" applyFont="1" applyFill="1" applyBorder="1" applyAlignment="1" applyProtection="1">
      <alignment horizontal="center"/>
      <protection locked="0"/>
    </xf>
    <xf numFmtId="1" fontId="2" fillId="49" borderId="0" xfId="19658" applyNumberFormat="1" applyFont="1" applyFill="1" applyBorder="1" applyAlignment="1" applyProtection="1">
      <alignment horizontal="center"/>
      <protection locked="0"/>
    </xf>
    <xf numFmtId="3" fontId="5" fillId="44" borderId="10" xfId="11" applyNumberFormat="1" applyFont="1" applyFill="1" applyBorder="1" applyAlignment="1" applyProtection="1">
      <alignment horizontal="right"/>
      <protection locked="0"/>
    </xf>
    <xf numFmtId="49" fontId="2" fillId="46" borderId="5" xfId="18" applyNumberFormat="1" applyFont="1" applyFill="1" applyBorder="1" applyAlignment="1" applyProtection="1">
      <alignment horizontal="center"/>
      <protection locked="0"/>
    </xf>
    <xf numFmtId="49" fontId="5" fillId="46" borderId="0" xfId="18" applyNumberFormat="1" applyFont="1" applyFill="1" applyBorder="1" applyAlignment="1" applyProtection="1">
      <alignment horizontal="center"/>
      <protection locked="0"/>
    </xf>
    <xf numFmtId="1" fontId="2" fillId="46" borderId="0" xfId="5" applyNumberFormat="1" applyFont="1" applyFill="1" applyBorder="1" applyAlignment="1" applyProtection="1">
      <alignment horizontal="center"/>
      <protection locked="0"/>
    </xf>
    <xf numFmtId="49" fontId="2" fillId="0" borderId="0" xfId="471" applyNumberFormat="1" applyFont="1" applyFill="1" applyBorder="1" applyAlignment="1" applyProtection="1">
      <alignment horizontal="center"/>
      <protection locked="0"/>
    </xf>
    <xf numFmtId="49" fontId="2" fillId="0" borderId="0" xfId="18" applyNumberFormat="1" applyFont="1" applyFill="1" applyBorder="1" applyAlignment="1" applyProtection="1">
      <alignment horizontal="left"/>
      <protection locked="0"/>
    </xf>
    <xf numFmtId="49" fontId="37" fillId="0" borderId="0" xfId="16" applyNumberFormat="1" applyFont="1" applyFill="1" applyBorder="1" applyAlignment="1" applyProtection="1">
      <alignment horizontal="left"/>
      <protection locked="0"/>
    </xf>
    <xf numFmtId="1" fontId="2" fillId="0" borderId="0" xfId="471" applyNumberFormat="1" applyFont="1" applyFill="1" applyBorder="1" applyAlignment="1" applyProtection="1">
      <alignment horizontal="center"/>
      <protection locked="0"/>
    </xf>
    <xf numFmtId="1" fontId="2" fillId="0" borderId="0" xfId="3304" applyNumberFormat="1" applyFont="1" applyFill="1" applyBorder="1" applyAlignment="1" applyProtection="1">
      <alignment horizontal="center"/>
      <protection locked="0"/>
    </xf>
    <xf numFmtId="3" fontId="27" fillId="44" borderId="65" xfId="11" applyNumberFormat="1" applyFont="1" applyFill="1" applyBorder="1" applyAlignment="1" applyProtection="1">
      <alignment horizontal="right"/>
      <protection locked="0"/>
    </xf>
    <xf numFmtId="49" fontId="2" fillId="46" borderId="0" xfId="5" applyNumberFormat="1" applyFont="1" applyFill="1" applyBorder="1" applyAlignment="1" applyProtection="1">
      <alignment horizontal="center"/>
      <protection locked="0"/>
    </xf>
    <xf numFmtId="49" fontId="2" fillId="46" borderId="0" xfId="5" applyNumberFormat="1" applyFont="1" applyFill="1" applyBorder="1" applyAlignment="1" applyProtection="1">
      <alignment horizontal="left"/>
      <protection locked="0"/>
    </xf>
    <xf numFmtId="49" fontId="37" fillId="46" borderId="0" xfId="3304" applyNumberFormat="1" applyFont="1" applyFill="1" applyBorder="1" applyAlignment="1" applyProtection="1">
      <alignment horizontal="left"/>
      <protection locked="0"/>
    </xf>
    <xf numFmtId="0" fontId="1" fillId="0" borderId="0" xfId="3364"/>
    <xf numFmtId="0" fontId="1" fillId="0" borderId="0" xfId="3365"/>
    <xf numFmtId="0" fontId="1" fillId="0" borderId="0" xfId="3356"/>
    <xf numFmtId="0" fontId="1" fillId="0" borderId="0" xfId="3320"/>
    <xf numFmtId="49" fontId="37" fillId="46" borderId="0" xfId="5" applyNumberFormat="1" applyFont="1" applyFill="1" applyBorder="1" applyAlignment="1" applyProtection="1">
      <alignment horizontal="left"/>
      <protection locked="0"/>
    </xf>
    <xf numFmtId="49" fontId="69" fillId="46" borderId="0" xfId="5" applyNumberFormat="1" applyFont="1" applyFill="1" applyBorder="1" applyAlignment="1" applyProtection="1">
      <alignment horizontal="left"/>
      <protection locked="0"/>
    </xf>
    <xf numFmtId="3" fontId="37" fillId="46" borderId="0" xfId="471" applyFont="1" applyFill="1" applyBorder="1" applyAlignment="1" applyProtection="1">
      <protection locked="0"/>
    </xf>
    <xf numFmtId="3" fontId="2" fillId="46" borderId="0" xfId="471" applyFont="1" applyFill="1" applyBorder="1" applyAlignment="1" applyProtection="1">
      <protection locked="0"/>
    </xf>
    <xf numFmtId="3" fontId="5" fillId="0" borderId="11" xfId="11" applyNumberFormat="1" applyFont="1" applyFill="1" applyBorder="1" applyAlignment="1" applyProtection="1">
      <alignment horizontal="right"/>
      <protection locked="0"/>
    </xf>
    <xf numFmtId="0" fontId="1" fillId="0" borderId="5" xfId="1850" applyBorder="1"/>
    <xf numFmtId="0" fontId="1" fillId="0" borderId="5" xfId="3346" applyBorder="1"/>
    <xf numFmtId="1" fontId="2" fillId="46" borderId="0" xfId="471" applyNumberFormat="1" applyFont="1" applyFill="1" applyBorder="1" applyAlignment="1" applyProtection="1">
      <alignment horizontal="center"/>
      <protection locked="0"/>
    </xf>
    <xf numFmtId="3" fontId="2" fillId="44" borderId="10" xfId="11" applyNumberFormat="1" applyFont="1" applyFill="1" applyBorder="1" applyAlignment="1" applyProtection="1">
      <alignment horizontal="right"/>
      <protection locked="0"/>
    </xf>
    <xf numFmtId="3" fontId="2" fillId="44" borderId="5" xfId="11" applyNumberFormat="1" applyFont="1" applyFill="1" applyBorder="1" applyAlignment="1" applyProtection="1">
      <alignment horizontal="right"/>
      <protection locked="0"/>
    </xf>
    <xf numFmtId="169" fontId="2" fillId="0" borderId="1" xfId="1" applyNumberFormat="1" applyFont="1" applyFill="1" applyBorder="1" applyAlignment="1">
      <alignment horizontal="right"/>
    </xf>
    <xf numFmtId="2" fontId="2" fillId="0" borderId="6" xfId="1" applyNumberFormat="1" applyFont="1" applyFill="1" applyBorder="1" applyAlignment="1">
      <alignment horizontal="right"/>
    </xf>
    <xf numFmtId="0" fontId="22" fillId="0" borderId="3" xfId="0" applyFont="1" applyFill="1" applyBorder="1" applyAlignment="1">
      <alignment horizontal="center"/>
    </xf>
    <xf numFmtId="0" fontId="22" fillId="0" borderId="2" xfId="0" applyFont="1" applyFill="1" applyBorder="1" applyAlignment="1">
      <alignment horizontal="center"/>
    </xf>
    <xf numFmtId="0" fontId="20" fillId="0" borderId="0" xfId="0" applyFont="1" applyFill="1" applyBorder="1" applyAlignment="1">
      <alignment wrapText="1"/>
    </xf>
    <xf numFmtId="0" fontId="20" fillId="0" borderId="0" xfId="0" applyFont="1" applyFill="1" applyBorder="1" applyAlignment="1">
      <alignment wrapText="1"/>
    </xf>
    <xf numFmtId="0" fontId="0" fillId="0" borderId="0" xfId="0" applyAlignment="1">
      <alignment wrapText="1"/>
    </xf>
    <xf numFmtId="167" fontId="2" fillId="0" borderId="0" xfId="0" applyNumberFormat="1" applyFont="1" applyFill="1" applyBorder="1" applyAlignment="1">
      <alignment horizontal="center"/>
    </xf>
    <xf numFmtId="0" fontId="14" fillId="0" borderId="0" xfId="0" applyFont="1" applyFill="1" applyBorder="1" applyAlignment="1">
      <alignment horizontal="centerContinuous"/>
    </xf>
    <xf numFmtId="37" fontId="5" fillId="0" borderId="1" xfId="0" applyNumberFormat="1" applyFont="1" applyFill="1" applyBorder="1" applyProtection="1"/>
    <xf numFmtId="37" fontId="22" fillId="0" borderId="2" xfId="0" applyNumberFormat="1" applyFont="1" applyFill="1" applyBorder="1" applyProtection="1"/>
    <xf numFmtId="37" fontId="22" fillId="0" borderId="2" xfId="0" applyNumberFormat="1" applyFont="1" applyFill="1" applyBorder="1" applyAlignment="1" applyProtection="1">
      <alignment horizontal="center"/>
    </xf>
    <xf numFmtId="0" fontId="22" fillId="0" borderId="3" xfId="0" applyFont="1" applyFill="1" applyBorder="1" applyAlignment="1">
      <alignment horizontal="center" wrapText="1"/>
    </xf>
    <xf numFmtId="167" fontId="2" fillId="0" borderId="5" xfId="0" applyNumberFormat="1" applyFont="1" applyFill="1" applyBorder="1"/>
    <xf numFmtId="167" fontId="2" fillId="0" borderId="1" xfId="0" applyNumberFormat="1" applyFont="1" applyFill="1" applyBorder="1" applyAlignment="1">
      <alignment horizontal="center"/>
    </xf>
    <xf numFmtId="167" fontId="2" fillId="0" borderId="7" xfId="0" applyNumberFormat="1" applyFont="1" applyFill="1" applyBorder="1"/>
    <xf numFmtId="49" fontId="4" fillId="0" borderId="0" xfId="0" applyNumberFormat="1" applyFont="1" applyFill="1" applyBorder="1" applyAlignment="1">
      <alignment horizontal="right"/>
    </xf>
    <xf numFmtId="0" fontId="27" fillId="0" borderId="0" xfId="0" applyFont="1" applyFill="1" applyAlignment="1">
      <alignment horizontal="center"/>
    </xf>
    <xf numFmtId="0" fontId="27" fillId="0" borderId="0" xfId="0" applyFont="1" applyFill="1"/>
    <xf numFmtId="167" fontId="33" fillId="0" borderId="0" xfId="0" applyNumberFormat="1" applyFont="1" applyFill="1" applyAlignment="1">
      <alignment horizontal="center"/>
    </xf>
    <xf numFmtId="167" fontId="33" fillId="0" borderId="5" xfId="0" applyNumberFormat="1" applyFont="1" applyFill="1" applyBorder="1"/>
    <xf numFmtId="167" fontId="33" fillId="0" borderId="0" xfId="0" applyNumberFormat="1" applyFont="1" applyFill="1"/>
    <xf numFmtId="167" fontId="29" fillId="0" borderId="0" xfId="0" applyNumberFormat="1" applyFont="1" applyFill="1"/>
    <xf numFmtId="0" fontId="14" fillId="0" borderId="0" xfId="0" applyFont="1" applyFill="1" applyBorder="1" applyAlignment="1">
      <alignment horizontal="center"/>
    </xf>
    <xf numFmtId="0" fontId="2" fillId="0" borderId="0" xfId="0" applyFont="1" applyFill="1" applyAlignment="1">
      <alignment horizontal="center"/>
    </xf>
    <xf numFmtId="0" fontId="2" fillId="0" borderId="0" xfId="0" applyFont="1" applyFill="1" applyBorder="1" applyAlignment="1">
      <alignment horizontal="center"/>
    </xf>
    <xf numFmtId="37" fontId="5" fillId="0" borderId="2" xfId="0" applyNumberFormat="1" applyFont="1" applyFill="1" applyBorder="1" applyProtection="1"/>
    <xf numFmtId="37" fontId="5" fillId="0" borderId="2" xfId="0" applyNumberFormat="1" applyFont="1" applyFill="1" applyBorder="1" applyAlignment="1" applyProtection="1">
      <alignment horizontal="center"/>
    </xf>
    <xf numFmtId="167" fontId="33" fillId="0" borderId="18" xfId="0" applyNumberFormat="1" applyFont="1" applyFill="1" applyBorder="1" applyAlignment="1">
      <alignment horizontal="center"/>
    </xf>
    <xf numFmtId="167" fontId="14" fillId="0" borderId="0" xfId="0" applyNumberFormat="1" applyFont="1" applyFill="1" applyBorder="1"/>
    <xf numFmtId="167" fontId="33" fillId="0" borderId="0" xfId="0" applyNumberFormat="1" applyFont="1" applyFill="1" applyBorder="1" applyAlignment="1">
      <alignment horizontal="center"/>
    </xf>
    <xf numFmtId="167" fontId="33" fillId="0" borderId="1" xfId="0" applyNumberFormat="1" applyFont="1" applyFill="1" applyBorder="1" applyAlignment="1">
      <alignment horizontal="center"/>
    </xf>
    <xf numFmtId="37" fontId="21" fillId="0" borderId="0" xfId="0" applyNumberFormat="1" applyFont="1" applyFill="1" applyAlignment="1" applyProtection="1">
      <alignment horizontal="center"/>
    </xf>
    <xf numFmtId="167" fontId="2" fillId="0" borderId="18" xfId="0" applyNumberFormat="1" applyFont="1" applyFill="1" applyBorder="1" applyAlignment="1">
      <alignment horizontal="center"/>
    </xf>
    <xf numFmtId="167" fontId="4" fillId="0" borderId="0" xfId="0" applyNumberFormat="1" applyFont="1" applyFill="1" applyBorder="1"/>
    <xf numFmtId="0" fontId="0" fillId="0" borderId="0" xfId="0" applyFill="1" applyBorder="1" applyAlignment="1">
      <alignment horizontal="centerContinuous"/>
    </xf>
    <xf numFmtId="37" fontId="17" fillId="0" borderId="0" xfId="0" applyNumberFormat="1" applyFont="1" applyFill="1" applyAlignment="1" applyProtection="1">
      <alignment horizontal="centerContinuous"/>
    </xf>
    <xf numFmtId="37" fontId="18" fillId="0" borderId="1" xfId="0" applyNumberFormat="1" applyFont="1" applyFill="1" applyBorder="1" applyProtection="1"/>
    <xf numFmtId="37" fontId="18" fillId="0" borderId="2" xfId="0" applyNumberFormat="1" applyFont="1" applyFill="1" applyBorder="1" applyProtection="1"/>
    <xf numFmtId="0" fontId="5" fillId="0" borderId="3" xfId="0" applyFont="1" applyFill="1" applyBorder="1" applyAlignment="1">
      <alignment horizontal="centerContinuous"/>
    </xf>
    <xf numFmtId="37" fontId="18" fillId="0" borderId="2" xfId="0" applyNumberFormat="1" applyFont="1" applyFill="1" applyBorder="1" applyAlignment="1" applyProtection="1">
      <alignment horizontal="center"/>
    </xf>
    <xf numFmtId="0" fontId="5" fillId="0" borderId="2" xfId="0" applyFont="1" applyFill="1" applyBorder="1" applyAlignment="1">
      <alignment horizontal="center"/>
    </xf>
    <xf numFmtId="0" fontId="5" fillId="0" borderId="3" xfId="0" applyFont="1" applyFill="1" applyBorder="1" applyAlignment="1">
      <alignment horizontal="center" wrapText="1"/>
    </xf>
    <xf numFmtId="167" fontId="2" fillId="0" borderId="8" xfId="0" applyNumberFormat="1" applyFont="1" applyFill="1" applyBorder="1" applyAlignment="1">
      <alignment horizontal="center"/>
    </xf>
    <xf numFmtId="37" fontId="18" fillId="0" borderId="0" xfId="0" applyNumberFormat="1" applyFont="1" applyFill="1" applyAlignment="1" applyProtection="1">
      <alignment horizontal="centerContinuous"/>
    </xf>
    <xf numFmtId="0" fontId="4" fillId="0" borderId="5" xfId="0" applyFont="1" applyFill="1" applyBorder="1"/>
    <xf numFmtId="167" fontId="14" fillId="0" borderId="5" xfId="0" applyNumberFormat="1" applyFont="1" applyFill="1" applyBorder="1" applyAlignment="1">
      <alignment horizontal="center"/>
    </xf>
    <xf numFmtId="0" fontId="0" fillId="0" borderId="0" xfId="0" applyFill="1" applyBorder="1" applyAlignment="1">
      <alignment horizontal="center"/>
    </xf>
    <xf numFmtId="37" fontId="18" fillId="0" borderId="1" xfId="0" applyNumberFormat="1" applyFont="1" applyFill="1" applyBorder="1" applyAlignment="1" applyProtection="1">
      <alignment horizontal="centerContinuous"/>
    </xf>
    <xf numFmtId="167" fontId="0" fillId="0" borderId="0" xfId="0" applyNumberFormat="1" applyFill="1" applyBorder="1"/>
    <xf numFmtId="37" fontId="17" fillId="0" borderId="0" xfId="0" applyNumberFormat="1" applyFont="1" applyFill="1" applyAlignment="1" applyProtection="1">
      <alignment horizontal="center"/>
    </xf>
    <xf numFmtId="0" fontId="14" fillId="0" borderId="0" xfId="0"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20" fillId="0" borderId="0" xfId="0" applyFont="1" applyFill="1" applyBorder="1" applyAlignment="1">
      <alignment vertical="top" wrapText="1"/>
    </xf>
    <xf numFmtId="0" fontId="20" fillId="0" borderId="0" xfId="0" applyFont="1" applyFill="1" applyBorder="1" applyAlignment="1">
      <alignment wrapText="1"/>
    </xf>
    <xf numFmtId="0" fontId="14" fillId="0" borderId="0" xfId="0" applyFont="1" applyAlignment="1">
      <alignment wrapText="1"/>
    </xf>
    <xf numFmtId="0" fontId="14" fillId="0" borderId="0" xfId="0" applyFont="1" applyBorder="1" applyAlignment="1">
      <alignment vertical="top" wrapText="1"/>
    </xf>
    <xf numFmtId="0" fontId="20" fillId="0" borderId="0" xfId="0" applyFont="1" applyFill="1" applyBorder="1" applyAlignment="1">
      <alignment vertical="top" wrapText="1"/>
    </xf>
    <xf numFmtId="0" fontId="0" fillId="0" borderId="0" xfId="0" applyBorder="1" applyAlignment="1">
      <alignment vertical="top" wrapText="1"/>
    </xf>
    <xf numFmtId="0" fontId="20" fillId="0" borderId="18" xfId="0" applyFont="1" applyFill="1" applyBorder="1" applyAlignment="1">
      <alignment horizontal="left" wrapText="1"/>
    </xf>
    <xf numFmtId="0" fontId="20" fillId="0" borderId="0" xfId="0" applyFont="1" applyFill="1" applyBorder="1" applyAlignment="1">
      <alignment vertical="top" wrapText="1"/>
    </xf>
    <xf numFmtId="0" fontId="14" fillId="0" borderId="0" xfId="0" applyFont="1" applyFill="1" applyBorder="1" applyAlignment="1">
      <alignment vertical="top" wrapText="1"/>
    </xf>
    <xf numFmtId="0" fontId="22" fillId="0" borderId="2" xfId="0" applyFont="1" applyFill="1" applyBorder="1" applyAlignment="1">
      <alignment horizontal="center"/>
    </xf>
    <xf numFmtId="0" fontId="22" fillId="0" borderId="4" xfId="0" applyFont="1" applyFill="1" applyBorder="1" applyAlignment="1">
      <alignment horizontal="center"/>
    </xf>
    <xf numFmtId="0" fontId="22" fillId="0" borderId="3" xfId="0" applyFont="1" applyFill="1" applyBorder="1" applyAlignment="1">
      <alignment horizontal="center"/>
    </xf>
    <xf numFmtId="37" fontId="15" fillId="0" borderId="0" xfId="0" applyNumberFormat="1" applyFont="1" applyFill="1" applyAlignment="1" applyProtection="1">
      <alignment horizontal="center"/>
    </xf>
    <xf numFmtId="37" fontId="21" fillId="0" borderId="0" xfId="0" applyNumberFormat="1" applyFont="1" applyFill="1" applyAlignment="1" applyProtection="1">
      <alignment horizontal="center"/>
    </xf>
    <xf numFmtId="0" fontId="20" fillId="0" borderId="0" xfId="0" applyFont="1" applyFill="1" applyBorder="1" applyAlignment="1">
      <alignment vertical="center" wrapText="1"/>
    </xf>
    <xf numFmtId="0" fontId="14" fillId="0" borderId="0" xfId="0" applyFont="1" applyFill="1" applyBorder="1" applyAlignment="1">
      <alignment vertical="center" wrapText="1"/>
    </xf>
    <xf numFmtId="0" fontId="20" fillId="0" borderId="0" xfId="0" applyFont="1" applyFill="1" applyBorder="1" applyAlignment="1">
      <alignment horizontal="left" wrapText="1"/>
    </xf>
    <xf numFmtId="0" fontId="5" fillId="0" borderId="2" xfId="0" applyFont="1" applyFill="1" applyBorder="1" applyAlignment="1">
      <alignment horizontal="center"/>
    </xf>
    <xf numFmtId="0" fontId="5" fillId="0" borderId="4" xfId="0" applyFont="1" applyFill="1" applyBorder="1" applyAlignment="1">
      <alignment horizontal="center"/>
    </xf>
    <xf numFmtId="0" fontId="5" fillId="0" borderId="3" xfId="0" applyFont="1" applyFill="1" applyBorder="1" applyAlignment="1">
      <alignment horizontal="center"/>
    </xf>
    <xf numFmtId="37" fontId="17" fillId="0" borderId="0" xfId="0" applyNumberFormat="1" applyFont="1" applyFill="1" applyAlignment="1" applyProtection="1">
      <alignment horizontal="center"/>
    </xf>
    <xf numFmtId="0" fontId="20" fillId="0" borderId="0" xfId="0" applyFont="1" applyFill="1" applyBorder="1" applyAlignment="1">
      <alignment wrapText="1"/>
    </xf>
    <xf numFmtId="0" fontId="14" fillId="0" borderId="0" xfId="0" applyFont="1" applyFill="1" applyAlignment="1"/>
    <xf numFmtId="0" fontId="14" fillId="0" borderId="0" xfId="0" applyFont="1" applyAlignment="1">
      <alignment wrapText="1"/>
    </xf>
    <xf numFmtId="0" fontId="14" fillId="0" borderId="0" xfId="0" applyFont="1" applyBorder="1" applyAlignment="1">
      <alignment vertical="top" wrapText="1"/>
    </xf>
    <xf numFmtId="0" fontId="28" fillId="0" borderId="0" xfId="0" applyFont="1" applyFill="1" applyBorder="1" applyAlignment="1">
      <alignment vertical="top" wrapText="1"/>
    </xf>
    <xf numFmtId="0" fontId="29" fillId="0" borderId="0" xfId="0" applyFont="1" applyBorder="1" applyAlignment="1">
      <alignment vertical="top" wrapText="1"/>
    </xf>
    <xf numFmtId="0" fontId="0" fillId="0" borderId="0" xfId="0" applyAlignment="1">
      <alignment wrapText="1"/>
    </xf>
    <xf numFmtId="0" fontId="0" fillId="0" borderId="0" xfId="0" applyBorder="1" applyAlignment="1">
      <alignment vertical="top" wrapText="1"/>
    </xf>
    <xf numFmtId="0" fontId="4" fillId="0" borderId="0" xfId="0" applyFont="1" applyFill="1" applyBorder="1" applyAlignment="1">
      <alignment vertical="top" wrapText="1"/>
    </xf>
    <xf numFmtId="0" fontId="5" fillId="0" borderId="7" xfId="3" applyFont="1" applyFill="1" applyBorder="1" applyAlignment="1">
      <alignment horizontal="center" wrapText="1"/>
    </xf>
    <xf numFmtId="0" fontId="5" fillId="0" borderId="8" xfId="3" applyFont="1" applyFill="1" applyBorder="1" applyAlignment="1">
      <alignment horizontal="center" wrapText="1"/>
    </xf>
  </cellXfs>
  <cellStyles count="19659">
    <cellStyle name="20% - Accent1 2" xfId="3307"/>
    <cellStyle name="20% - Accent2 2" xfId="3348"/>
    <cellStyle name="20% - Accent3 2" xfId="3338"/>
    <cellStyle name="20% - Accent4 2" xfId="3349"/>
    <cellStyle name="20% - Accent5 2" xfId="3337"/>
    <cellStyle name="20% - Accent6 2" xfId="3350"/>
    <cellStyle name="40% - Accent1 2" xfId="3303"/>
    <cellStyle name="40% - Accent2 2" xfId="3353"/>
    <cellStyle name="40% - Accent3 2" xfId="3334"/>
    <cellStyle name="40% - Accent4 2" xfId="3344"/>
    <cellStyle name="40% - Accent5 2" xfId="3323"/>
    <cellStyle name="40% - Accent6 2" xfId="3286"/>
    <cellStyle name="60% - Accent1 2" xfId="3318"/>
    <cellStyle name="60% - Accent2 2" xfId="3283"/>
    <cellStyle name="60% - Accent3 2" xfId="3306"/>
    <cellStyle name="60% - Accent4 2" xfId="3347"/>
    <cellStyle name="60% - Accent5 2" xfId="3288"/>
    <cellStyle name="60% - Accent6 2" xfId="3332"/>
    <cellStyle name="Accent1 2" xfId="3341"/>
    <cellStyle name="Accent2 2" xfId="3351"/>
    <cellStyle name="Accent3 2" xfId="3315"/>
    <cellStyle name="Accent4 2" xfId="3330"/>
    <cellStyle name="Accent5 2" xfId="3354"/>
    <cellStyle name="Accent6 2" xfId="1851"/>
    <cellStyle name="Bad 2" xfId="1873"/>
    <cellStyle name="Calculation 2" xfId="3314"/>
    <cellStyle name="Calculation 3" xfId="3311"/>
    <cellStyle name="Check Cell 2" xfId="3312"/>
    <cellStyle name="Comma" xfId="9" builtinId="3"/>
    <cellStyle name="Comma 2" xfId="13"/>
    <cellStyle name="Comma 2 2" xfId="123"/>
    <cellStyle name="Comma 2 3" xfId="100"/>
    <cellStyle name="Comma 2 4" xfId="3301"/>
    <cellStyle name="Comma 3" xfId="6"/>
    <cellStyle name="Comma 3 2" xfId="7"/>
    <cellStyle name="Comma 4" xfId="29"/>
    <cellStyle name="Comma 5" xfId="11"/>
    <cellStyle name="Comma 5 10" xfId="482"/>
    <cellStyle name="Comma 5 10 2" xfId="508"/>
    <cellStyle name="Comma 5 10 2 2" xfId="2238"/>
    <cellStyle name="Comma 5 10 2 2 2" xfId="16128"/>
    <cellStyle name="Comma 5 10 2 2 3" xfId="12550"/>
    <cellStyle name="Comma 5 10 2 2 4" xfId="7259"/>
    <cellStyle name="Comma 5 10 2 3" xfId="3507"/>
    <cellStyle name="Comma 5 10 2 3 2" xfId="17152"/>
    <cellStyle name="Comma 5 10 2 3 3" xfId="13573"/>
    <cellStyle name="Comma 5 10 2 3 4" xfId="8316"/>
    <cellStyle name="Comma 5 10 2 4" xfId="6375"/>
    <cellStyle name="Comma 5 10 2 4 2" xfId="15459"/>
    <cellStyle name="Comma 5 10 2 5" xfId="9770"/>
    <cellStyle name="Comma 5 10 2 5 2" xfId="18597"/>
    <cellStyle name="Comma 5 10 2 6" xfId="11214"/>
    <cellStyle name="Comma 5 10 2 7" xfId="4853"/>
    <cellStyle name="Comma 5 10 3" xfId="866"/>
    <cellStyle name="Comma 5 10 3 2" xfId="2586"/>
    <cellStyle name="Comma 5 10 3 2 2" xfId="16521"/>
    <cellStyle name="Comma 5 10 3 2 3" xfId="12943"/>
    <cellStyle name="Comma 5 10 3 2 4" xfId="7653"/>
    <cellStyle name="Comma 5 10 3 3" xfId="3855"/>
    <cellStyle name="Comma 5 10 3 3 2" xfId="17500"/>
    <cellStyle name="Comma 5 10 3 3 3" xfId="13921"/>
    <cellStyle name="Comma 5 10 3 3 4" xfId="8664"/>
    <cellStyle name="Comma 5 10 3 4" xfId="6743"/>
    <cellStyle name="Comma 5 10 3 4 2" xfId="15826"/>
    <cellStyle name="Comma 5 10 3 5" xfId="10118"/>
    <cellStyle name="Comma 5 10 3 5 2" xfId="18945"/>
    <cellStyle name="Comma 5 10 3 6" xfId="11564"/>
    <cellStyle name="Comma 5 10 3 7" xfId="5247"/>
    <cellStyle name="Comma 5 10 4" xfId="1358"/>
    <cellStyle name="Comma 5 10 4 2" xfId="2971"/>
    <cellStyle name="Comma 5 10 4 2 2" xfId="17885"/>
    <cellStyle name="Comma 5 10 4 2 3" xfId="14306"/>
    <cellStyle name="Comma 5 10 4 2 4" xfId="9049"/>
    <cellStyle name="Comma 5 10 4 3" xfId="10503"/>
    <cellStyle name="Comma 5 10 4 3 2" xfId="19330"/>
    <cellStyle name="Comma 5 10 4 4" xfId="11949"/>
    <cellStyle name="Comma 5 10 4 5" xfId="6944"/>
    <cellStyle name="Comma 5 10 5" xfId="1928"/>
    <cellStyle name="Comma 5 10 5 2" xfId="16840"/>
    <cellStyle name="Comma 5 10 5 3" xfId="13261"/>
    <cellStyle name="Comma 5 10 5 4" xfId="8004"/>
    <cellStyle name="Comma 5 10 6" xfId="6060"/>
    <cellStyle name="Comma 5 10 6 2" xfId="15144"/>
    <cellStyle name="Comma 5 10 7" xfId="9460"/>
    <cellStyle name="Comma 5 10 7 2" xfId="18287"/>
    <cellStyle name="Comma 5 10 8" xfId="10904"/>
    <cellStyle name="Comma 5 10 9" xfId="4538"/>
    <cellStyle name="Comma 5 11" xfId="507"/>
    <cellStyle name="Comma 5 11 2" xfId="2237"/>
    <cellStyle name="Comma 5 11 2 2" xfId="16127"/>
    <cellStyle name="Comma 5 11 2 3" xfId="12549"/>
    <cellStyle name="Comma 5 11 2 4" xfId="7258"/>
    <cellStyle name="Comma 5 11 3" xfId="3506"/>
    <cellStyle name="Comma 5 11 3 2" xfId="17151"/>
    <cellStyle name="Comma 5 11 3 3" xfId="13572"/>
    <cellStyle name="Comma 5 11 3 4" xfId="8315"/>
    <cellStyle name="Comma 5 11 4" xfId="6374"/>
    <cellStyle name="Comma 5 11 4 2" xfId="15458"/>
    <cellStyle name="Comma 5 11 5" xfId="9769"/>
    <cellStyle name="Comma 5 11 5 2" xfId="18596"/>
    <cellStyle name="Comma 5 11 6" xfId="11213"/>
    <cellStyle name="Comma 5 11 7" xfId="4852"/>
    <cellStyle name="Comma 5 12" xfId="865"/>
    <cellStyle name="Comma 5 12 2" xfId="2585"/>
    <cellStyle name="Comma 5 12 2 2" xfId="16489"/>
    <cellStyle name="Comma 5 12 2 3" xfId="12911"/>
    <cellStyle name="Comma 5 12 2 4" xfId="7621"/>
    <cellStyle name="Comma 5 12 3" xfId="3854"/>
    <cellStyle name="Comma 5 12 3 2" xfId="17499"/>
    <cellStyle name="Comma 5 12 3 3" xfId="13920"/>
    <cellStyle name="Comma 5 12 3 4" xfId="8663"/>
    <cellStyle name="Comma 5 12 4" xfId="5879"/>
    <cellStyle name="Comma 5 12 4 2" xfId="14965"/>
    <cellStyle name="Comma 5 12 5" xfId="10117"/>
    <cellStyle name="Comma 5 12 5 2" xfId="18944"/>
    <cellStyle name="Comma 5 12 6" xfId="11563"/>
    <cellStyle name="Comma 5 12 7" xfId="5215"/>
    <cellStyle name="Comma 5 13" xfId="1287"/>
    <cellStyle name="Comma 5 13 2" xfId="2939"/>
    <cellStyle name="Comma 5 13 2 2" xfId="17853"/>
    <cellStyle name="Comma 5 13 2 3" xfId="14274"/>
    <cellStyle name="Comma 5 13 2 4" xfId="9017"/>
    <cellStyle name="Comma 5 13 3" xfId="10471"/>
    <cellStyle name="Comma 5 13 3 2" xfId="19298"/>
    <cellStyle name="Comma 5 13 4" xfId="11917"/>
    <cellStyle name="Comma 5 13 5" xfId="6765"/>
    <cellStyle name="Comma 5 14" xfId="1896"/>
    <cellStyle name="Comma 5 14 2" xfId="9428"/>
    <cellStyle name="Comma 5 14 2 2" xfId="18255"/>
    <cellStyle name="Comma 5 14 3" xfId="10872"/>
    <cellStyle name="Comma 5 14 4" xfId="7972"/>
    <cellStyle name="Comma 5 15" xfId="1853"/>
    <cellStyle name="Comma 5 15 2" xfId="14653"/>
    <cellStyle name="Comma 5 15 3" xfId="5567"/>
    <cellStyle name="Comma 5 16" xfId="9388"/>
    <cellStyle name="Comma 5 16 2" xfId="18215"/>
    <cellStyle name="Comma 5 17" xfId="10827"/>
    <cellStyle name="Comma 5 18" xfId="4360"/>
    <cellStyle name="Comma 5 2" xfId="12"/>
    <cellStyle name="Comma 5 2 10" xfId="509"/>
    <cellStyle name="Comma 5 2 10 2" xfId="2239"/>
    <cellStyle name="Comma 5 2 10 2 2" xfId="16129"/>
    <cellStyle name="Comma 5 2 10 2 3" xfId="12551"/>
    <cellStyle name="Comma 5 2 10 2 4" xfId="7260"/>
    <cellStyle name="Comma 5 2 10 3" xfId="3508"/>
    <cellStyle name="Comma 5 2 10 3 2" xfId="17153"/>
    <cellStyle name="Comma 5 2 10 3 3" xfId="13574"/>
    <cellStyle name="Comma 5 2 10 3 4" xfId="8317"/>
    <cellStyle name="Comma 5 2 10 4" xfId="6376"/>
    <cellStyle name="Comma 5 2 10 4 2" xfId="15460"/>
    <cellStyle name="Comma 5 2 10 5" xfId="9771"/>
    <cellStyle name="Comma 5 2 10 5 2" xfId="18598"/>
    <cellStyle name="Comma 5 2 10 6" xfId="11215"/>
    <cellStyle name="Comma 5 2 10 7" xfId="4854"/>
    <cellStyle name="Comma 5 2 11" xfId="867"/>
    <cellStyle name="Comma 5 2 11 2" xfId="2587"/>
    <cellStyle name="Comma 5 2 11 2 2" xfId="16490"/>
    <cellStyle name="Comma 5 2 11 2 3" xfId="12912"/>
    <cellStyle name="Comma 5 2 11 2 4" xfId="7622"/>
    <cellStyle name="Comma 5 2 11 3" xfId="3856"/>
    <cellStyle name="Comma 5 2 11 3 2" xfId="17501"/>
    <cellStyle name="Comma 5 2 11 3 3" xfId="13922"/>
    <cellStyle name="Comma 5 2 11 3 4" xfId="8665"/>
    <cellStyle name="Comma 5 2 11 4" xfId="5880"/>
    <cellStyle name="Comma 5 2 11 4 2" xfId="14966"/>
    <cellStyle name="Comma 5 2 11 5" xfId="10119"/>
    <cellStyle name="Comma 5 2 11 5 2" xfId="18946"/>
    <cellStyle name="Comma 5 2 11 6" xfId="11565"/>
    <cellStyle name="Comma 5 2 11 7" xfId="5216"/>
    <cellStyle name="Comma 5 2 12" xfId="1288"/>
    <cellStyle name="Comma 5 2 12 2" xfId="2940"/>
    <cellStyle name="Comma 5 2 12 2 2" xfId="17854"/>
    <cellStyle name="Comma 5 2 12 2 3" xfId="14275"/>
    <cellStyle name="Comma 5 2 12 2 4" xfId="9018"/>
    <cellStyle name="Comma 5 2 12 3" xfId="10472"/>
    <cellStyle name="Comma 5 2 12 3 2" xfId="19299"/>
    <cellStyle name="Comma 5 2 12 4" xfId="11918"/>
    <cellStyle name="Comma 5 2 12 5" xfId="6766"/>
    <cellStyle name="Comma 5 2 13" xfId="1897"/>
    <cellStyle name="Comma 5 2 13 2" xfId="9429"/>
    <cellStyle name="Comma 5 2 13 2 2" xfId="18256"/>
    <cellStyle name="Comma 5 2 13 3" xfId="10873"/>
    <cellStyle name="Comma 5 2 13 4" xfId="7973"/>
    <cellStyle name="Comma 5 2 14" xfId="1854"/>
    <cellStyle name="Comma 5 2 14 2" xfId="14654"/>
    <cellStyle name="Comma 5 2 14 3" xfId="5568"/>
    <cellStyle name="Comma 5 2 15" xfId="9389"/>
    <cellStyle name="Comma 5 2 15 2" xfId="18216"/>
    <cellStyle name="Comma 5 2 16" xfId="10828"/>
    <cellStyle name="Comma 5 2 17" xfId="4361"/>
    <cellStyle name="Comma 5 2 2" xfId="133"/>
    <cellStyle name="Comma 5 2 2 10" xfId="1909"/>
    <cellStyle name="Comma 5 2 2 10 2" xfId="9441"/>
    <cellStyle name="Comma 5 2 2 10 2 2" xfId="18268"/>
    <cellStyle name="Comma 5 2 2 10 3" xfId="10885"/>
    <cellStyle name="Comma 5 2 2 10 4" xfId="7985"/>
    <cellStyle name="Comma 5 2 2 11" xfId="1879"/>
    <cellStyle name="Comma 5 2 2 11 2" xfId="14679"/>
    <cellStyle name="Comma 5 2 2 11 3" xfId="5593"/>
    <cellStyle name="Comma 5 2 2 12" xfId="9411"/>
    <cellStyle name="Comma 5 2 2 12 2" xfId="18238"/>
    <cellStyle name="Comma 5 2 2 13" xfId="10855"/>
    <cellStyle name="Comma 5 2 2 14" xfId="4374"/>
    <cellStyle name="Comma 5 2 2 2" xfId="233"/>
    <cellStyle name="Comma 5 2 2 2 10" xfId="9543"/>
    <cellStyle name="Comma 5 2 2 2 10 2" xfId="18370"/>
    <cellStyle name="Comma 5 2 2 2 11" xfId="10987"/>
    <cellStyle name="Comma 5 2 2 2 12" xfId="4404"/>
    <cellStyle name="Comma 5 2 2 2 2" xfId="446"/>
    <cellStyle name="Comma 5 2 2 2 2 10" xfId="4508"/>
    <cellStyle name="Comma 5 2 2 2 2 2" xfId="512"/>
    <cellStyle name="Comma 5 2 2 2 2 2 2" xfId="2242"/>
    <cellStyle name="Comma 5 2 2 2 2 2 2 2" xfId="16104"/>
    <cellStyle name="Comma 5 2 2 2 2 2 2 3" xfId="12526"/>
    <cellStyle name="Comma 5 2 2 2 2 2 2 4" xfId="7231"/>
    <cellStyle name="Comma 5 2 2 2 2 2 3" xfId="3511"/>
    <cellStyle name="Comma 5 2 2 2 2 2 3 2" xfId="17156"/>
    <cellStyle name="Comma 5 2 2 2 2 2 3 3" xfId="13577"/>
    <cellStyle name="Comma 5 2 2 2 2 2 3 4" xfId="8320"/>
    <cellStyle name="Comma 5 2 2 2 2 2 4" xfId="6347"/>
    <cellStyle name="Comma 5 2 2 2 2 2 4 2" xfId="15431"/>
    <cellStyle name="Comma 5 2 2 2 2 2 5" xfId="9774"/>
    <cellStyle name="Comma 5 2 2 2 2 2 5 2" xfId="18601"/>
    <cellStyle name="Comma 5 2 2 2 2 2 6" xfId="11218"/>
    <cellStyle name="Comma 5 2 2 2 2 2 7" xfId="4825"/>
    <cellStyle name="Comma 5 2 2 2 2 3" xfId="870"/>
    <cellStyle name="Comma 5 2 2 2 2 3 2" xfId="2590"/>
    <cellStyle name="Comma 5 2 2 2 2 3 2 2" xfId="16132"/>
    <cellStyle name="Comma 5 2 2 2 2 3 2 3" xfId="12554"/>
    <cellStyle name="Comma 5 2 2 2 2 3 2 4" xfId="7263"/>
    <cellStyle name="Comma 5 2 2 2 2 3 3" xfId="3859"/>
    <cellStyle name="Comma 5 2 2 2 2 3 3 2" xfId="17504"/>
    <cellStyle name="Comma 5 2 2 2 2 3 3 3" xfId="13925"/>
    <cellStyle name="Comma 5 2 2 2 2 3 3 4" xfId="8668"/>
    <cellStyle name="Comma 5 2 2 2 2 3 4" xfId="6379"/>
    <cellStyle name="Comma 5 2 2 2 2 3 4 2" xfId="15463"/>
    <cellStyle name="Comma 5 2 2 2 2 3 5" xfId="10122"/>
    <cellStyle name="Comma 5 2 2 2 2 3 5 2" xfId="18949"/>
    <cellStyle name="Comma 5 2 2 2 2 3 6" xfId="11568"/>
    <cellStyle name="Comma 5 2 2 2 2 3 7" xfId="4857"/>
    <cellStyle name="Comma 5 2 2 2 2 4" xfId="1662"/>
    <cellStyle name="Comma 5 2 2 2 2 4 2" xfId="3258"/>
    <cellStyle name="Comma 5 2 2 2 2 4 2 2" xfId="16808"/>
    <cellStyle name="Comma 5 2 2 2 2 4 2 3" xfId="13229"/>
    <cellStyle name="Comma 5 2 2 2 2 4 2 4" xfId="7940"/>
    <cellStyle name="Comma 5 2 2 2 2 4 3" xfId="4326"/>
    <cellStyle name="Comma 5 2 2 2 2 4 3 2" xfId="18172"/>
    <cellStyle name="Comma 5 2 2 2 2 4 3 3" xfId="14593"/>
    <cellStyle name="Comma 5 2 2 2 2 4 3 4" xfId="9336"/>
    <cellStyle name="Comma 5 2 2 2 2 4 4" xfId="6028"/>
    <cellStyle name="Comma 5 2 2 2 2 4 4 2" xfId="15114"/>
    <cellStyle name="Comma 5 2 2 2 2 4 5" xfId="10790"/>
    <cellStyle name="Comma 5 2 2 2 2 4 5 2" xfId="19617"/>
    <cellStyle name="Comma 5 2 2 2 2 4 6" xfId="12236"/>
    <cellStyle name="Comma 5 2 2 2 2 4 7" xfId="5534"/>
    <cellStyle name="Comma 5 2 2 2 2 5" xfId="2215"/>
    <cellStyle name="Comma 5 2 2 2 2 5 2" xfId="15957"/>
    <cellStyle name="Comma 5 2 2 2 2 5 3" xfId="12291"/>
    <cellStyle name="Comma 5 2 2 2 2 5 4" xfId="6914"/>
    <cellStyle name="Comma 5 2 2 2 2 6" xfId="3488"/>
    <cellStyle name="Comma 5 2 2 2 2 6 2" xfId="17129"/>
    <cellStyle name="Comma 5 2 2 2 2 6 3" xfId="13550"/>
    <cellStyle name="Comma 5 2 2 2 2 6 4" xfId="8293"/>
    <cellStyle name="Comma 5 2 2 2 2 7" xfId="5854"/>
    <cellStyle name="Comma 5 2 2 2 2 7 2" xfId="14940"/>
    <cellStyle name="Comma 5 2 2 2 2 8" xfId="9747"/>
    <cellStyle name="Comma 5 2 2 2 2 8 2" xfId="18574"/>
    <cellStyle name="Comma 5 2 2 2 2 9" xfId="11191"/>
    <cellStyle name="Comma 5 2 2 2 3" xfId="341"/>
    <cellStyle name="Comma 5 2 2 2 3 2" xfId="513"/>
    <cellStyle name="Comma 5 2 2 2 3 2 2" xfId="2243"/>
    <cellStyle name="Comma 5 2 2 2 3 2 2 2" xfId="16133"/>
    <cellStyle name="Comma 5 2 2 2 3 2 2 3" xfId="12555"/>
    <cellStyle name="Comma 5 2 2 2 3 2 2 4" xfId="7264"/>
    <cellStyle name="Comma 5 2 2 2 3 2 3" xfId="3512"/>
    <cellStyle name="Comma 5 2 2 2 3 2 3 2" xfId="17157"/>
    <cellStyle name="Comma 5 2 2 2 3 2 3 3" xfId="13578"/>
    <cellStyle name="Comma 5 2 2 2 3 2 3 4" xfId="8321"/>
    <cellStyle name="Comma 5 2 2 2 3 2 4" xfId="6380"/>
    <cellStyle name="Comma 5 2 2 2 3 2 4 2" xfId="15464"/>
    <cellStyle name="Comma 5 2 2 2 3 2 5" xfId="9775"/>
    <cellStyle name="Comma 5 2 2 2 3 2 5 2" xfId="18602"/>
    <cellStyle name="Comma 5 2 2 2 3 2 6" xfId="11219"/>
    <cellStyle name="Comma 5 2 2 2 3 2 7" xfId="4858"/>
    <cellStyle name="Comma 5 2 2 2 3 3" xfId="871"/>
    <cellStyle name="Comma 5 2 2 2 3 3 2" xfId="2591"/>
    <cellStyle name="Comma 5 2 2 2 3 3 2 2" xfId="16704"/>
    <cellStyle name="Comma 5 2 2 2 3 3 2 3" xfId="13125"/>
    <cellStyle name="Comma 5 2 2 2 3 3 2 4" xfId="7836"/>
    <cellStyle name="Comma 5 2 2 2 3 3 3" xfId="3860"/>
    <cellStyle name="Comma 5 2 2 2 3 3 3 2" xfId="17505"/>
    <cellStyle name="Comma 5 2 2 2 3 3 3 3" xfId="13926"/>
    <cellStyle name="Comma 5 2 2 2 3 3 3 4" xfId="8669"/>
    <cellStyle name="Comma 5 2 2 2 3 3 4" xfId="6243"/>
    <cellStyle name="Comma 5 2 2 2 3 3 4 2" xfId="15327"/>
    <cellStyle name="Comma 5 2 2 2 3 3 5" xfId="10123"/>
    <cellStyle name="Comma 5 2 2 2 3 3 5 2" xfId="18950"/>
    <cellStyle name="Comma 5 2 2 2 3 3 6" xfId="11569"/>
    <cellStyle name="Comma 5 2 2 2 3 3 7" xfId="5430"/>
    <cellStyle name="Comma 5 2 2 2 3 4" xfId="1555"/>
    <cellStyle name="Comma 5 2 2 2 3 4 2" xfId="3154"/>
    <cellStyle name="Comma 5 2 2 2 3 4 2 2" xfId="18068"/>
    <cellStyle name="Comma 5 2 2 2 3 4 2 3" xfId="14489"/>
    <cellStyle name="Comma 5 2 2 2 3 4 2 4" xfId="9232"/>
    <cellStyle name="Comma 5 2 2 2 3 4 3" xfId="10686"/>
    <cellStyle name="Comma 5 2 2 2 3 4 3 2" xfId="19513"/>
    <cellStyle name="Comma 5 2 2 2 3 4 4" xfId="12132"/>
    <cellStyle name="Comma 5 2 2 2 3 4 5" xfId="7127"/>
    <cellStyle name="Comma 5 2 2 2 3 5" xfId="2111"/>
    <cellStyle name="Comma 5 2 2 2 3 5 2" xfId="17025"/>
    <cellStyle name="Comma 5 2 2 2 3 5 3" xfId="13446"/>
    <cellStyle name="Comma 5 2 2 2 3 5 4" xfId="8189"/>
    <cellStyle name="Comma 5 2 2 2 3 6" xfId="5750"/>
    <cellStyle name="Comma 5 2 2 2 3 6 2" xfId="14836"/>
    <cellStyle name="Comma 5 2 2 2 3 7" xfId="9643"/>
    <cellStyle name="Comma 5 2 2 2 3 7 2" xfId="18470"/>
    <cellStyle name="Comma 5 2 2 2 3 8" xfId="11087"/>
    <cellStyle name="Comma 5 2 2 2 3 9" xfId="4721"/>
    <cellStyle name="Comma 5 2 2 2 4" xfId="511"/>
    <cellStyle name="Comma 5 2 2 2 4 2" xfId="2241"/>
    <cellStyle name="Comma 5 2 2 2 4 2 2" xfId="16041"/>
    <cellStyle name="Comma 5 2 2 2 4 2 3" xfId="12288"/>
    <cellStyle name="Comma 5 2 2 2 4 2 4" xfId="7027"/>
    <cellStyle name="Comma 5 2 2 2 4 3" xfId="3510"/>
    <cellStyle name="Comma 5 2 2 2 4 3 2" xfId="17155"/>
    <cellStyle name="Comma 5 2 2 2 4 3 3" xfId="13576"/>
    <cellStyle name="Comma 5 2 2 2 4 3 4" xfId="8319"/>
    <cellStyle name="Comma 5 2 2 2 4 4" xfId="6143"/>
    <cellStyle name="Comma 5 2 2 2 4 4 2" xfId="15227"/>
    <cellStyle name="Comma 5 2 2 2 4 5" xfId="9773"/>
    <cellStyle name="Comma 5 2 2 2 4 5 2" xfId="18600"/>
    <cellStyle name="Comma 5 2 2 2 4 6" xfId="11217"/>
    <cellStyle name="Comma 5 2 2 2 4 7" xfId="4621"/>
    <cellStyle name="Comma 5 2 2 2 5" xfId="869"/>
    <cellStyle name="Comma 5 2 2 2 5 2" xfId="2589"/>
    <cellStyle name="Comma 5 2 2 2 5 2 2" xfId="16131"/>
    <cellStyle name="Comma 5 2 2 2 5 2 3" xfId="12553"/>
    <cellStyle name="Comma 5 2 2 2 5 2 4" xfId="7262"/>
    <cellStyle name="Comma 5 2 2 2 5 3" xfId="3858"/>
    <cellStyle name="Comma 5 2 2 2 5 3 2" xfId="17503"/>
    <cellStyle name="Comma 5 2 2 2 5 3 3" xfId="13924"/>
    <cellStyle name="Comma 5 2 2 2 5 3 4" xfId="8667"/>
    <cellStyle name="Comma 5 2 2 2 5 4" xfId="6378"/>
    <cellStyle name="Comma 5 2 2 2 5 4 2" xfId="15462"/>
    <cellStyle name="Comma 5 2 2 2 5 5" xfId="10121"/>
    <cellStyle name="Comma 5 2 2 2 5 5 2" xfId="18948"/>
    <cellStyle name="Comma 5 2 2 2 5 6" xfId="11567"/>
    <cellStyle name="Comma 5 2 2 2 5 7" xfId="4856"/>
    <cellStyle name="Comma 5 2 2 2 6" xfId="1453"/>
    <cellStyle name="Comma 5 2 2 2 6 2" xfId="3054"/>
    <cellStyle name="Comma 5 2 2 2 6 2 2" xfId="16604"/>
    <cellStyle name="Comma 5 2 2 2 6 2 3" xfId="13025"/>
    <cellStyle name="Comma 5 2 2 2 6 2 4" xfId="7736"/>
    <cellStyle name="Comma 5 2 2 2 6 3" xfId="4263"/>
    <cellStyle name="Comma 5 2 2 2 6 3 2" xfId="17968"/>
    <cellStyle name="Comma 5 2 2 2 6 3 3" xfId="14389"/>
    <cellStyle name="Comma 5 2 2 2 6 3 4" xfId="9132"/>
    <cellStyle name="Comma 5 2 2 2 6 4" xfId="5924"/>
    <cellStyle name="Comma 5 2 2 2 6 4 2" xfId="15010"/>
    <cellStyle name="Comma 5 2 2 2 6 5" xfId="10586"/>
    <cellStyle name="Comma 5 2 2 2 6 5 2" xfId="19413"/>
    <cellStyle name="Comma 5 2 2 2 6 6" xfId="12032"/>
    <cellStyle name="Comma 5 2 2 2 6 7" xfId="5330"/>
    <cellStyle name="Comma 5 2 2 2 7" xfId="2011"/>
    <cellStyle name="Comma 5 2 2 2 7 2" xfId="15856"/>
    <cellStyle name="Comma 5 2 2 2 7 3" xfId="12380"/>
    <cellStyle name="Comma 5 2 2 2 7 4" xfId="6810"/>
    <cellStyle name="Comma 5 2 2 2 8" xfId="3425"/>
    <cellStyle name="Comma 5 2 2 2 8 2" xfId="16925"/>
    <cellStyle name="Comma 5 2 2 2 8 3" xfId="13346"/>
    <cellStyle name="Comma 5 2 2 2 8 4" xfId="8089"/>
    <cellStyle name="Comma 5 2 2 2 9" xfId="5650"/>
    <cellStyle name="Comma 5 2 2 2 9 2" xfId="14736"/>
    <cellStyle name="Comma 5 2 2 3" xfId="276"/>
    <cellStyle name="Comma 5 2 2 3 10" xfId="11030"/>
    <cellStyle name="Comma 5 2 2 3 11" xfId="4447"/>
    <cellStyle name="Comma 5 2 2 3 2" xfId="384"/>
    <cellStyle name="Comma 5 2 2 3 2 2" xfId="515"/>
    <cellStyle name="Comma 5 2 2 3 2 2 2" xfId="2245"/>
    <cellStyle name="Comma 5 2 2 3 2 2 2 2" xfId="16135"/>
    <cellStyle name="Comma 5 2 2 3 2 2 2 3" xfId="12557"/>
    <cellStyle name="Comma 5 2 2 3 2 2 2 4" xfId="7266"/>
    <cellStyle name="Comma 5 2 2 3 2 2 3" xfId="3514"/>
    <cellStyle name="Comma 5 2 2 3 2 2 3 2" xfId="17159"/>
    <cellStyle name="Comma 5 2 2 3 2 2 3 3" xfId="13580"/>
    <cellStyle name="Comma 5 2 2 3 2 2 3 4" xfId="8323"/>
    <cellStyle name="Comma 5 2 2 3 2 2 4" xfId="6382"/>
    <cellStyle name="Comma 5 2 2 3 2 2 4 2" xfId="15466"/>
    <cellStyle name="Comma 5 2 2 3 2 2 5" xfId="9777"/>
    <cellStyle name="Comma 5 2 2 3 2 2 5 2" xfId="18604"/>
    <cellStyle name="Comma 5 2 2 3 2 2 6" xfId="11221"/>
    <cellStyle name="Comma 5 2 2 3 2 2 7" xfId="4860"/>
    <cellStyle name="Comma 5 2 2 3 2 3" xfId="873"/>
    <cellStyle name="Comma 5 2 2 3 2 3 2" xfId="2593"/>
    <cellStyle name="Comma 5 2 2 3 2 3 2 2" xfId="16747"/>
    <cellStyle name="Comma 5 2 2 3 2 3 2 3" xfId="13168"/>
    <cellStyle name="Comma 5 2 2 3 2 3 2 4" xfId="7879"/>
    <cellStyle name="Comma 5 2 2 3 2 3 3" xfId="3862"/>
    <cellStyle name="Comma 5 2 2 3 2 3 3 2" xfId="17507"/>
    <cellStyle name="Comma 5 2 2 3 2 3 3 3" xfId="13928"/>
    <cellStyle name="Comma 5 2 2 3 2 3 3 4" xfId="8671"/>
    <cellStyle name="Comma 5 2 2 3 2 3 4" xfId="6286"/>
    <cellStyle name="Comma 5 2 2 3 2 3 4 2" xfId="15370"/>
    <cellStyle name="Comma 5 2 2 3 2 3 5" xfId="10125"/>
    <cellStyle name="Comma 5 2 2 3 2 3 5 2" xfId="18952"/>
    <cellStyle name="Comma 5 2 2 3 2 3 6" xfId="11571"/>
    <cellStyle name="Comma 5 2 2 3 2 3 7" xfId="5473"/>
    <cellStyle name="Comma 5 2 2 3 2 4" xfId="1600"/>
    <cellStyle name="Comma 5 2 2 3 2 4 2" xfId="3197"/>
    <cellStyle name="Comma 5 2 2 3 2 4 2 2" xfId="18111"/>
    <cellStyle name="Comma 5 2 2 3 2 4 2 3" xfId="14532"/>
    <cellStyle name="Comma 5 2 2 3 2 4 2 4" xfId="9275"/>
    <cellStyle name="Comma 5 2 2 3 2 4 3" xfId="10729"/>
    <cellStyle name="Comma 5 2 2 3 2 4 3 2" xfId="19556"/>
    <cellStyle name="Comma 5 2 2 3 2 4 4" xfId="12175"/>
    <cellStyle name="Comma 5 2 2 3 2 4 5" xfId="7170"/>
    <cellStyle name="Comma 5 2 2 3 2 5" xfId="2154"/>
    <cellStyle name="Comma 5 2 2 3 2 5 2" xfId="17068"/>
    <cellStyle name="Comma 5 2 2 3 2 5 3" xfId="13489"/>
    <cellStyle name="Comma 5 2 2 3 2 5 4" xfId="8232"/>
    <cellStyle name="Comma 5 2 2 3 2 6" xfId="5793"/>
    <cellStyle name="Comma 5 2 2 3 2 6 2" xfId="14879"/>
    <cellStyle name="Comma 5 2 2 3 2 7" xfId="9686"/>
    <cellStyle name="Comma 5 2 2 3 2 7 2" xfId="18513"/>
    <cellStyle name="Comma 5 2 2 3 2 8" xfId="11130"/>
    <cellStyle name="Comma 5 2 2 3 2 9" xfId="4764"/>
    <cellStyle name="Comma 5 2 2 3 3" xfId="514"/>
    <cellStyle name="Comma 5 2 2 3 3 2" xfId="2244"/>
    <cellStyle name="Comma 5 2 2 3 3 2 2" xfId="16084"/>
    <cellStyle name="Comma 5 2 2 3 3 2 3" xfId="12267"/>
    <cellStyle name="Comma 5 2 2 3 3 2 4" xfId="7070"/>
    <cellStyle name="Comma 5 2 2 3 3 3" xfId="3513"/>
    <cellStyle name="Comma 5 2 2 3 3 3 2" xfId="17158"/>
    <cellStyle name="Comma 5 2 2 3 3 3 3" xfId="13579"/>
    <cellStyle name="Comma 5 2 2 3 3 3 4" xfId="8322"/>
    <cellStyle name="Comma 5 2 2 3 3 4" xfId="6186"/>
    <cellStyle name="Comma 5 2 2 3 3 4 2" xfId="15270"/>
    <cellStyle name="Comma 5 2 2 3 3 5" xfId="9776"/>
    <cellStyle name="Comma 5 2 2 3 3 5 2" xfId="18603"/>
    <cellStyle name="Comma 5 2 2 3 3 6" xfId="11220"/>
    <cellStyle name="Comma 5 2 2 3 3 7" xfId="4664"/>
    <cellStyle name="Comma 5 2 2 3 4" xfId="872"/>
    <cellStyle name="Comma 5 2 2 3 4 2" xfId="2592"/>
    <cellStyle name="Comma 5 2 2 3 4 2 2" xfId="16134"/>
    <cellStyle name="Comma 5 2 2 3 4 2 3" xfId="12556"/>
    <cellStyle name="Comma 5 2 2 3 4 2 4" xfId="7265"/>
    <cellStyle name="Comma 5 2 2 3 4 3" xfId="3861"/>
    <cellStyle name="Comma 5 2 2 3 4 3 2" xfId="17506"/>
    <cellStyle name="Comma 5 2 2 3 4 3 3" xfId="13927"/>
    <cellStyle name="Comma 5 2 2 3 4 3 4" xfId="8670"/>
    <cellStyle name="Comma 5 2 2 3 4 4" xfId="6381"/>
    <cellStyle name="Comma 5 2 2 3 4 4 2" xfId="15465"/>
    <cellStyle name="Comma 5 2 2 3 4 5" xfId="10124"/>
    <cellStyle name="Comma 5 2 2 3 4 5 2" xfId="18951"/>
    <cellStyle name="Comma 5 2 2 3 4 6" xfId="11570"/>
    <cellStyle name="Comma 5 2 2 3 4 7" xfId="4859"/>
    <cellStyle name="Comma 5 2 2 3 5" xfId="1498"/>
    <cellStyle name="Comma 5 2 2 3 5 2" xfId="3097"/>
    <cellStyle name="Comma 5 2 2 3 5 2 2" xfId="16647"/>
    <cellStyle name="Comma 5 2 2 3 5 2 3" xfId="13068"/>
    <cellStyle name="Comma 5 2 2 3 5 2 4" xfId="7779"/>
    <cellStyle name="Comma 5 2 2 3 5 3" xfId="4306"/>
    <cellStyle name="Comma 5 2 2 3 5 3 2" xfId="18011"/>
    <cellStyle name="Comma 5 2 2 3 5 3 3" xfId="14432"/>
    <cellStyle name="Comma 5 2 2 3 5 3 4" xfId="9175"/>
    <cellStyle name="Comma 5 2 2 3 5 4" xfId="5967"/>
    <cellStyle name="Comma 5 2 2 3 5 4 2" xfId="15053"/>
    <cellStyle name="Comma 5 2 2 3 5 5" xfId="10629"/>
    <cellStyle name="Comma 5 2 2 3 5 5 2" xfId="19456"/>
    <cellStyle name="Comma 5 2 2 3 5 6" xfId="12075"/>
    <cellStyle name="Comma 5 2 2 3 5 7" xfId="5373"/>
    <cellStyle name="Comma 5 2 2 3 6" xfId="2054"/>
    <cellStyle name="Comma 5 2 2 3 6 2" xfId="15896"/>
    <cellStyle name="Comma 5 2 2 3 6 3" xfId="12435"/>
    <cellStyle name="Comma 5 2 2 3 6 4" xfId="6853"/>
    <cellStyle name="Comma 5 2 2 3 7" xfId="3468"/>
    <cellStyle name="Comma 5 2 2 3 7 2" xfId="16968"/>
    <cellStyle name="Comma 5 2 2 3 7 3" xfId="13389"/>
    <cellStyle name="Comma 5 2 2 3 7 4" xfId="8132"/>
    <cellStyle name="Comma 5 2 2 3 8" xfId="5693"/>
    <cellStyle name="Comma 5 2 2 3 8 2" xfId="14779"/>
    <cellStyle name="Comma 5 2 2 3 9" xfId="9586"/>
    <cellStyle name="Comma 5 2 2 3 9 2" xfId="18413"/>
    <cellStyle name="Comma 5 2 2 4" xfId="200"/>
    <cellStyle name="Comma 5 2 2 4 10" xfId="10957"/>
    <cellStyle name="Comma 5 2 2 4 11" xfId="4479"/>
    <cellStyle name="Comma 5 2 2 4 2" xfId="417"/>
    <cellStyle name="Comma 5 2 2 4 2 2" xfId="517"/>
    <cellStyle name="Comma 5 2 2 4 2 2 2" xfId="2247"/>
    <cellStyle name="Comma 5 2 2 4 2 2 2 2" xfId="16137"/>
    <cellStyle name="Comma 5 2 2 4 2 2 2 3" xfId="12559"/>
    <cellStyle name="Comma 5 2 2 4 2 2 2 4" xfId="7268"/>
    <cellStyle name="Comma 5 2 2 4 2 2 3" xfId="3516"/>
    <cellStyle name="Comma 5 2 2 4 2 2 3 2" xfId="17161"/>
    <cellStyle name="Comma 5 2 2 4 2 2 3 3" xfId="13582"/>
    <cellStyle name="Comma 5 2 2 4 2 2 3 4" xfId="8325"/>
    <cellStyle name="Comma 5 2 2 4 2 2 4" xfId="6384"/>
    <cellStyle name="Comma 5 2 2 4 2 2 4 2" xfId="15468"/>
    <cellStyle name="Comma 5 2 2 4 2 2 5" xfId="9779"/>
    <cellStyle name="Comma 5 2 2 4 2 2 5 2" xfId="18606"/>
    <cellStyle name="Comma 5 2 2 4 2 2 6" xfId="11223"/>
    <cellStyle name="Comma 5 2 2 4 2 2 7" xfId="4862"/>
    <cellStyle name="Comma 5 2 2 4 2 3" xfId="875"/>
    <cellStyle name="Comma 5 2 2 4 2 3 2" xfId="2595"/>
    <cellStyle name="Comma 5 2 2 4 2 3 2 2" xfId="16779"/>
    <cellStyle name="Comma 5 2 2 4 2 3 2 3" xfId="13200"/>
    <cellStyle name="Comma 5 2 2 4 2 3 2 4" xfId="7911"/>
    <cellStyle name="Comma 5 2 2 4 2 3 3" xfId="3864"/>
    <cellStyle name="Comma 5 2 2 4 2 3 3 2" xfId="17509"/>
    <cellStyle name="Comma 5 2 2 4 2 3 3 3" xfId="13930"/>
    <cellStyle name="Comma 5 2 2 4 2 3 3 4" xfId="8673"/>
    <cellStyle name="Comma 5 2 2 4 2 3 4" xfId="6318"/>
    <cellStyle name="Comma 5 2 2 4 2 3 4 2" xfId="15402"/>
    <cellStyle name="Comma 5 2 2 4 2 3 5" xfId="10127"/>
    <cellStyle name="Comma 5 2 2 4 2 3 5 2" xfId="18954"/>
    <cellStyle name="Comma 5 2 2 4 2 3 6" xfId="11573"/>
    <cellStyle name="Comma 5 2 2 4 2 3 7" xfId="5505"/>
    <cellStyle name="Comma 5 2 2 4 2 4" xfId="1633"/>
    <cellStyle name="Comma 5 2 2 4 2 4 2" xfId="3229"/>
    <cellStyle name="Comma 5 2 2 4 2 4 2 2" xfId="18143"/>
    <cellStyle name="Comma 5 2 2 4 2 4 2 3" xfId="14564"/>
    <cellStyle name="Comma 5 2 2 4 2 4 2 4" xfId="9307"/>
    <cellStyle name="Comma 5 2 2 4 2 4 3" xfId="10761"/>
    <cellStyle name="Comma 5 2 2 4 2 4 3 2" xfId="19588"/>
    <cellStyle name="Comma 5 2 2 4 2 4 4" xfId="12207"/>
    <cellStyle name="Comma 5 2 2 4 2 4 5" xfId="7202"/>
    <cellStyle name="Comma 5 2 2 4 2 5" xfId="2186"/>
    <cellStyle name="Comma 5 2 2 4 2 5 2" xfId="17100"/>
    <cellStyle name="Comma 5 2 2 4 2 5 3" xfId="13521"/>
    <cellStyle name="Comma 5 2 2 4 2 5 4" xfId="8264"/>
    <cellStyle name="Comma 5 2 2 4 2 6" xfId="5825"/>
    <cellStyle name="Comma 5 2 2 4 2 6 2" xfId="14911"/>
    <cellStyle name="Comma 5 2 2 4 2 7" xfId="9718"/>
    <cellStyle name="Comma 5 2 2 4 2 7 2" xfId="18545"/>
    <cellStyle name="Comma 5 2 2 4 2 8" xfId="11162"/>
    <cellStyle name="Comma 5 2 2 4 2 9" xfId="4796"/>
    <cellStyle name="Comma 5 2 2 4 3" xfId="516"/>
    <cellStyle name="Comma 5 2 2 4 3 2" xfId="2246"/>
    <cellStyle name="Comma 5 2 2 4 3 2 2" xfId="16011"/>
    <cellStyle name="Comma 5 2 2 4 3 2 3" xfId="12321"/>
    <cellStyle name="Comma 5 2 2 4 3 2 4" xfId="6997"/>
    <cellStyle name="Comma 5 2 2 4 3 3" xfId="3515"/>
    <cellStyle name="Comma 5 2 2 4 3 3 2" xfId="17160"/>
    <cellStyle name="Comma 5 2 2 4 3 3 3" xfId="13581"/>
    <cellStyle name="Comma 5 2 2 4 3 3 4" xfId="8324"/>
    <cellStyle name="Comma 5 2 2 4 3 4" xfId="6113"/>
    <cellStyle name="Comma 5 2 2 4 3 4 2" xfId="15197"/>
    <cellStyle name="Comma 5 2 2 4 3 5" xfId="9778"/>
    <cellStyle name="Comma 5 2 2 4 3 5 2" xfId="18605"/>
    <cellStyle name="Comma 5 2 2 4 3 6" xfId="11222"/>
    <cellStyle name="Comma 5 2 2 4 3 7" xfId="4591"/>
    <cellStyle name="Comma 5 2 2 4 4" xfId="874"/>
    <cellStyle name="Comma 5 2 2 4 4 2" xfId="2594"/>
    <cellStyle name="Comma 5 2 2 4 4 2 2" xfId="16136"/>
    <cellStyle name="Comma 5 2 2 4 4 2 3" xfId="12558"/>
    <cellStyle name="Comma 5 2 2 4 4 2 4" xfId="7267"/>
    <cellStyle name="Comma 5 2 2 4 4 3" xfId="3863"/>
    <cellStyle name="Comma 5 2 2 4 4 3 2" xfId="17508"/>
    <cellStyle name="Comma 5 2 2 4 4 3 3" xfId="13929"/>
    <cellStyle name="Comma 5 2 2 4 4 3 4" xfId="8672"/>
    <cellStyle name="Comma 5 2 2 4 4 4" xfId="6383"/>
    <cellStyle name="Comma 5 2 2 4 4 4 2" xfId="15467"/>
    <cellStyle name="Comma 5 2 2 4 4 5" xfId="10126"/>
    <cellStyle name="Comma 5 2 2 4 4 5 2" xfId="18953"/>
    <cellStyle name="Comma 5 2 2 4 4 6" xfId="11572"/>
    <cellStyle name="Comma 5 2 2 4 4 7" xfId="4861"/>
    <cellStyle name="Comma 5 2 2 4 5" xfId="1419"/>
    <cellStyle name="Comma 5 2 2 4 5 2" xfId="3024"/>
    <cellStyle name="Comma 5 2 2 4 5 2 2" xfId="16574"/>
    <cellStyle name="Comma 5 2 2 4 5 2 3" xfId="12995"/>
    <cellStyle name="Comma 5 2 2 4 5 2 4" xfId="7706"/>
    <cellStyle name="Comma 5 2 2 4 5 3" xfId="4233"/>
    <cellStyle name="Comma 5 2 2 4 5 3 2" xfId="17938"/>
    <cellStyle name="Comma 5 2 2 4 5 3 3" xfId="14359"/>
    <cellStyle name="Comma 5 2 2 4 5 3 4" xfId="9102"/>
    <cellStyle name="Comma 5 2 2 4 5 4" xfId="5999"/>
    <cellStyle name="Comma 5 2 2 4 5 4 2" xfId="15085"/>
    <cellStyle name="Comma 5 2 2 4 5 5" xfId="10556"/>
    <cellStyle name="Comma 5 2 2 4 5 5 2" xfId="19383"/>
    <cellStyle name="Comma 5 2 2 4 5 6" xfId="12002"/>
    <cellStyle name="Comma 5 2 2 4 5 7" xfId="5300"/>
    <cellStyle name="Comma 5 2 2 4 6" xfId="1981"/>
    <cellStyle name="Comma 5 2 2 4 6 2" xfId="15928"/>
    <cellStyle name="Comma 5 2 2 4 6 3" xfId="12428"/>
    <cellStyle name="Comma 5 2 2 4 6 4" xfId="6885"/>
    <cellStyle name="Comma 5 2 2 4 7" xfId="3396"/>
    <cellStyle name="Comma 5 2 2 4 7 2" xfId="16895"/>
    <cellStyle name="Comma 5 2 2 4 7 3" xfId="13316"/>
    <cellStyle name="Comma 5 2 2 4 7 4" xfId="8059"/>
    <cellStyle name="Comma 5 2 2 4 8" xfId="5620"/>
    <cellStyle name="Comma 5 2 2 4 8 2" xfId="14706"/>
    <cellStyle name="Comma 5 2 2 4 9" xfId="9513"/>
    <cellStyle name="Comma 5 2 2 4 9 2" xfId="18340"/>
    <cellStyle name="Comma 5 2 2 5" xfId="311"/>
    <cellStyle name="Comma 5 2 2 5 2" xfId="518"/>
    <cellStyle name="Comma 5 2 2 5 2 2" xfId="2248"/>
    <cellStyle name="Comma 5 2 2 5 2 2 2" xfId="16138"/>
    <cellStyle name="Comma 5 2 2 5 2 2 3" xfId="12560"/>
    <cellStyle name="Comma 5 2 2 5 2 2 4" xfId="7269"/>
    <cellStyle name="Comma 5 2 2 5 2 3" xfId="3517"/>
    <cellStyle name="Comma 5 2 2 5 2 3 2" xfId="17162"/>
    <cellStyle name="Comma 5 2 2 5 2 3 3" xfId="13583"/>
    <cellStyle name="Comma 5 2 2 5 2 3 4" xfId="8326"/>
    <cellStyle name="Comma 5 2 2 5 2 4" xfId="6385"/>
    <cellStyle name="Comma 5 2 2 5 2 4 2" xfId="15469"/>
    <cellStyle name="Comma 5 2 2 5 2 5" xfId="9780"/>
    <cellStyle name="Comma 5 2 2 5 2 5 2" xfId="18607"/>
    <cellStyle name="Comma 5 2 2 5 2 6" xfId="11224"/>
    <cellStyle name="Comma 5 2 2 5 2 7" xfId="4863"/>
    <cellStyle name="Comma 5 2 2 5 3" xfId="876"/>
    <cellStyle name="Comma 5 2 2 5 3 2" xfId="2596"/>
    <cellStyle name="Comma 5 2 2 5 3 2 2" xfId="16674"/>
    <cellStyle name="Comma 5 2 2 5 3 2 3" xfId="13095"/>
    <cellStyle name="Comma 5 2 2 5 3 2 4" xfId="7806"/>
    <cellStyle name="Comma 5 2 2 5 3 3" xfId="3865"/>
    <cellStyle name="Comma 5 2 2 5 3 3 2" xfId="17510"/>
    <cellStyle name="Comma 5 2 2 5 3 3 3" xfId="13931"/>
    <cellStyle name="Comma 5 2 2 5 3 3 4" xfId="8674"/>
    <cellStyle name="Comma 5 2 2 5 3 4" xfId="6213"/>
    <cellStyle name="Comma 5 2 2 5 3 4 2" xfId="15297"/>
    <cellStyle name="Comma 5 2 2 5 3 5" xfId="10128"/>
    <cellStyle name="Comma 5 2 2 5 3 5 2" xfId="18955"/>
    <cellStyle name="Comma 5 2 2 5 3 6" xfId="11574"/>
    <cellStyle name="Comma 5 2 2 5 3 7" xfId="5400"/>
    <cellStyle name="Comma 5 2 2 5 4" xfId="1525"/>
    <cellStyle name="Comma 5 2 2 5 4 2" xfId="3124"/>
    <cellStyle name="Comma 5 2 2 5 4 2 2" xfId="18038"/>
    <cellStyle name="Comma 5 2 2 5 4 2 3" xfId="14459"/>
    <cellStyle name="Comma 5 2 2 5 4 2 4" xfId="9202"/>
    <cellStyle name="Comma 5 2 2 5 4 3" xfId="10656"/>
    <cellStyle name="Comma 5 2 2 5 4 3 2" xfId="19483"/>
    <cellStyle name="Comma 5 2 2 5 4 4" xfId="12102"/>
    <cellStyle name="Comma 5 2 2 5 4 5" xfId="7097"/>
    <cellStyle name="Comma 5 2 2 5 5" xfId="2081"/>
    <cellStyle name="Comma 5 2 2 5 5 2" xfId="16995"/>
    <cellStyle name="Comma 5 2 2 5 5 3" xfId="13416"/>
    <cellStyle name="Comma 5 2 2 5 5 4" xfId="8159"/>
    <cellStyle name="Comma 5 2 2 5 6" xfId="5720"/>
    <cellStyle name="Comma 5 2 2 5 6 2" xfId="14806"/>
    <cellStyle name="Comma 5 2 2 5 7" xfId="9613"/>
    <cellStyle name="Comma 5 2 2 5 7 2" xfId="18440"/>
    <cellStyle name="Comma 5 2 2 5 8" xfId="11057"/>
    <cellStyle name="Comma 5 2 2 5 9" xfId="4691"/>
    <cellStyle name="Comma 5 2 2 6" xfId="493"/>
    <cellStyle name="Comma 5 2 2 6 2" xfId="519"/>
    <cellStyle name="Comma 5 2 2 6 2 2" xfId="2249"/>
    <cellStyle name="Comma 5 2 2 6 2 2 2" xfId="16139"/>
    <cellStyle name="Comma 5 2 2 6 2 2 3" xfId="12561"/>
    <cellStyle name="Comma 5 2 2 6 2 2 4" xfId="7270"/>
    <cellStyle name="Comma 5 2 2 6 2 3" xfId="3518"/>
    <cellStyle name="Comma 5 2 2 6 2 3 2" xfId="17163"/>
    <cellStyle name="Comma 5 2 2 6 2 3 3" xfId="13584"/>
    <cellStyle name="Comma 5 2 2 6 2 3 4" xfId="8327"/>
    <cellStyle name="Comma 5 2 2 6 2 4" xfId="6386"/>
    <cellStyle name="Comma 5 2 2 6 2 4 2" xfId="15470"/>
    <cellStyle name="Comma 5 2 2 6 2 5" xfId="9781"/>
    <cellStyle name="Comma 5 2 2 6 2 5 2" xfId="18608"/>
    <cellStyle name="Comma 5 2 2 6 2 6" xfId="11225"/>
    <cellStyle name="Comma 5 2 2 6 2 7" xfId="4864"/>
    <cellStyle name="Comma 5 2 2 6 3" xfId="877"/>
    <cellStyle name="Comma 5 2 2 6 3 2" xfId="2597"/>
    <cellStyle name="Comma 5 2 2 6 3 2 2" xfId="16547"/>
    <cellStyle name="Comma 5 2 2 6 3 2 3" xfId="12968"/>
    <cellStyle name="Comma 5 2 2 6 3 2 4" xfId="7679"/>
    <cellStyle name="Comma 5 2 2 6 3 3" xfId="3866"/>
    <cellStyle name="Comma 5 2 2 6 3 3 2" xfId="17511"/>
    <cellStyle name="Comma 5 2 2 6 3 3 3" xfId="13932"/>
    <cellStyle name="Comma 5 2 2 6 3 3 4" xfId="8675"/>
    <cellStyle name="Comma 5 2 2 6 3 4" xfId="6734"/>
    <cellStyle name="Comma 5 2 2 6 3 4 2" xfId="15817"/>
    <cellStyle name="Comma 5 2 2 6 3 5" xfId="10129"/>
    <cellStyle name="Comma 5 2 2 6 3 5 2" xfId="18956"/>
    <cellStyle name="Comma 5 2 2 6 3 6" xfId="11575"/>
    <cellStyle name="Comma 5 2 2 6 3 7" xfId="5273"/>
    <cellStyle name="Comma 5 2 2 6 4" xfId="1388"/>
    <cellStyle name="Comma 5 2 2 6 4 2" xfId="2997"/>
    <cellStyle name="Comma 5 2 2 6 4 2 2" xfId="17911"/>
    <cellStyle name="Comma 5 2 2 6 4 2 3" xfId="14332"/>
    <cellStyle name="Comma 5 2 2 6 4 2 4" xfId="9075"/>
    <cellStyle name="Comma 5 2 2 6 4 3" xfId="10529"/>
    <cellStyle name="Comma 5 2 2 6 4 3 2" xfId="19356"/>
    <cellStyle name="Comma 5 2 2 6 4 4" xfId="11975"/>
    <cellStyle name="Comma 5 2 2 6 4 5" xfId="6970"/>
    <cellStyle name="Comma 5 2 2 6 5" xfId="1954"/>
    <cellStyle name="Comma 5 2 2 6 5 2" xfId="16866"/>
    <cellStyle name="Comma 5 2 2 6 5 3" xfId="13287"/>
    <cellStyle name="Comma 5 2 2 6 5 4" xfId="8030"/>
    <cellStyle name="Comma 5 2 2 6 6" xfId="6086"/>
    <cellStyle name="Comma 5 2 2 6 6 2" xfId="15170"/>
    <cellStyle name="Comma 5 2 2 6 7" xfId="9486"/>
    <cellStyle name="Comma 5 2 2 6 7 2" xfId="18313"/>
    <cellStyle name="Comma 5 2 2 6 8" xfId="10930"/>
    <cellStyle name="Comma 5 2 2 6 9" xfId="4564"/>
    <cellStyle name="Comma 5 2 2 7" xfId="510"/>
    <cellStyle name="Comma 5 2 2 7 2" xfId="2240"/>
    <cellStyle name="Comma 5 2 2 7 2 2" xfId="16130"/>
    <cellStyle name="Comma 5 2 2 7 2 3" xfId="12552"/>
    <cellStyle name="Comma 5 2 2 7 2 4" xfId="7261"/>
    <cellStyle name="Comma 5 2 2 7 3" xfId="3509"/>
    <cellStyle name="Comma 5 2 2 7 3 2" xfId="17154"/>
    <cellStyle name="Comma 5 2 2 7 3 3" xfId="13575"/>
    <cellStyle name="Comma 5 2 2 7 3 4" xfId="8318"/>
    <cellStyle name="Comma 5 2 2 7 4" xfId="6377"/>
    <cellStyle name="Comma 5 2 2 7 4 2" xfId="15461"/>
    <cellStyle name="Comma 5 2 2 7 5" xfId="9772"/>
    <cellStyle name="Comma 5 2 2 7 5 2" xfId="18599"/>
    <cellStyle name="Comma 5 2 2 7 6" xfId="11216"/>
    <cellStyle name="Comma 5 2 2 7 7" xfId="4855"/>
    <cellStyle name="Comma 5 2 2 8" xfId="868"/>
    <cellStyle name="Comma 5 2 2 8 2" xfId="2588"/>
    <cellStyle name="Comma 5 2 2 8 2 2" xfId="16502"/>
    <cellStyle name="Comma 5 2 2 8 2 3" xfId="12924"/>
    <cellStyle name="Comma 5 2 2 8 2 4" xfId="7634"/>
    <cellStyle name="Comma 5 2 2 8 3" xfId="3857"/>
    <cellStyle name="Comma 5 2 2 8 3 2" xfId="17502"/>
    <cellStyle name="Comma 5 2 2 8 3 3" xfId="13923"/>
    <cellStyle name="Comma 5 2 2 8 3 4" xfId="8666"/>
    <cellStyle name="Comma 5 2 2 8 4" xfId="5893"/>
    <cellStyle name="Comma 5 2 2 8 4 2" xfId="14979"/>
    <cellStyle name="Comma 5 2 2 8 5" xfId="10120"/>
    <cellStyle name="Comma 5 2 2 8 5 2" xfId="18947"/>
    <cellStyle name="Comma 5 2 2 8 6" xfId="11566"/>
    <cellStyle name="Comma 5 2 2 8 7" xfId="5228"/>
    <cellStyle name="Comma 5 2 2 9" xfId="1337"/>
    <cellStyle name="Comma 5 2 2 9 2" xfId="2952"/>
    <cellStyle name="Comma 5 2 2 9 2 2" xfId="17866"/>
    <cellStyle name="Comma 5 2 2 9 2 3" xfId="14287"/>
    <cellStyle name="Comma 5 2 2 9 2 4" xfId="9030"/>
    <cellStyle name="Comma 5 2 2 9 3" xfId="10484"/>
    <cellStyle name="Comma 5 2 2 9 3 2" xfId="19311"/>
    <cellStyle name="Comma 5 2 2 9 4" xfId="11930"/>
    <cellStyle name="Comma 5 2 2 9 5" xfId="6779"/>
    <cellStyle name="Comma 5 2 3" xfId="166"/>
    <cellStyle name="Comma 5 2 3 10" xfId="1917"/>
    <cellStyle name="Comma 5 2 3 10 2" xfId="9449"/>
    <cellStyle name="Comma 5 2 3 10 2 2" xfId="18276"/>
    <cellStyle name="Comma 5 2 3 10 3" xfId="10893"/>
    <cellStyle name="Comma 5 2 3 10 4" xfId="7993"/>
    <cellStyle name="Comma 5 2 3 11" xfId="1887"/>
    <cellStyle name="Comma 5 2 3 11 2" xfId="14687"/>
    <cellStyle name="Comma 5 2 3 11 3" xfId="5601"/>
    <cellStyle name="Comma 5 2 3 12" xfId="9419"/>
    <cellStyle name="Comma 5 2 3 12 2" xfId="18246"/>
    <cellStyle name="Comma 5 2 3 13" xfId="10863"/>
    <cellStyle name="Comma 5 2 3 14" xfId="4380"/>
    <cellStyle name="Comma 5 2 3 2" xfId="241"/>
    <cellStyle name="Comma 5 2 3 2 10" xfId="9551"/>
    <cellStyle name="Comma 5 2 3 2 10 2" xfId="18378"/>
    <cellStyle name="Comma 5 2 3 2 11" xfId="10995"/>
    <cellStyle name="Comma 5 2 3 2 12" xfId="4412"/>
    <cellStyle name="Comma 5 2 3 2 2" xfId="454"/>
    <cellStyle name="Comma 5 2 3 2 2 10" xfId="4516"/>
    <cellStyle name="Comma 5 2 3 2 2 2" xfId="522"/>
    <cellStyle name="Comma 5 2 3 2 2 2 2" xfId="2252"/>
    <cellStyle name="Comma 5 2 3 2 2 2 2 2" xfId="16108"/>
    <cellStyle name="Comma 5 2 3 2 2 2 2 3" xfId="12530"/>
    <cellStyle name="Comma 5 2 3 2 2 2 2 4" xfId="7239"/>
    <cellStyle name="Comma 5 2 3 2 2 2 3" xfId="3521"/>
    <cellStyle name="Comma 5 2 3 2 2 2 3 2" xfId="17166"/>
    <cellStyle name="Comma 5 2 3 2 2 2 3 3" xfId="13587"/>
    <cellStyle name="Comma 5 2 3 2 2 2 3 4" xfId="8330"/>
    <cellStyle name="Comma 5 2 3 2 2 2 4" xfId="6355"/>
    <cellStyle name="Comma 5 2 3 2 2 2 4 2" xfId="15439"/>
    <cellStyle name="Comma 5 2 3 2 2 2 5" xfId="9784"/>
    <cellStyle name="Comma 5 2 3 2 2 2 5 2" xfId="18611"/>
    <cellStyle name="Comma 5 2 3 2 2 2 6" xfId="11228"/>
    <cellStyle name="Comma 5 2 3 2 2 2 7" xfId="4833"/>
    <cellStyle name="Comma 5 2 3 2 2 3" xfId="880"/>
    <cellStyle name="Comma 5 2 3 2 2 3 2" xfId="2600"/>
    <cellStyle name="Comma 5 2 3 2 2 3 2 2" xfId="16142"/>
    <cellStyle name="Comma 5 2 3 2 2 3 2 3" xfId="12564"/>
    <cellStyle name="Comma 5 2 3 2 2 3 2 4" xfId="7273"/>
    <cellStyle name="Comma 5 2 3 2 2 3 3" xfId="3869"/>
    <cellStyle name="Comma 5 2 3 2 2 3 3 2" xfId="17514"/>
    <cellStyle name="Comma 5 2 3 2 2 3 3 3" xfId="13935"/>
    <cellStyle name="Comma 5 2 3 2 2 3 3 4" xfId="8678"/>
    <cellStyle name="Comma 5 2 3 2 2 3 4" xfId="6389"/>
    <cellStyle name="Comma 5 2 3 2 2 3 4 2" xfId="15473"/>
    <cellStyle name="Comma 5 2 3 2 2 3 5" xfId="10132"/>
    <cellStyle name="Comma 5 2 3 2 2 3 5 2" xfId="18959"/>
    <cellStyle name="Comma 5 2 3 2 2 3 6" xfId="11578"/>
    <cellStyle name="Comma 5 2 3 2 2 3 7" xfId="4867"/>
    <cellStyle name="Comma 5 2 3 2 2 4" xfId="1670"/>
    <cellStyle name="Comma 5 2 3 2 2 4 2" xfId="3266"/>
    <cellStyle name="Comma 5 2 3 2 2 4 2 2" xfId="16816"/>
    <cellStyle name="Comma 5 2 3 2 2 4 2 3" xfId="13237"/>
    <cellStyle name="Comma 5 2 3 2 2 4 2 4" xfId="7948"/>
    <cellStyle name="Comma 5 2 3 2 2 4 3" xfId="4330"/>
    <cellStyle name="Comma 5 2 3 2 2 4 3 2" xfId="18180"/>
    <cellStyle name="Comma 5 2 3 2 2 4 3 3" xfId="14601"/>
    <cellStyle name="Comma 5 2 3 2 2 4 3 4" xfId="9344"/>
    <cellStyle name="Comma 5 2 3 2 2 4 4" xfId="6036"/>
    <cellStyle name="Comma 5 2 3 2 2 4 4 2" xfId="15122"/>
    <cellStyle name="Comma 5 2 3 2 2 4 5" xfId="10798"/>
    <cellStyle name="Comma 5 2 3 2 2 4 5 2" xfId="19625"/>
    <cellStyle name="Comma 5 2 3 2 2 4 6" xfId="12244"/>
    <cellStyle name="Comma 5 2 3 2 2 4 7" xfId="5542"/>
    <cellStyle name="Comma 5 2 3 2 2 5" xfId="2223"/>
    <cellStyle name="Comma 5 2 3 2 2 5 2" xfId="15965"/>
    <cellStyle name="Comma 5 2 3 2 2 5 3" xfId="12510"/>
    <cellStyle name="Comma 5 2 3 2 2 5 4" xfId="6922"/>
    <cellStyle name="Comma 5 2 3 2 2 6" xfId="3492"/>
    <cellStyle name="Comma 5 2 3 2 2 6 2" xfId="17137"/>
    <cellStyle name="Comma 5 2 3 2 2 6 3" xfId="13558"/>
    <cellStyle name="Comma 5 2 3 2 2 6 4" xfId="8301"/>
    <cellStyle name="Comma 5 2 3 2 2 7" xfId="5862"/>
    <cellStyle name="Comma 5 2 3 2 2 7 2" xfId="14948"/>
    <cellStyle name="Comma 5 2 3 2 2 8" xfId="9755"/>
    <cellStyle name="Comma 5 2 3 2 2 8 2" xfId="18582"/>
    <cellStyle name="Comma 5 2 3 2 2 9" xfId="11199"/>
    <cellStyle name="Comma 5 2 3 2 3" xfId="349"/>
    <cellStyle name="Comma 5 2 3 2 3 2" xfId="523"/>
    <cellStyle name="Comma 5 2 3 2 3 2 2" xfId="2253"/>
    <cellStyle name="Comma 5 2 3 2 3 2 2 2" xfId="16143"/>
    <cellStyle name="Comma 5 2 3 2 3 2 2 3" xfId="12565"/>
    <cellStyle name="Comma 5 2 3 2 3 2 2 4" xfId="7274"/>
    <cellStyle name="Comma 5 2 3 2 3 2 3" xfId="3522"/>
    <cellStyle name="Comma 5 2 3 2 3 2 3 2" xfId="17167"/>
    <cellStyle name="Comma 5 2 3 2 3 2 3 3" xfId="13588"/>
    <cellStyle name="Comma 5 2 3 2 3 2 3 4" xfId="8331"/>
    <cellStyle name="Comma 5 2 3 2 3 2 4" xfId="6390"/>
    <cellStyle name="Comma 5 2 3 2 3 2 4 2" xfId="15474"/>
    <cellStyle name="Comma 5 2 3 2 3 2 5" xfId="9785"/>
    <cellStyle name="Comma 5 2 3 2 3 2 5 2" xfId="18612"/>
    <cellStyle name="Comma 5 2 3 2 3 2 6" xfId="11229"/>
    <cellStyle name="Comma 5 2 3 2 3 2 7" xfId="4868"/>
    <cellStyle name="Comma 5 2 3 2 3 3" xfId="881"/>
    <cellStyle name="Comma 5 2 3 2 3 3 2" xfId="2601"/>
    <cellStyle name="Comma 5 2 3 2 3 3 2 2" xfId="16712"/>
    <cellStyle name="Comma 5 2 3 2 3 3 2 3" xfId="13133"/>
    <cellStyle name="Comma 5 2 3 2 3 3 2 4" xfId="7844"/>
    <cellStyle name="Comma 5 2 3 2 3 3 3" xfId="3870"/>
    <cellStyle name="Comma 5 2 3 2 3 3 3 2" xfId="17515"/>
    <cellStyle name="Comma 5 2 3 2 3 3 3 3" xfId="13936"/>
    <cellStyle name="Comma 5 2 3 2 3 3 3 4" xfId="8679"/>
    <cellStyle name="Comma 5 2 3 2 3 3 4" xfId="6251"/>
    <cellStyle name="Comma 5 2 3 2 3 3 4 2" xfId="15335"/>
    <cellStyle name="Comma 5 2 3 2 3 3 5" xfId="10133"/>
    <cellStyle name="Comma 5 2 3 2 3 3 5 2" xfId="18960"/>
    <cellStyle name="Comma 5 2 3 2 3 3 6" xfId="11579"/>
    <cellStyle name="Comma 5 2 3 2 3 3 7" xfId="5438"/>
    <cellStyle name="Comma 5 2 3 2 3 4" xfId="1563"/>
    <cellStyle name="Comma 5 2 3 2 3 4 2" xfId="3162"/>
    <cellStyle name="Comma 5 2 3 2 3 4 2 2" xfId="18076"/>
    <cellStyle name="Comma 5 2 3 2 3 4 2 3" xfId="14497"/>
    <cellStyle name="Comma 5 2 3 2 3 4 2 4" xfId="9240"/>
    <cellStyle name="Comma 5 2 3 2 3 4 3" xfId="10694"/>
    <cellStyle name="Comma 5 2 3 2 3 4 3 2" xfId="19521"/>
    <cellStyle name="Comma 5 2 3 2 3 4 4" xfId="12140"/>
    <cellStyle name="Comma 5 2 3 2 3 4 5" xfId="7135"/>
    <cellStyle name="Comma 5 2 3 2 3 5" xfId="2119"/>
    <cellStyle name="Comma 5 2 3 2 3 5 2" xfId="17033"/>
    <cellStyle name="Comma 5 2 3 2 3 5 3" xfId="13454"/>
    <cellStyle name="Comma 5 2 3 2 3 5 4" xfId="8197"/>
    <cellStyle name="Comma 5 2 3 2 3 6" xfId="5758"/>
    <cellStyle name="Comma 5 2 3 2 3 6 2" xfId="14844"/>
    <cellStyle name="Comma 5 2 3 2 3 7" xfId="9651"/>
    <cellStyle name="Comma 5 2 3 2 3 7 2" xfId="18478"/>
    <cellStyle name="Comma 5 2 3 2 3 8" xfId="11095"/>
    <cellStyle name="Comma 5 2 3 2 3 9" xfId="4729"/>
    <cellStyle name="Comma 5 2 3 2 4" xfId="521"/>
    <cellStyle name="Comma 5 2 3 2 4 2" xfId="2251"/>
    <cellStyle name="Comma 5 2 3 2 4 2 2" xfId="16049"/>
    <cellStyle name="Comma 5 2 3 2 4 2 3" xfId="12517"/>
    <cellStyle name="Comma 5 2 3 2 4 2 4" xfId="7035"/>
    <cellStyle name="Comma 5 2 3 2 4 3" xfId="3520"/>
    <cellStyle name="Comma 5 2 3 2 4 3 2" xfId="17165"/>
    <cellStyle name="Comma 5 2 3 2 4 3 3" xfId="13586"/>
    <cellStyle name="Comma 5 2 3 2 4 3 4" xfId="8329"/>
    <cellStyle name="Comma 5 2 3 2 4 4" xfId="6151"/>
    <cellStyle name="Comma 5 2 3 2 4 4 2" xfId="15235"/>
    <cellStyle name="Comma 5 2 3 2 4 5" xfId="9783"/>
    <cellStyle name="Comma 5 2 3 2 4 5 2" xfId="18610"/>
    <cellStyle name="Comma 5 2 3 2 4 6" xfId="11227"/>
    <cellStyle name="Comma 5 2 3 2 4 7" xfId="4629"/>
    <cellStyle name="Comma 5 2 3 2 5" xfId="879"/>
    <cellStyle name="Comma 5 2 3 2 5 2" xfId="2599"/>
    <cellStyle name="Comma 5 2 3 2 5 2 2" xfId="16141"/>
    <cellStyle name="Comma 5 2 3 2 5 2 3" xfId="12563"/>
    <cellStyle name="Comma 5 2 3 2 5 2 4" xfId="7272"/>
    <cellStyle name="Comma 5 2 3 2 5 3" xfId="3868"/>
    <cellStyle name="Comma 5 2 3 2 5 3 2" xfId="17513"/>
    <cellStyle name="Comma 5 2 3 2 5 3 3" xfId="13934"/>
    <cellStyle name="Comma 5 2 3 2 5 3 4" xfId="8677"/>
    <cellStyle name="Comma 5 2 3 2 5 4" xfId="6388"/>
    <cellStyle name="Comma 5 2 3 2 5 4 2" xfId="15472"/>
    <cellStyle name="Comma 5 2 3 2 5 5" xfId="10131"/>
    <cellStyle name="Comma 5 2 3 2 5 5 2" xfId="18958"/>
    <cellStyle name="Comma 5 2 3 2 5 6" xfId="11577"/>
    <cellStyle name="Comma 5 2 3 2 5 7" xfId="4866"/>
    <cellStyle name="Comma 5 2 3 2 6" xfId="1461"/>
    <cellStyle name="Comma 5 2 3 2 6 2" xfId="3062"/>
    <cellStyle name="Comma 5 2 3 2 6 2 2" xfId="16612"/>
    <cellStyle name="Comma 5 2 3 2 6 2 3" xfId="13033"/>
    <cellStyle name="Comma 5 2 3 2 6 2 4" xfId="7744"/>
    <cellStyle name="Comma 5 2 3 2 6 3" xfId="4271"/>
    <cellStyle name="Comma 5 2 3 2 6 3 2" xfId="17976"/>
    <cellStyle name="Comma 5 2 3 2 6 3 3" xfId="14397"/>
    <cellStyle name="Comma 5 2 3 2 6 3 4" xfId="9140"/>
    <cellStyle name="Comma 5 2 3 2 6 4" xfId="5932"/>
    <cellStyle name="Comma 5 2 3 2 6 4 2" xfId="15018"/>
    <cellStyle name="Comma 5 2 3 2 6 5" xfId="10594"/>
    <cellStyle name="Comma 5 2 3 2 6 5 2" xfId="19421"/>
    <cellStyle name="Comma 5 2 3 2 6 6" xfId="12040"/>
    <cellStyle name="Comma 5 2 3 2 6 7" xfId="5338"/>
    <cellStyle name="Comma 5 2 3 2 7" xfId="2019"/>
    <cellStyle name="Comma 5 2 3 2 7 2" xfId="15861"/>
    <cellStyle name="Comma 5 2 3 2 7 3" xfId="12484"/>
    <cellStyle name="Comma 5 2 3 2 7 4" xfId="6818"/>
    <cellStyle name="Comma 5 2 3 2 8" xfId="3433"/>
    <cellStyle name="Comma 5 2 3 2 8 2" xfId="16933"/>
    <cellStyle name="Comma 5 2 3 2 8 3" xfId="13354"/>
    <cellStyle name="Comma 5 2 3 2 8 4" xfId="8097"/>
    <cellStyle name="Comma 5 2 3 2 9" xfId="5658"/>
    <cellStyle name="Comma 5 2 3 2 9 2" xfId="14744"/>
    <cellStyle name="Comma 5 2 3 3" xfId="284"/>
    <cellStyle name="Comma 5 2 3 3 10" xfId="11038"/>
    <cellStyle name="Comma 5 2 3 3 11" xfId="4455"/>
    <cellStyle name="Comma 5 2 3 3 2" xfId="392"/>
    <cellStyle name="Comma 5 2 3 3 2 2" xfId="525"/>
    <cellStyle name="Comma 5 2 3 3 2 2 2" xfId="2255"/>
    <cellStyle name="Comma 5 2 3 3 2 2 2 2" xfId="16145"/>
    <cellStyle name="Comma 5 2 3 3 2 2 2 3" xfId="12567"/>
    <cellStyle name="Comma 5 2 3 3 2 2 2 4" xfId="7276"/>
    <cellStyle name="Comma 5 2 3 3 2 2 3" xfId="3524"/>
    <cellStyle name="Comma 5 2 3 3 2 2 3 2" xfId="17169"/>
    <cellStyle name="Comma 5 2 3 3 2 2 3 3" xfId="13590"/>
    <cellStyle name="Comma 5 2 3 3 2 2 3 4" xfId="8333"/>
    <cellStyle name="Comma 5 2 3 3 2 2 4" xfId="6392"/>
    <cellStyle name="Comma 5 2 3 3 2 2 4 2" xfId="15476"/>
    <cellStyle name="Comma 5 2 3 3 2 2 5" xfId="9787"/>
    <cellStyle name="Comma 5 2 3 3 2 2 5 2" xfId="18614"/>
    <cellStyle name="Comma 5 2 3 3 2 2 6" xfId="11231"/>
    <cellStyle name="Comma 5 2 3 3 2 2 7" xfId="4870"/>
    <cellStyle name="Comma 5 2 3 3 2 3" xfId="883"/>
    <cellStyle name="Comma 5 2 3 3 2 3 2" xfId="2603"/>
    <cellStyle name="Comma 5 2 3 3 2 3 2 2" xfId="16755"/>
    <cellStyle name="Comma 5 2 3 3 2 3 2 3" xfId="13176"/>
    <cellStyle name="Comma 5 2 3 3 2 3 2 4" xfId="7887"/>
    <cellStyle name="Comma 5 2 3 3 2 3 3" xfId="3872"/>
    <cellStyle name="Comma 5 2 3 3 2 3 3 2" xfId="17517"/>
    <cellStyle name="Comma 5 2 3 3 2 3 3 3" xfId="13938"/>
    <cellStyle name="Comma 5 2 3 3 2 3 3 4" xfId="8681"/>
    <cellStyle name="Comma 5 2 3 3 2 3 4" xfId="6294"/>
    <cellStyle name="Comma 5 2 3 3 2 3 4 2" xfId="15378"/>
    <cellStyle name="Comma 5 2 3 3 2 3 5" xfId="10135"/>
    <cellStyle name="Comma 5 2 3 3 2 3 5 2" xfId="18962"/>
    <cellStyle name="Comma 5 2 3 3 2 3 6" xfId="11581"/>
    <cellStyle name="Comma 5 2 3 3 2 3 7" xfId="5481"/>
    <cellStyle name="Comma 5 2 3 3 2 4" xfId="1608"/>
    <cellStyle name="Comma 5 2 3 3 2 4 2" xfId="3205"/>
    <cellStyle name="Comma 5 2 3 3 2 4 2 2" xfId="18119"/>
    <cellStyle name="Comma 5 2 3 3 2 4 2 3" xfId="14540"/>
    <cellStyle name="Comma 5 2 3 3 2 4 2 4" xfId="9283"/>
    <cellStyle name="Comma 5 2 3 3 2 4 3" xfId="10737"/>
    <cellStyle name="Comma 5 2 3 3 2 4 3 2" xfId="19564"/>
    <cellStyle name="Comma 5 2 3 3 2 4 4" xfId="12183"/>
    <cellStyle name="Comma 5 2 3 3 2 4 5" xfId="7178"/>
    <cellStyle name="Comma 5 2 3 3 2 5" xfId="2162"/>
    <cellStyle name="Comma 5 2 3 3 2 5 2" xfId="17076"/>
    <cellStyle name="Comma 5 2 3 3 2 5 3" xfId="13497"/>
    <cellStyle name="Comma 5 2 3 3 2 5 4" xfId="8240"/>
    <cellStyle name="Comma 5 2 3 3 2 6" xfId="5801"/>
    <cellStyle name="Comma 5 2 3 3 2 6 2" xfId="14887"/>
    <cellStyle name="Comma 5 2 3 3 2 7" xfId="9694"/>
    <cellStyle name="Comma 5 2 3 3 2 7 2" xfId="18521"/>
    <cellStyle name="Comma 5 2 3 3 2 8" xfId="11138"/>
    <cellStyle name="Comma 5 2 3 3 2 9" xfId="4772"/>
    <cellStyle name="Comma 5 2 3 3 3" xfId="524"/>
    <cellStyle name="Comma 5 2 3 3 3 2" xfId="2254"/>
    <cellStyle name="Comma 5 2 3 3 3 2 2" xfId="16092"/>
    <cellStyle name="Comma 5 2 3 3 3 2 3" xfId="12477"/>
    <cellStyle name="Comma 5 2 3 3 3 2 4" xfId="7078"/>
    <cellStyle name="Comma 5 2 3 3 3 3" xfId="3523"/>
    <cellStyle name="Comma 5 2 3 3 3 3 2" xfId="17168"/>
    <cellStyle name="Comma 5 2 3 3 3 3 3" xfId="13589"/>
    <cellStyle name="Comma 5 2 3 3 3 3 4" xfId="8332"/>
    <cellStyle name="Comma 5 2 3 3 3 4" xfId="6194"/>
    <cellStyle name="Comma 5 2 3 3 3 4 2" xfId="15278"/>
    <cellStyle name="Comma 5 2 3 3 3 5" xfId="9786"/>
    <cellStyle name="Comma 5 2 3 3 3 5 2" xfId="18613"/>
    <cellStyle name="Comma 5 2 3 3 3 6" xfId="11230"/>
    <cellStyle name="Comma 5 2 3 3 3 7" xfId="4672"/>
    <cellStyle name="Comma 5 2 3 3 4" xfId="882"/>
    <cellStyle name="Comma 5 2 3 3 4 2" xfId="2602"/>
    <cellStyle name="Comma 5 2 3 3 4 2 2" xfId="16144"/>
    <cellStyle name="Comma 5 2 3 3 4 2 3" xfId="12566"/>
    <cellStyle name="Comma 5 2 3 3 4 2 4" xfId="7275"/>
    <cellStyle name="Comma 5 2 3 3 4 3" xfId="3871"/>
    <cellStyle name="Comma 5 2 3 3 4 3 2" xfId="17516"/>
    <cellStyle name="Comma 5 2 3 3 4 3 3" xfId="13937"/>
    <cellStyle name="Comma 5 2 3 3 4 3 4" xfId="8680"/>
    <cellStyle name="Comma 5 2 3 3 4 4" xfId="6391"/>
    <cellStyle name="Comma 5 2 3 3 4 4 2" xfId="15475"/>
    <cellStyle name="Comma 5 2 3 3 4 5" xfId="10134"/>
    <cellStyle name="Comma 5 2 3 3 4 5 2" xfId="18961"/>
    <cellStyle name="Comma 5 2 3 3 4 6" xfId="11580"/>
    <cellStyle name="Comma 5 2 3 3 4 7" xfId="4869"/>
    <cellStyle name="Comma 5 2 3 3 5" xfId="1506"/>
    <cellStyle name="Comma 5 2 3 3 5 2" xfId="3105"/>
    <cellStyle name="Comma 5 2 3 3 5 2 2" xfId="16655"/>
    <cellStyle name="Comma 5 2 3 3 5 2 3" xfId="13076"/>
    <cellStyle name="Comma 5 2 3 3 5 2 4" xfId="7787"/>
    <cellStyle name="Comma 5 2 3 3 5 3" xfId="4314"/>
    <cellStyle name="Comma 5 2 3 3 5 3 2" xfId="18019"/>
    <cellStyle name="Comma 5 2 3 3 5 3 3" xfId="14440"/>
    <cellStyle name="Comma 5 2 3 3 5 3 4" xfId="9183"/>
    <cellStyle name="Comma 5 2 3 3 5 4" xfId="5975"/>
    <cellStyle name="Comma 5 2 3 3 5 4 2" xfId="15061"/>
    <cellStyle name="Comma 5 2 3 3 5 5" xfId="10637"/>
    <cellStyle name="Comma 5 2 3 3 5 5 2" xfId="19464"/>
    <cellStyle name="Comma 5 2 3 3 5 6" xfId="12083"/>
    <cellStyle name="Comma 5 2 3 3 5 7" xfId="5381"/>
    <cellStyle name="Comma 5 2 3 3 6" xfId="2062"/>
    <cellStyle name="Comma 5 2 3 3 6 2" xfId="15904"/>
    <cellStyle name="Comma 5 2 3 3 6 3" xfId="11375"/>
    <cellStyle name="Comma 5 2 3 3 6 4" xfId="6861"/>
    <cellStyle name="Comma 5 2 3 3 7" xfId="3476"/>
    <cellStyle name="Comma 5 2 3 3 7 2" xfId="16976"/>
    <cellStyle name="Comma 5 2 3 3 7 3" xfId="13397"/>
    <cellStyle name="Comma 5 2 3 3 7 4" xfId="8140"/>
    <cellStyle name="Comma 5 2 3 3 8" xfId="5701"/>
    <cellStyle name="Comma 5 2 3 3 8 2" xfId="14787"/>
    <cellStyle name="Comma 5 2 3 3 9" xfId="9594"/>
    <cellStyle name="Comma 5 2 3 3 9 2" xfId="18421"/>
    <cellStyle name="Comma 5 2 3 4" xfId="206"/>
    <cellStyle name="Comma 5 2 3 4 10" xfId="10963"/>
    <cellStyle name="Comma 5 2 3 4 11" xfId="4485"/>
    <cellStyle name="Comma 5 2 3 4 2" xfId="423"/>
    <cellStyle name="Comma 5 2 3 4 2 2" xfId="527"/>
    <cellStyle name="Comma 5 2 3 4 2 2 2" xfId="2257"/>
    <cellStyle name="Comma 5 2 3 4 2 2 2 2" xfId="16147"/>
    <cellStyle name="Comma 5 2 3 4 2 2 2 3" xfId="12569"/>
    <cellStyle name="Comma 5 2 3 4 2 2 2 4" xfId="7278"/>
    <cellStyle name="Comma 5 2 3 4 2 2 3" xfId="3526"/>
    <cellStyle name="Comma 5 2 3 4 2 2 3 2" xfId="17171"/>
    <cellStyle name="Comma 5 2 3 4 2 2 3 3" xfId="13592"/>
    <cellStyle name="Comma 5 2 3 4 2 2 3 4" xfId="8335"/>
    <cellStyle name="Comma 5 2 3 4 2 2 4" xfId="6394"/>
    <cellStyle name="Comma 5 2 3 4 2 2 4 2" xfId="15478"/>
    <cellStyle name="Comma 5 2 3 4 2 2 5" xfId="9789"/>
    <cellStyle name="Comma 5 2 3 4 2 2 5 2" xfId="18616"/>
    <cellStyle name="Comma 5 2 3 4 2 2 6" xfId="11233"/>
    <cellStyle name="Comma 5 2 3 4 2 2 7" xfId="4872"/>
    <cellStyle name="Comma 5 2 3 4 2 3" xfId="885"/>
    <cellStyle name="Comma 5 2 3 4 2 3 2" xfId="2605"/>
    <cellStyle name="Comma 5 2 3 4 2 3 2 2" xfId="16785"/>
    <cellStyle name="Comma 5 2 3 4 2 3 2 3" xfId="13206"/>
    <cellStyle name="Comma 5 2 3 4 2 3 2 4" xfId="7917"/>
    <cellStyle name="Comma 5 2 3 4 2 3 3" xfId="3874"/>
    <cellStyle name="Comma 5 2 3 4 2 3 3 2" xfId="17519"/>
    <cellStyle name="Comma 5 2 3 4 2 3 3 3" xfId="13940"/>
    <cellStyle name="Comma 5 2 3 4 2 3 3 4" xfId="8683"/>
    <cellStyle name="Comma 5 2 3 4 2 3 4" xfId="6324"/>
    <cellStyle name="Comma 5 2 3 4 2 3 4 2" xfId="15408"/>
    <cellStyle name="Comma 5 2 3 4 2 3 5" xfId="10137"/>
    <cellStyle name="Comma 5 2 3 4 2 3 5 2" xfId="18964"/>
    <cellStyle name="Comma 5 2 3 4 2 3 6" xfId="11583"/>
    <cellStyle name="Comma 5 2 3 4 2 3 7" xfId="5511"/>
    <cellStyle name="Comma 5 2 3 4 2 4" xfId="1639"/>
    <cellStyle name="Comma 5 2 3 4 2 4 2" xfId="3235"/>
    <cellStyle name="Comma 5 2 3 4 2 4 2 2" xfId="18149"/>
    <cellStyle name="Comma 5 2 3 4 2 4 2 3" xfId="14570"/>
    <cellStyle name="Comma 5 2 3 4 2 4 2 4" xfId="9313"/>
    <cellStyle name="Comma 5 2 3 4 2 4 3" xfId="10767"/>
    <cellStyle name="Comma 5 2 3 4 2 4 3 2" xfId="19594"/>
    <cellStyle name="Comma 5 2 3 4 2 4 4" xfId="12213"/>
    <cellStyle name="Comma 5 2 3 4 2 4 5" xfId="7208"/>
    <cellStyle name="Comma 5 2 3 4 2 5" xfId="2192"/>
    <cellStyle name="Comma 5 2 3 4 2 5 2" xfId="17106"/>
    <cellStyle name="Comma 5 2 3 4 2 5 3" xfId="13527"/>
    <cellStyle name="Comma 5 2 3 4 2 5 4" xfId="8270"/>
    <cellStyle name="Comma 5 2 3 4 2 6" xfId="5831"/>
    <cellStyle name="Comma 5 2 3 4 2 6 2" xfId="14917"/>
    <cellStyle name="Comma 5 2 3 4 2 7" xfId="9724"/>
    <cellStyle name="Comma 5 2 3 4 2 7 2" xfId="18551"/>
    <cellStyle name="Comma 5 2 3 4 2 8" xfId="11168"/>
    <cellStyle name="Comma 5 2 3 4 2 9" xfId="4802"/>
    <cellStyle name="Comma 5 2 3 4 3" xfId="526"/>
    <cellStyle name="Comma 5 2 3 4 3 2" xfId="2256"/>
    <cellStyle name="Comma 5 2 3 4 3 2 2" xfId="16017"/>
    <cellStyle name="Comma 5 2 3 4 3 2 3" xfId="12335"/>
    <cellStyle name="Comma 5 2 3 4 3 2 4" xfId="7003"/>
    <cellStyle name="Comma 5 2 3 4 3 3" xfId="3525"/>
    <cellStyle name="Comma 5 2 3 4 3 3 2" xfId="17170"/>
    <cellStyle name="Comma 5 2 3 4 3 3 3" xfId="13591"/>
    <cellStyle name="Comma 5 2 3 4 3 3 4" xfId="8334"/>
    <cellStyle name="Comma 5 2 3 4 3 4" xfId="6119"/>
    <cellStyle name="Comma 5 2 3 4 3 4 2" xfId="15203"/>
    <cellStyle name="Comma 5 2 3 4 3 5" xfId="9788"/>
    <cellStyle name="Comma 5 2 3 4 3 5 2" xfId="18615"/>
    <cellStyle name="Comma 5 2 3 4 3 6" xfId="11232"/>
    <cellStyle name="Comma 5 2 3 4 3 7" xfId="4597"/>
    <cellStyle name="Comma 5 2 3 4 4" xfId="884"/>
    <cellStyle name="Comma 5 2 3 4 4 2" xfId="2604"/>
    <cellStyle name="Comma 5 2 3 4 4 2 2" xfId="16146"/>
    <cellStyle name="Comma 5 2 3 4 4 2 3" xfId="12568"/>
    <cellStyle name="Comma 5 2 3 4 4 2 4" xfId="7277"/>
    <cellStyle name="Comma 5 2 3 4 4 3" xfId="3873"/>
    <cellStyle name="Comma 5 2 3 4 4 3 2" xfId="17518"/>
    <cellStyle name="Comma 5 2 3 4 4 3 3" xfId="13939"/>
    <cellStyle name="Comma 5 2 3 4 4 3 4" xfId="8682"/>
    <cellStyle name="Comma 5 2 3 4 4 4" xfId="6393"/>
    <cellStyle name="Comma 5 2 3 4 4 4 2" xfId="15477"/>
    <cellStyle name="Comma 5 2 3 4 4 5" xfId="10136"/>
    <cellStyle name="Comma 5 2 3 4 4 5 2" xfId="18963"/>
    <cellStyle name="Comma 5 2 3 4 4 6" xfId="11582"/>
    <cellStyle name="Comma 5 2 3 4 4 7" xfId="4871"/>
    <cellStyle name="Comma 5 2 3 4 5" xfId="1425"/>
    <cellStyle name="Comma 5 2 3 4 5 2" xfId="3030"/>
    <cellStyle name="Comma 5 2 3 4 5 2 2" xfId="16580"/>
    <cellStyle name="Comma 5 2 3 4 5 2 3" xfId="13001"/>
    <cellStyle name="Comma 5 2 3 4 5 2 4" xfId="7712"/>
    <cellStyle name="Comma 5 2 3 4 5 3" xfId="4239"/>
    <cellStyle name="Comma 5 2 3 4 5 3 2" xfId="17944"/>
    <cellStyle name="Comma 5 2 3 4 5 3 3" xfId="14365"/>
    <cellStyle name="Comma 5 2 3 4 5 3 4" xfId="9108"/>
    <cellStyle name="Comma 5 2 3 4 5 4" xfId="6005"/>
    <cellStyle name="Comma 5 2 3 4 5 4 2" xfId="15091"/>
    <cellStyle name="Comma 5 2 3 4 5 5" xfId="10562"/>
    <cellStyle name="Comma 5 2 3 4 5 5 2" xfId="19389"/>
    <cellStyle name="Comma 5 2 3 4 5 6" xfId="12008"/>
    <cellStyle name="Comma 5 2 3 4 5 7" xfId="5306"/>
    <cellStyle name="Comma 5 2 3 4 6" xfId="1987"/>
    <cellStyle name="Comma 5 2 3 4 6 2" xfId="15934"/>
    <cellStyle name="Comma 5 2 3 4 6 3" xfId="12361"/>
    <cellStyle name="Comma 5 2 3 4 6 4" xfId="6891"/>
    <cellStyle name="Comma 5 2 3 4 7" xfId="3402"/>
    <cellStyle name="Comma 5 2 3 4 7 2" xfId="16901"/>
    <cellStyle name="Comma 5 2 3 4 7 3" xfId="13322"/>
    <cellStyle name="Comma 5 2 3 4 7 4" xfId="8065"/>
    <cellStyle name="Comma 5 2 3 4 8" xfId="5626"/>
    <cellStyle name="Comma 5 2 3 4 8 2" xfId="14712"/>
    <cellStyle name="Comma 5 2 3 4 9" xfId="9519"/>
    <cellStyle name="Comma 5 2 3 4 9 2" xfId="18346"/>
    <cellStyle name="Comma 5 2 3 5" xfId="317"/>
    <cellStyle name="Comma 5 2 3 5 2" xfId="528"/>
    <cellStyle name="Comma 5 2 3 5 2 2" xfId="2258"/>
    <cellStyle name="Comma 5 2 3 5 2 2 2" xfId="16148"/>
    <cellStyle name="Comma 5 2 3 5 2 2 3" xfId="12570"/>
    <cellStyle name="Comma 5 2 3 5 2 2 4" xfId="7279"/>
    <cellStyle name="Comma 5 2 3 5 2 3" xfId="3527"/>
    <cellStyle name="Comma 5 2 3 5 2 3 2" xfId="17172"/>
    <cellStyle name="Comma 5 2 3 5 2 3 3" xfId="13593"/>
    <cellStyle name="Comma 5 2 3 5 2 3 4" xfId="8336"/>
    <cellStyle name="Comma 5 2 3 5 2 4" xfId="6395"/>
    <cellStyle name="Comma 5 2 3 5 2 4 2" xfId="15479"/>
    <cellStyle name="Comma 5 2 3 5 2 5" xfId="9790"/>
    <cellStyle name="Comma 5 2 3 5 2 5 2" xfId="18617"/>
    <cellStyle name="Comma 5 2 3 5 2 6" xfId="11234"/>
    <cellStyle name="Comma 5 2 3 5 2 7" xfId="4873"/>
    <cellStyle name="Comma 5 2 3 5 3" xfId="886"/>
    <cellStyle name="Comma 5 2 3 5 3 2" xfId="2606"/>
    <cellStyle name="Comma 5 2 3 5 3 2 2" xfId="16680"/>
    <cellStyle name="Comma 5 2 3 5 3 2 3" xfId="13101"/>
    <cellStyle name="Comma 5 2 3 5 3 2 4" xfId="7812"/>
    <cellStyle name="Comma 5 2 3 5 3 3" xfId="3875"/>
    <cellStyle name="Comma 5 2 3 5 3 3 2" xfId="17520"/>
    <cellStyle name="Comma 5 2 3 5 3 3 3" xfId="13941"/>
    <cellStyle name="Comma 5 2 3 5 3 3 4" xfId="8684"/>
    <cellStyle name="Comma 5 2 3 5 3 4" xfId="6219"/>
    <cellStyle name="Comma 5 2 3 5 3 4 2" xfId="15303"/>
    <cellStyle name="Comma 5 2 3 5 3 5" xfId="10138"/>
    <cellStyle name="Comma 5 2 3 5 3 5 2" xfId="18965"/>
    <cellStyle name="Comma 5 2 3 5 3 6" xfId="11584"/>
    <cellStyle name="Comma 5 2 3 5 3 7" xfId="5406"/>
    <cellStyle name="Comma 5 2 3 5 4" xfId="1531"/>
    <cellStyle name="Comma 5 2 3 5 4 2" xfId="3130"/>
    <cellStyle name="Comma 5 2 3 5 4 2 2" xfId="18044"/>
    <cellStyle name="Comma 5 2 3 5 4 2 3" xfId="14465"/>
    <cellStyle name="Comma 5 2 3 5 4 2 4" xfId="9208"/>
    <cellStyle name="Comma 5 2 3 5 4 3" xfId="10662"/>
    <cellStyle name="Comma 5 2 3 5 4 3 2" xfId="19489"/>
    <cellStyle name="Comma 5 2 3 5 4 4" xfId="12108"/>
    <cellStyle name="Comma 5 2 3 5 4 5" xfId="7103"/>
    <cellStyle name="Comma 5 2 3 5 5" xfId="2087"/>
    <cellStyle name="Comma 5 2 3 5 5 2" xfId="17001"/>
    <cellStyle name="Comma 5 2 3 5 5 3" xfId="13422"/>
    <cellStyle name="Comma 5 2 3 5 5 4" xfId="8165"/>
    <cellStyle name="Comma 5 2 3 5 6" xfId="5726"/>
    <cellStyle name="Comma 5 2 3 5 6 2" xfId="14812"/>
    <cellStyle name="Comma 5 2 3 5 7" xfId="9619"/>
    <cellStyle name="Comma 5 2 3 5 7 2" xfId="18446"/>
    <cellStyle name="Comma 5 2 3 5 8" xfId="11063"/>
    <cellStyle name="Comma 5 2 3 5 9" xfId="4697"/>
    <cellStyle name="Comma 5 2 3 6" xfId="500"/>
    <cellStyle name="Comma 5 2 3 6 2" xfId="529"/>
    <cellStyle name="Comma 5 2 3 6 2 2" xfId="2259"/>
    <cellStyle name="Comma 5 2 3 6 2 2 2" xfId="16149"/>
    <cellStyle name="Comma 5 2 3 6 2 2 3" xfId="12571"/>
    <cellStyle name="Comma 5 2 3 6 2 2 4" xfId="7280"/>
    <cellStyle name="Comma 5 2 3 6 2 3" xfId="3528"/>
    <cellStyle name="Comma 5 2 3 6 2 3 2" xfId="17173"/>
    <cellStyle name="Comma 5 2 3 6 2 3 3" xfId="13594"/>
    <cellStyle name="Comma 5 2 3 6 2 3 4" xfId="8337"/>
    <cellStyle name="Comma 5 2 3 6 2 4" xfId="6396"/>
    <cellStyle name="Comma 5 2 3 6 2 4 2" xfId="15480"/>
    <cellStyle name="Comma 5 2 3 6 2 5" xfId="9791"/>
    <cellStyle name="Comma 5 2 3 6 2 5 2" xfId="18618"/>
    <cellStyle name="Comma 5 2 3 6 2 6" xfId="11235"/>
    <cellStyle name="Comma 5 2 3 6 2 7" xfId="4874"/>
    <cellStyle name="Comma 5 2 3 6 3" xfId="887"/>
    <cellStyle name="Comma 5 2 3 6 3 2" xfId="2607"/>
    <cellStyle name="Comma 5 2 3 6 3 2 2" xfId="16555"/>
    <cellStyle name="Comma 5 2 3 6 3 2 3" xfId="12976"/>
    <cellStyle name="Comma 5 2 3 6 3 2 4" xfId="7687"/>
    <cellStyle name="Comma 5 2 3 6 3 3" xfId="3876"/>
    <cellStyle name="Comma 5 2 3 6 3 3 2" xfId="17521"/>
    <cellStyle name="Comma 5 2 3 6 3 3 3" xfId="13942"/>
    <cellStyle name="Comma 5 2 3 6 3 3 4" xfId="8685"/>
    <cellStyle name="Comma 5 2 3 6 3 4" xfId="6732"/>
    <cellStyle name="Comma 5 2 3 6 3 4 2" xfId="15815"/>
    <cellStyle name="Comma 5 2 3 6 3 5" xfId="10139"/>
    <cellStyle name="Comma 5 2 3 6 3 5 2" xfId="18966"/>
    <cellStyle name="Comma 5 2 3 6 3 6" xfId="11585"/>
    <cellStyle name="Comma 5 2 3 6 3 7" xfId="5281"/>
    <cellStyle name="Comma 5 2 3 6 4" xfId="1396"/>
    <cellStyle name="Comma 5 2 3 6 4 2" xfId="3005"/>
    <cellStyle name="Comma 5 2 3 6 4 2 2" xfId="17919"/>
    <cellStyle name="Comma 5 2 3 6 4 2 3" xfId="14340"/>
    <cellStyle name="Comma 5 2 3 6 4 2 4" xfId="9083"/>
    <cellStyle name="Comma 5 2 3 6 4 3" xfId="10537"/>
    <cellStyle name="Comma 5 2 3 6 4 3 2" xfId="19364"/>
    <cellStyle name="Comma 5 2 3 6 4 4" xfId="11983"/>
    <cellStyle name="Comma 5 2 3 6 4 5" xfId="6978"/>
    <cellStyle name="Comma 5 2 3 6 5" xfId="1962"/>
    <cellStyle name="Comma 5 2 3 6 5 2" xfId="16874"/>
    <cellStyle name="Comma 5 2 3 6 5 3" xfId="13295"/>
    <cellStyle name="Comma 5 2 3 6 5 4" xfId="8038"/>
    <cellStyle name="Comma 5 2 3 6 6" xfId="6094"/>
    <cellStyle name="Comma 5 2 3 6 6 2" xfId="15178"/>
    <cellStyle name="Comma 5 2 3 6 7" xfId="9494"/>
    <cellStyle name="Comma 5 2 3 6 7 2" xfId="18321"/>
    <cellStyle name="Comma 5 2 3 6 8" xfId="10938"/>
    <cellStyle name="Comma 5 2 3 6 9" xfId="4572"/>
    <cellStyle name="Comma 5 2 3 7" xfId="520"/>
    <cellStyle name="Comma 5 2 3 7 2" xfId="2250"/>
    <cellStyle name="Comma 5 2 3 7 2 2" xfId="16140"/>
    <cellStyle name="Comma 5 2 3 7 2 3" xfId="12562"/>
    <cellStyle name="Comma 5 2 3 7 2 4" xfId="7271"/>
    <cellStyle name="Comma 5 2 3 7 3" xfId="3519"/>
    <cellStyle name="Comma 5 2 3 7 3 2" xfId="17164"/>
    <cellStyle name="Comma 5 2 3 7 3 3" xfId="13585"/>
    <cellStyle name="Comma 5 2 3 7 3 4" xfId="8328"/>
    <cellStyle name="Comma 5 2 3 7 4" xfId="6387"/>
    <cellStyle name="Comma 5 2 3 7 4 2" xfId="15471"/>
    <cellStyle name="Comma 5 2 3 7 5" xfId="9782"/>
    <cellStyle name="Comma 5 2 3 7 5 2" xfId="18609"/>
    <cellStyle name="Comma 5 2 3 7 6" xfId="11226"/>
    <cellStyle name="Comma 5 2 3 7 7" xfId="4865"/>
    <cellStyle name="Comma 5 2 3 8" xfId="878"/>
    <cellStyle name="Comma 5 2 3 8 2" xfId="2598"/>
    <cellStyle name="Comma 5 2 3 8 2 2" xfId="16510"/>
    <cellStyle name="Comma 5 2 3 8 2 3" xfId="12932"/>
    <cellStyle name="Comma 5 2 3 8 2 4" xfId="7642"/>
    <cellStyle name="Comma 5 2 3 8 3" xfId="3867"/>
    <cellStyle name="Comma 5 2 3 8 3 2" xfId="17512"/>
    <cellStyle name="Comma 5 2 3 8 3 3" xfId="13933"/>
    <cellStyle name="Comma 5 2 3 8 3 4" xfId="8676"/>
    <cellStyle name="Comma 5 2 3 8 4" xfId="5899"/>
    <cellStyle name="Comma 5 2 3 8 4 2" xfId="14985"/>
    <cellStyle name="Comma 5 2 3 8 5" xfId="10130"/>
    <cellStyle name="Comma 5 2 3 8 5 2" xfId="18957"/>
    <cellStyle name="Comma 5 2 3 8 6" xfId="11576"/>
    <cellStyle name="Comma 5 2 3 8 7" xfId="5236"/>
    <cellStyle name="Comma 5 2 3 9" xfId="1347"/>
    <cellStyle name="Comma 5 2 3 9 2" xfId="2960"/>
    <cellStyle name="Comma 5 2 3 9 2 2" xfId="17874"/>
    <cellStyle name="Comma 5 2 3 9 2 3" xfId="14295"/>
    <cellStyle name="Comma 5 2 3 9 2 4" xfId="9038"/>
    <cellStyle name="Comma 5 2 3 9 3" xfId="10492"/>
    <cellStyle name="Comma 5 2 3 9 3 2" xfId="19319"/>
    <cellStyle name="Comma 5 2 3 9 4" xfId="11938"/>
    <cellStyle name="Comma 5 2 3 9 5" xfId="6786"/>
    <cellStyle name="Comma 5 2 4" xfId="152"/>
    <cellStyle name="Comma 5 2 4 10" xfId="5579"/>
    <cellStyle name="Comma 5 2 4 10 2" xfId="14665"/>
    <cellStyle name="Comma 5 2 4 11" xfId="9399"/>
    <cellStyle name="Comma 5 2 4 11 2" xfId="18226"/>
    <cellStyle name="Comma 5 2 4 12" xfId="10839"/>
    <cellStyle name="Comma 5 2 4 13" xfId="4392"/>
    <cellStyle name="Comma 5 2 4 2" xfId="264"/>
    <cellStyle name="Comma 5 2 4 2 10" xfId="11018"/>
    <cellStyle name="Comma 5 2 4 2 11" xfId="4435"/>
    <cellStyle name="Comma 5 2 4 2 2" xfId="372"/>
    <cellStyle name="Comma 5 2 4 2 2 2" xfId="532"/>
    <cellStyle name="Comma 5 2 4 2 2 2 2" xfId="2262"/>
    <cellStyle name="Comma 5 2 4 2 2 2 2 2" xfId="16152"/>
    <cellStyle name="Comma 5 2 4 2 2 2 2 3" xfId="12574"/>
    <cellStyle name="Comma 5 2 4 2 2 2 2 4" xfId="7283"/>
    <cellStyle name="Comma 5 2 4 2 2 2 3" xfId="3531"/>
    <cellStyle name="Comma 5 2 4 2 2 2 3 2" xfId="17176"/>
    <cellStyle name="Comma 5 2 4 2 2 2 3 3" xfId="13597"/>
    <cellStyle name="Comma 5 2 4 2 2 2 3 4" xfId="8340"/>
    <cellStyle name="Comma 5 2 4 2 2 2 4" xfId="6399"/>
    <cellStyle name="Comma 5 2 4 2 2 2 4 2" xfId="15483"/>
    <cellStyle name="Comma 5 2 4 2 2 2 5" xfId="9794"/>
    <cellStyle name="Comma 5 2 4 2 2 2 5 2" xfId="18621"/>
    <cellStyle name="Comma 5 2 4 2 2 2 6" xfId="11238"/>
    <cellStyle name="Comma 5 2 4 2 2 2 7" xfId="4877"/>
    <cellStyle name="Comma 5 2 4 2 2 3" xfId="890"/>
    <cellStyle name="Comma 5 2 4 2 2 3 2" xfId="2610"/>
    <cellStyle name="Comma 5 2 4 2 2 3 2 2" xfId="16735"/>
    <cellStyle name="Comma 5 2 4 2 2 3 2 3" xfId="13156"/>
    <cellStyle name="Comma 5 2 4 2 2 3 2 4" xfId="7867"/>
    <cellStyle name="Comma 5 2 4 2 2 3 3" xfId="3879"/>
    <cellStyle name="Comma 5 2 4 2 2 3 3 2" xfId="17524"/>
    <cellStyle name="Comma 5 2 4 2 2 3 3 3" xfId="13945"/>
    <cellStyle name="Comma 5 2 4 2 2 3 3 4" xfId="8688"/>
    <cellStyle name="Comma 5 2 4 2 2 3 4" xfId="6274"/>
    <cellStyle name="Comma 5 2 4 2 2 3 4 2" xfId="15358"/>
    <cellStyle name="Comma 5 2 4 2 2 3 5" xfId="10142"/>
    <cellStyle name="Comma 5 2 4 2 2 3 5 2" xfId="18969"/>
    <cellStyle name="Comma 5 2 4 2 2 3 6" xfId="11588"/>
    <cellStyle name="Comma 5 2 4 2 2 3 7" xfId="5461"/>
    <cellStyle name="Comma 5 2 4 2 2 4" xfId="1587"/>
    <cellStyle name="Comma 5 2 4 2 2 4 2" xfId="3185"/>
    <cellStyle name="Comma 5 2 4 2 2 4 2 2" xfId="18099"/>
    <cellStyle name="Comma 5 2 4 2 2 4 2 3" xfId="14520"/>
    <cellStyle name="Comma 5 2 4 2 2 4 2 4" xfId="9263"/>
    <cellStyle name="Comma 5 2 4 2 2 4 3" xfId="10717"/>
    <cellStyle name="Comma 5 2 4 2 2 4 3 2" xfId="19544"/>
    <cellStyle name="Comma 5 2 4 2 2 4 4" xfId="12163"/>
    <cellStyle name="Comma 5 2 4 2 2 4 5" xfId="7158"/>
    <cellStyle name="Comma 5 2 4 2 2 5" xfId="2142"/>
    <cellStyle name="Comma 5 2 4 2 2 5 2" xfId="17056"/>
    <cellStyle name="Comma 5 2 4 2 2 5 3" xfId="13477"/>
    <cellStyle name="Comma 5 2 4 2 2 5 4" xfId="8220"/>
    <cellStyle name="Comma 5 2 4 2 2 6" xfId="5781"/>
    <cellStyle name="Comma 5 2 4 2 2 6 2" xfId="14867"/>
    <cellStyle name="Comma 5 2 4 2 2 7" xfId="9674"/>
    <cellStyle name="Comma 5 2 4 2 2 7 2" xfId="18501"/>
    <cellStyle name="Comma 5 2 4 2 2 8" xfId="11118"/>
    <cellStyle name="Comma 5 2 4 2 2 9" xfId="4752"/>
    <cellStyle name="Comma 5 2 4 2 3" xfId="531"/>
    <cellStyle name="Comma 5 2 4 2 3 2" xfId="2261"/>
    <cellStyle name="Comma 5 2 4 2 3 2 2" xfId="16072"/>
    <cellStyle name="Comma 5 2 4 2 3 2 3" xfId="12393"/>
    <cellStyle name="Comma 5 2 4 2 3 2 4" xfId="7058"/>
    <cellStyle name="Comma 5 2 4 2 3 3" xfId="3530"/>
    <cellStyle name="Comma 5 2 4 2 3 3 2" xfId="17175"/>
    <cellStyle name="Comma 5 2 4 2 3 3 3" xfId="13596"/>
    <cellStyle name="Comma 5 2 4 2 3 3 4" xfId="8339"/>
    <cellStyle name="Comma 5 2 4 2 3 4" xfId="6174"/>
    <cellStyle name="Comma 5 2 4 2 3 4 2" xfId="15258"/>
    <cellStyle name="Comma 5 2 4 2 3 5" xfId="9793"/>
    <cellStyle name="Comma 5 2 4 2 3 5 2" xfId="18620"/>
    <cellStyle name="Comma 5 2 4 2 3 6" xfId="11237"/>
    <cellStyle name="Comma 5 2 4 2 3 7" xfId="4652"/>
    <cellStyle name="Comma 5 2 4 2 4" xfId="889"/>
    <cellStyle name="Comma 5 2 4 2 4 2" xfId="2609"/>
    <cellStyle name="Comma 5 2 4 2 4 2 2" xfId="16151"/>
    <cellStyle name="Comma 5 2 4 2 4 2 3" xfId="12573"/>
    <cellStyle name="Comma 5 2 4 2 4 2 4" xfId="7282"/>
    <cellStyle name="Comma 5 2 4 2 4 3" xfId="3878"/>
    <cellStyle name="Comma 5 2 4 2 4 3 2" xfId="17523"/>
    <cellStyle name="Comma 5 2 4 2 4 3 3" xfId="13944"/>
    <cellStyle name="Comma 5 2 4 2 4 3 4" xfId="8687"/>
    <cellStyle name="Comma 5 2 4 2 4 4" xfId="6398"/>
    <cellStyle name="Comma 5 2 4 2 4 4 2" xfId="15482"/>
    <cellStyle name="Comma 5 2 4 2 4 5" xfId="10141"/>
    <cellStyle name="Comma 5 2 4 2 4 5 2" xfId="18968"/>
    <cellStyle name="Comma 5 2 4 2 4 6" xfId="11587"/>
    <cellStyle name="Comma 5 2 4 2 4 7" xfId="4876"/>
    <cellStyle name="Comma 5 2 4 2 5" xfId="1485"/>
    <cellStyle name="Comma 5 2 4 2 5 2" xfId="3085"/>
    <cellStyle name="Comma 5 2 4 2 5 2 2" xfId="16635"/>
    <cellStyle name="Comma 5 2 4 2 5 2 3" xfId="13056"/>
    <cellStyle name="Comma 5 2 4 2 5 2 4" xfId="7767"/>
    <cellStyle name="Comma 5 2 4 2 5 3" xfId="4294"/>
    <cellStyle name="Comma 5 2 4 2 5 3 2" xfId="17999"/>
    <cellStyle name="Comma 5 2 4 2 5 3 3" xfId="14420"/>
    <cellStyle name="Comma 5 2 4 2 5 3 4" xfId="9163"/>
    <cellStyle name="Comma 5 2 4 2 5 4" xfId="5955"/>
    <cellStyle name="Comma 5 2 4 2 5 4 2" xfId="15041"/>
    <cellStyle name="Comma 5 2 4 2 5 5" xfId="10617"/>
    <cellStyle name="Comma 5 2 4 2 5 5 2" xfId="19444"/>
    <cellStyle name="Comma 5 2 4 2 5 6" xfId="12063"/>
    <cellStyle name="Comma 5 2 4 2 5 7" xfId="5361"/>
    <cellStyle name="Comma 5 2 4 2 6" xfId="2042"/>
    <cellStyle name="Comma 5 2 4 2 6 2" xfId="15884"/>
    <cellStyle name="Comma 5 2 4 2 6 3" xfId="12464"/>
    <cellStyle name="Comma 5 2 4 2 6 4" xfId="6841"/>
    <cellStyle name="Comma 5 2 4 2 7" xfId="3456"/>
    <cellStyle name="Comma 5 2 4 2 7 2" xfId="16956"/>
    <cellStyle name="Comma 5 2 4 2 7 3" xfId="13377"/>
    <cellStyle name="Comma 5 2 4 2 7 4" xfId="8120"/>
    <cellStyle name="Comma 5 2 4 2 8" xfId="5681"/>
    <cellStyle name="Comma 5 2 4 2 8 2" xfId="14767"/>
    <cellStyle name="Comma 5 2 4 2 9" xfId="9574"/>
    <cellStyle name="Comma 5 2 4 2 9 2" xfId="18401"/>
    <cellStyle name="Comma 5 2 4 3" xfId="221"/>
    <cellStyle name="Comma 5 2 4 3 10" xfId="10975"/>
    <cellStyle name="Comma 5 2 4 3 11" xfId="4497"/>
    <cellStyle name="Comma 5 2 4 3 2" xfId="435"/>
    <cellStyle name="Comma 5 2 4 3 2 2" xfId="534"/>
    <cellStyle name="Comma 5 2 4 3 2 2 2" xfId="2264"/>
    <cellStyle name="Comma 5 2 4 3 2 2 2 2" xfId="16154"/>
    <cellStyle name="Comma 5 2 4 3 2 2 2 3" xfId="12576"/>
    <cellStyle name="Comma 5 2 4 3 2 2 2 4" xfId="7285"/>
    <cellStyle name="Comma 5 2 4 3 2 2 3" xfId="3533"/>
    <cellStyle name="Comma 5 2 4 3 2 2 3 2" xfId="17178"/>
    <cellStyle name="Comma 5 2 4 3 2 2 3 3" xfId="13599"/>
    <cellStyle name="Comma 5 2 4 3 2 2 3 4" xfId="8342"/>
    <cellStyle name="Comma 5 2 4 3 2 2 4" xfId="6401"/>
    <cellStyle name="Comma 5 2 4 3 2 2 4 2" xfId="15485"/>
    <cellStyle name="Comma 5 2 4 3 2 2 5" xfId="9796"/>
    <cellStyle name="Comma 5 2 4 3 2 2 5 2" xfId="18623"/>
    <cellStyle name="Comma 5 2 4 3 2 2 6" xfId="11240"/>
    <cellStyle name="Comma 5 2 4 3 2 2 7" xfId="4879"/>
    <cellStyle name="Comma 5 2 4 3 2 3" xfId="892"/>
    <cellStyle name="Comma 5 2 4 3 2 3 2" xfId="2612"/>
    <cellStyle name="Comma 5 2 4 3 2 3 2 2" xfId="16797"/>
    <cellStyle name="Comma 5 2 4 3 2 3 2 3" xfId="13218"/>
    <cellStyle name="Comma 5 2 4 3 2 3 2 4" xfId="7929"/>
    <cellStyle name="Comma 5 2 4 3 2 3 3" xfId="3881"/>
    <cellStyle name="Comma 5 2 4 3 2 3 3 2" xfId="17526"/>
    <cellStyle name="Comma 5 2 4 3 2 3 3 3" xfId="13947"/>
    <cellStyle name="Comma 5 2 4 3 2 3 3 4" xfId="8690"/>
    <cellStyle name="Comma 5 2 4 3 2 3 4" xfId="6336"/>
    <cellStyle name="Comma 5 2 4 3 2 3 4 2" xfId="15420"/>
    <cellStyle name="Comma 5 2 4 3 2 3 5" xfId="10144"/>
    <cellStyle name="Comma 5 2 4 3 2 3 5 2" xfId="18971"/>
    <cellStyle name="Comma 5 2 4 3 2 3 6" xfId="11590"/>
    <cellStyle name="Comma 5 2 4 3 2 3 7" xfId="5523"/>
    <cellStyle name="Comma 5 2 4 3 2 4" xfId="1651"/>
    <cellStyle name="Comma 5 2 4 3 2 4 2" xfId="3247"/>
    <cellStyle name="Comma 5 2 4 3 2 4 2 2" xfId="18161"/>
    <cellStyle name="Comma 5 2 4 3 2 4 2 3" xfId="14582"/>
    <cellStyle name="Comma 5 2 4 3 2 4 2 4" xfId="9325"/>
    <cellStyle name="Comma 5 2 4 3 2 4 3" xfId="10779"/>
    <cellStyle name="Comma 5 2 4 3 2 4 3 2" xfId="19606"/>
    <cellStyle name="Comma 5 2 4 3 2 4 4" xfId="12225"/>
    <cellStyle name="Comma 5 2 4 3 2 4 5" xfId="7220"/>
    <cellStyle name="Comma 5 2 4 3 2 5" xfId="2204"/>
    <cellStyle name="Comma 5 2 4 3 2 5 2" xfId="17118"/>
    <cellStyle name="Comma 5 2 4 3 2 5 3" xfId="13539"/>
    <cellStyle name="Comma 5 2 4 3 2 5 4" xfId="8282"/>
    <cellStyle name="Comma 5 2 4 3 2 6" xfId="5843"/>
    <cellStyle name="Comma 5 2 4 3 2 6 2" xfId="14929"/>
    <cellStyle name="Comma 5 2 4 3 2 7" xfId="9736"/>
    <cellStyle name="Comma 5 2 4 3 2 7 2" xfId="18563"/>
    <cellStyle name="Comma 5 2 4 3 2 8" xfId="11180"/>
    <cellStyle name="Comma 5 2 4 3 2 9" xfId="4814"/>
    <cellStyle name="Comma 5 2 4 3 3" xfId="533"/>
    <cellStyle name="Comma 5 2 4 3 3 2" xfId="2263"/>
    <cellStyle name="Comma 5 2 4 3 3 2 2" xfId="16029"/>
    <cellStyle name="Comma 5 2 4 3 3 2 3" xfId="12513"/>
    <cellStyle name="Comma 5 2 4 3 3 2 4" xfId="7015"/>
    <cellStyle name="Comma 5 2 4 3 3 3" xfId="3532"/>
    <cellStyle name="Comma 5 2 4 3 3 3 2" xfId="17177"/>
    <cellStyle name="Comma 5 2 4 3 3 3 3" xfId="13598"/>
    <cellStyle name="Comma 5 2 4 3 3 3 4" xfId="8341"/>
    <cellStyle name="Comma 5 2 4 3 3 4" xfId="6131"/>
    <cellStyle name="Comma 5 2 4 3 3 4 2" xfId="15215"/>
    <cellStyle name="Comma 5 2 4 3 3 5" xfId="9795"/>
    <cellStyle name="Comma 5 2 4 3 3 5 2" xfId="18622"/>
    <cellStyle name="Comma 5 2 4 3 3 6" xfId="11239"/>
    <cellStyle name="Comma 5 2 4 3 3 7" xfId="4609"/>
    <cellStyle name="Comma 5 2 4 3 4" xfId="891"/>
    <cellStyle name="Comma 5 2 4 3 4 2" xfId="2611"/>
    <cellStyle name="Comma 5 2 4 3 4 2 2" xfId="16153"/>
    <cellStyle name="Comma 5 2 4 3 4 2 3" xfId="12575"/>
    <cellStyle name="Comma 5 2 4 3 4 2 4" xfId="7284"/>
    <cellStyle name="Comma 5 2 4 3 4 3" xfId="3880"/>
    <cellStyle name="Comma 5 2 4 3 4 3 2" xfId="17525"/>
    <cellStyle name="Comma 5 2 4 3 4 3 3" xfId="13946"/>
    <cellStyle name="Comma 5 2 4 3 4 3 4" xfId="8689"/>
    <cellStyle name="Comma 5 2 4 3 4 4" xfId="6400"/>
    <cellStyle name="Comma 5 2 4 3 4 4 2" xfId="15484"/>
    <cellStyle name="Comma 5 2 4 3 4 5" xfId="10143"/>
    <cellStyle name="Comma 5 2 4 3 4 5 2" xfId="18970"/>
    <cellStyle name="Comma 5 2 4 3 4 6" xfId="11589"/>
    <cellStyle name="Comma 5 2 4 3 4 7" xfId="4878"/>
    <cellStyle name="Comma 5 2 4 3 5" xfId="1440"/>
    <cellStyle name="Comma 5 2 4 3 5 2" xfId="3042"/>
    <cellStyle name="Comma 5 2 4 3 5 2 2" xfId="16592"/>
    <cellStyle name="Comma 5 2 4 3 5 2 3" xfId="13013"/>
    <cellStyle name="Comma 5 2 4 3 5 2 4" xfId="7724"/>
    <cellStyle name="Comma 5 2 4 3 5 3" xfId="4251"/>
    <cellStyle name="Comma 5 2 4 3 5 3 2" xfId="17956"/>
    <cellStyle name="Comma 5 2 4 3 5 3 3" xfId="14377"/>
    <cellStyle name="Comma 5 2 4 3 5 3 4" xfId="9120"/>
    <cellStyle name="Comma 5 2 4 3 5 4" xfId="6017"/>
    <cellStyle name="Comma 5 2 4 3 5 4 2" xfId="15103"/>
    <cellStyle name="Comma 5 2 4 3 5 5" xfId="10574"/>
    <cellStyle name="Comma 5 2 4 3 5 5 2" xfId="19401"/>
    <cellStyle name="Comma 5 2 4 3 5 6" xfId="12020"/>
    <cellStyle name="Comma 5 2 4 3 5 7" xfId="5318"/>
    <cellStyle name="Comma 5 2 4 3 6" xfId="1999"/>
    <cellStyle name="Comma 5 2 4 3 6 2" xfId="15946"/>
    <cellStyle name="Comma 5 2 4 3 6 3" xfId="12515"/>
    <cellStyle name="Comma 5 2 4 3 6 4" xfId="6903"/>
    <cellStyle name="Comma 5 2 4 3 7" xfId="3414"/>
    <cellStyle name="Comma 5 2 4 3 7 2" xfId="16913"/>
    <cellStyle name="Comma 5 2 4 3 7 3" xfId="13334"/>
    <cellStyle name="Comma 5 2 4 3 7 4" xfId="8077"/>
    <cellStyle name="Comma 5 2 4 3 8" xfId="5638"/>
    <cellStyle name="Comma 5 2 4 3 8 2" xfId="14724"/>
    <cellStyle name="Comma 5 2 4 3 9" xfId="9531"/>
    <cellStyle name="Comma 5 2 4 3 9 2" xfId="18358"/>
    <cellStyle name="Comma 5 2 4 4" xfId="329"/>
    <cellStyle name="Comma 5 2 4 4 2" xfId="535"/>
    <cellStyle name="Comma 5 2 4 4 2 2" xfId="2265"/>
    <cellStyle name="Comma 5 2 4 4 2 2 2" xfId="16155"/>
    <cellStyle name="Comma 5 2 4 4 2 2 3" xfId="12577"/>
    <cellStyle name="Comma 5 2 4 4 2 2 4" xfId="7286"/>
    <cellStyle name="Comma 5 2 4 4 2 3" xfId="3534"/>
    <cellStyle name="Comma 5 2 4 4 2 3 2" xfId="17179"/>
    <cellStyle name="Comma 5 2 4 4 2 3 3" xfId="13600"/>
    <cellStyle name="Comma 5 2 4 4 2 3 4" xfId="8343"/>
    <cellStyle name="Comma 5 2 4 4 2 4" xfId="6402"/>
    <cellStyle name="Comma 5 2 4 4 2 4 2" xfId="15486"/>
    <cellStyle name="Comma 5 2 4 4 2 5" xfId="9797"/>
    <cellStyle name="Comma 5 2 4 4 2 5 2" xfId="18624"/>
    <cellStyle name="Comma 5 2 4 4 2 6" xfId="11241"/>
    <cellStyle name="Comma 5 2 4 4 2 7" xfId="4880"/>
    <cellStyle name="Comma 5 2 4 4 3" xfId="893"/>
    <cellStyle name="Comma 5 2 4 4 3 2" xfId="2613"/>
    <cellStyle name="Comma 5 2 4 4 3 2 2" xfId="16692"/>
    <cellStyle name="Comma 5 2 4 4 3 2 3" xfId="13113"/>
    <cellStyle name="Comma 5 2 4 4 3 2 4" xfId="7824"/>
    <cellStyle name="Comma 5 2 4 4 3 3" xfId="3882"/>
    <cellStyle name="Comma 5 2 4 4 3 3 2" xfId="17527"/>
    <cellStyle name="Comma 5 2 4 4 3 3 3" xfId="13948"/>
    <cellStyle name="Comma 5 2 4 4 3 3 4" xfId="8691"/>
    <cellStyle name="Comma 5 2 4 4 3 4" xfId="6231"/>
    <cellStyle name="Comma 5 2 4 4 3 4 2" xfId="15315"/>
    <cellStyle name="Comma 5 2 4 4 3 5" xfId="10145"/>
    <cellStyle name="Comma 5 2 4 4 3 5 2" xfId="18972"/>
    <cellStyle name="Comma 5 2 4 4 3 6" xfId="11591"/>
    <cellStyle name="Comma 5 2 4 4 3 7" xfId="5418"/>
    <cellStyle name="Comma 5 2 4 4 4" xfId="1543"/>
    <cellStyle name="Comma 5 2 4 4 4 2" xfId="3142"/>
    <cellStyle name="Comma 5 2 4 4 4 2 2" xfId="18056"/>
    <cellStyle name="Comma 5 2 4 4 4 2 3" xfId="14477"/>
    <cellStyle name="Comma 5 2 4 4 4 2 4" xfId="9220"/>
    <cellStyle name="Comma 5 2 4 4 4 3" xfId="10674"/>
    <cellStyle name="Comma 5 2 4 4 4 3 2" xfId="19501"/>
    <cellStyle name="Comma 5 2 4 4 4 4" xfId="12120"/>
    <cellStyle name="Comma 5 2 4 4 4 5" xfId="7115"/>
    <cellStyle name="Comma 5 2 4 4 5" xfId="2099"/>
    <cellStyle name="Comma 5 2 4 4 5 2" xfId="17013"/>
    <cellStyle name="Comma 5 2 4 4 5 3" xfId="13434"/>
    <cellStyle name="Comma 5 2 4 4 5 4" xfId="8177"/>
    <cellStyle name="Comma 5 2 4 4 6" xfId="5738"/>
    <cellStyle name="Comma 5 2 4 4 6 2" xfId="14824"/>
    <cellStyle name="Comma 5 2 4 4 7" xfId="9631"/>
    <cellStyle name="Comma 5 2 4 4 7 2" xfId="18458"/>
    <cellStyle name="Comma 5 2 4 4 8" xfId="11075"/>
    <cellStyle name="Comma 5 2 4 4 9" xfId="4709"/>
    <cellStyle name="Comma 5 2 4 5" xfId="530"/>
    <cellStyle name="Comma 5 2 4 5 2" xfId="2260"/>
    <cellStyle name="Comma 5 2 4 5 2 2" xfId="15986"/>
    <cellStyle name="Comma 5 2 4 5 2 3" xfId="12353"/>
    <cellStyle name="Comma 5 2 4 5 2 4" xfId="6956"/>
    <cellStyle name="Comma 5 2 4 5 3" xfId="3529"/>
    <cellStyle name="Comma 5 2 4 5 3 2" xfId="17174"/>
    <cellStyle name="Comma 5 2 4 5 3 3" xfId="13595"/>
    <cellStyle name="Comma 5 2 4 5 3 4" xfId="8338"/>
    <cellStyle name="Comma 5 2 4 5 4" xfId="6072"/>
    <cellStyle name="Comma 5 2 4 5 4 2" xfId="15156"/>
    <cellStyle name="Comma 5 2 4 5 5" xfId="9792"/>
    <cellStyle name="Comma 5 2 4 5 5 2" xfId="18619"/>
    <cellStyle name="Comma 5 2 4 5 6" xfId="11236"/>
    <cellStyle name="Comma 5 2 4 5 7" xfId="4550"/>
    <cellStyle name="Comma 5 2 4 6" xfId="888"/>
    <cellStyle name="Comma 5 2 4 6 2" xfId="2608"/>
    <cellStyle name="Comma 5 2 4 6 2 2" xfId="16150"/>
    <cellStyle name="Comma 5 2 4 6 2 3" xfId="12572"/>
    <cellStyle name="Comma 5 2 4 6 2 4" xfId="7281"/>
    <cellStyle name="Comma 5 2 4 6 3" xfId="3877"/>
    <cellStyle name="Comma 5 2 4 6 3 2" xfId="17522"/>
    <cellStyle name="Comma 5 2 4 6 3 3" xfId="13943"/>
    <cellStyle name="Comma 5 2 4 6 3 4" xfId="8686"/>
    <cellStyle name="Comma 5 2 4 6 4" xfId="6397"/>
    <cellStyle name="Comma 5 2 4 6 4 2" xfId="15481"/>
    <cellStyle name="Comma 5 2 4 6 5" xfId="10140"/>
    <cellStyle name="Comma 5 2 4 6 5 2" xfId="18967"/>
    <cellStyle name="Comma 5 2 4 6 6" xfId="11586"/>
    <cellStyle name="Comma 5 2 4 6 7" xfId="4875"/>
    <cellStyle name="Comma 5 2 4 7" xfId="1372"/>
    <cellStyle name="Comma 5 2 4 7 2" xfId="2983"/>
    <cellStyle name="Comma 5 2 4 7 2 2" xfId="16533"/>
    <cellStyle name="Comma 5 2 4 7 2 3" xfId="12955"/>
    <cellStyle name="Comma 5 2 4 7 2 4" xfId="7665"/>
    <cellStyle name="Comma 5 2 4 7 3" xfId="4209"/>
    <cellStyle name="Comma 5 2 4 7 3 2" xfId="17897"/>
    <cellStyle name="Comma 5 2 4 7 3 3" xfId="14318"/>
    <cellStyle name="Comma 5 2 4 7 3 4" xfId="9061"/>
    <cellStyle name="Comma 5 2 4 7 4" xfId="5911"/>
    <cellStyle name="Comma 5 2 4 7 4 2" xfId="14997"/>
    <cellStyle name="Comma 5 2 4 7 5" xfId="10515"/>
    <cellStyle name="Comma 5 2 4 7 5 2" xfId="19342"/>
    <cellStyle name="Comma 5 2 4 7 6" xfId="11961"/>
    <cellStyle name="Comma 5 2 4 7 7" xfId="5259"/>
    <cellStyle name="Comma 5 2 4 8" xfId="1940"/>
    <cellStyle name="Comma 5 2 4 8 2" xfId="9472"/>
    <cellStyle name="Comma 5 2 4 8 2 2" xfId="18299"/>
    <cellStyle name="Comma 5 2 4 8 3" xfId="10916"/>
    <cellStyle name="Comma 5 2 4 8 4" xfId="6798"/>
    <cellStyle name="Comma 5 2 4 9" xfId="1864"/>
    <cellStyle name="Comma 5 2 4 9 2" xfId="16852"/>
    <cellStyle name="Comma 5 2 4 9 3" xfId="13273"/>
    <cellStyle name="Comma 5 2 4 9 4" xfId="8016"/>
    <cellStyle name="Comma 5 2 5" xfId="247"/>
    <cellStyle name="Comma 5 2 5 10" xfId="11001"/>
    <cellStyle name="Comma 5 2 5 11" xfId="4418"/>
    <cellStyle name="Comma 5 2 5 2" xfId="355"/>
    <cellStyle name="Comma 5 2 5 2 2" xfId="537"/>
    <cellStyle name="Comma 5 2 5 2 2 2" xfId="2267"/>
    <cellStyle name="Comma 5 2 5 2 2 2 2" xfId="16157"/>
    <cellStyle name="Comma 5 2 5 2 2 2 3" xfId="12579"/>
    <cellStyle name="Comma 5 2 5 2 2 2 4" xfId="7288"/>
    <cellStyle name="Comma 5 2 5 2 2 3" xfId="3536"/>
    <cellStyle name="Comma 5 2 5 2 2 3 2" xfId="17181"/>
    <cellStyle name="Comma 5 2 5 2 2 3 3" xfId="13602"/>
    <cellStyle name="Comma 5 2 5 2 2 3 4" xfId="8345"/>
    <cellStyle name="Comma 5 2 5 2 2 4" xfId="6404"/>
    <cellStyle name="Comma 5 2 5 2 2 4 2" xfId="15488"/>
    <cellStyle name="Comma 5 2 5 2 2 5" xfId="9799"/>
    <cellStyle name="Comma 5 2 5 2 2 5 2" xfId="18626"/>
    <cellStyle name="Comma 5 2 5 2 2 6" xfId="11243"/>
    <cellStyle name="Comma 5 2 5 2 2 7" xfId="4882"/>
    <cellStyle name="Comma 5 2 5 2 3" xfId="895"/>
    <cellStyle name="Comma 5 2 5 2 3 2" xfId="2615"/>
    <cellStyle name="Comma 5 2 5 2 3 2 2" xfId="16718"/>
    <cellStyle name="Comma 5 2 5 2 3 2 3" xfId="13139"/>
    <cellStyle name="Comma 5 2 5 2 3 2 4" xfId="7850"/>
    <cellStyle name="Comma 5 2 5 2 3 3" xfId="3884"/>
    <cellStyle name="Comma 5 2 5 2 3 3 2" xfId="17529"/>
    <cellStyle name="Comma 5 2 5 2 3 3 3" xfId="13950"/>
    <cellStyle name="Comma 5 2 5 2 3 3 4" xfId="8693"/>
    <cellStyle name="Comma 5 2 5 2 3 4" xfId="6257"/>
    <cellStyle name="Comma 5 2 5 2 3 4 2" xfId="15341"/>
    <cellStyle name="Comma 5 2 5 2 3 5" xfId="10147"/>
    <cellStyle name="Comma 5 2 5 2 3 5 2" xfId="18974"/>
    <cellStyle name="Comma 5 2 5 2 3 6" xfId="11593"/>
    <cellStyle name="Comma 5 2 5 2 3 7" xfId="5444"/>
    <cellStyle name="Comma 5 2 5 2 4" xfId="1570"/>
    <cellStyle name="Comma 5 2 5 2 4 2" xfId="3168"/>
    <cellStyle name="Comma 5 2 5 2 4 2 2" xfId="18082"/>
    <cellStyle name="Comma 5 2 5 2 4 2 3" xfId="14503"/>
    <cellStyle name="Comma 5 2 5 2 4 2 4" xfId="9246"/>
    <cellStyle name="Comma 5 2 5 2 4 3" xfId="10700"/>
    <cellStyle name="Comma 5 2 5 2 4 3 2" xfId="19527"/>
    <cellStyle name="Comma 5 2 5 2 4 4" xfId="12146"/>
    <cellStyle name="Comma 5 2 5 2 4 5" xfId="7141"/>
    <cellStyle name="Comma 5 2 5 2 5" xfId="2125"/>
    <cellStyle name="Comma 5 2 5 2 5 2" xfId="17039"/>
    <cellStyle name="Comma 5 2 5 2 5 3" xfId="13460"/>
    <cellStyle name="Comma 5 2 5 2 5 4" xfId="8203"/>
    <cellStyle name="Comma 5 2 5 2 6" xfId="5764"/>
    <cellStyle name="Comma 5 2 5 2 6 2" xfId="14850"/>
    <cellStyle name="Comma 5 2 5 2 7" xfId="9657"/>
    <cellStyle name="Comma 5 2 5 2 7 2" xfId="18484"/>
    <cellStyle name="Comma 5 2 5 2 8" xfId="11101"/>
    <cellStyle name="Comma 5 2 5 2 9" xfId="4735"/>
    <cellStyle name="Comma 5 2 5 3" xfId="536"/>
    <cellStyle name="Comma 5 2 5 3 2" xfId="2266"/>
    <cellStyle name="Comma 5 2 5 3 2 2" xfId="16055"/>
    <cellStyle name="Comma 5 2 5 3 2 3" xfId="10849"/>
    <cellStyle name="Comma 5 2 5 3 2 4" xfId="7041"/>
    <cellStyle name="Comma 5 2 5 3 3" xfId="3535"/>
    <cellStyle name="Comma 5 2 5 3 3 2" xfId="17180"/>
    <cellStyle name="Comma 5 2 5 3 3 3" xfId="13601"/>
    <cellStyle name="Comma 5 2 5 3 3 4" xfId="8344"/>
    <cellStyle name="Comma 5 2 5 3 4" xfId="6157"/>
    <cellStyle name="Comma 5 2 5 3 4 2" xfId="15241"/>
    <cellStyle name="Comma 5 2 5 3 5" xfId="9798"/>
    <cellStyle name="Comma 5 2 5 3 5 2" xfId="18625"/>
    <cellStyle name="Comma 5 2 5 3 6" xfId="11242"/>
    <cellStyle name="Comma 5 2 5 3 7" xfId="4635"/>
    <cellStyle name="Comma 5 2 5 4" xfId="894"/>
    <cellStyle name="Comma 5 2 5 4 2" xfId="2614"/>
    <cellStyle name="Comma 5 2 5 4 2 2" xfId="16156"/>
    <cellStyle name="Comma 5 2 5 4 2 3" xfId="12578"/>
    <cellStyle name="Comma 5 2 5 4 2 4" xfId="7287"/>
    <cellStyle name="Comma 5 2 5 4 3" xfId="3883"/>
    <cellStyle name="Comma 5 2 5 4 3 2" xfId="17528"/>
    <cellStyle name="Comma 5 2 5 4 3 3" xfId="13949"/>
    <cellStyle name="Comma 5 2 5 4 3 4" xfId="8692"/>
    <cellStyle name="Comma 5 2 5 4 4" xfId="6403"/>
    <cellStyle name="Comma 5 2 5 4 4 2" xfId="15487"/>
    <cellStyle name="Comma 5 2 5 4 5" xfId="10146"/>
    <cellStyle name="Comma 5 2 5 4 5 2" xfId="18973"/>
    <cellStyle name="Comma 5 2 5 4 6" xfId="11592"/>
    <cellStyle name="Comma 5 2 5 4 7" xfId="4881"/>
    <cellStyle name="Comma 5 2 5 5" xfId="1468"/>
    <cellStyle name="Comma 5 2 5 5 2" xfId="3068"/>
    <cellStyle name="Comma 5 2 5 5 2 2" xfId="16618"/>
    <cellStyle name="Comma 5 2 5 5 2 3" xfId="13039"/>
    <cellStyle name="Comma 5 2 5 5 2 4" xfId="7750"/>
    <cellStyle name="Comma 5 2 5 5 3" xfId="4277"/>
    <cellStyle name="Comma 5 2 5 5 3 2" xfId="17982"/>
    <cellStyle name="Comma 5 2 5 5 3 3" xfId="14403"/>
    <cellStyle name="Comma 5 2 5 5 3 4" xfId="9146"/>
    <cellStyle name="Comma 5 2 5 5 4" xfId="5938"/>
    <cellStyle name="Comma 5 2 5 5 4 2" xfId="15024"/>
    <cellStyle name="Comma 5 2 5 5 5" xfId="10600"/>
    <cellStyle name="Comma 5 2 5 5 5 2" xfId="19427"/>
    <cellStyle name="Comma 5 2 5 5 6" xfId="12046"/>
    <cellStyle name="Comma 5 2 5 5 7" xfId="5344"/>
    <cellStyle name="Comma 5 2 5 6" xfId="2025"/>
    <cellStyle name="Comma 5 2 5 6 2" xfId="15867"/>
    <cellStyle name="Comma 5 2 5 6 3" xfId="12379"/>
    <cellStyle name="Comma 5 2 5 6 4" xfId="6824"/>
    <cellStyle name="Comma 5 2 5 7" xfId="3439"/>
    <cellStyle name="Comma 5 2 5 7 2" xfId="16939"/>
    <cellStyle name="Comma 5 2 5 7 3" xfId="13360"/>
    <cellStyle name="Comma 5 2 5 7 4" xfId="8103"/>
    <cellStyle name="Comma 5 2 5 8" xfId="5664"/>
    <cellStyle name="Comma 5 2 5 8 2" xfId="14750"/>
    <cellStyle name="Comma 5 2 5 9" xfId="9557"/>
    <cellStyle name="Comma 5 2 5 9 2" xfId="18384"/>
    <cellStyle name="Comma 5 2 6" xfId="187"/>
    <cellStyle name="Comma 5 2 6 10" xfId="10944"/>
    <cellStyle name="Comma 5 2 6 11" xfId="4466"/>
    <cellStyle name="Comma 5 2 6 2" xfId="404"/>
    <cellStyle name="Comma 5 2 6 2 2" xfId="539"/>
    <cellStyle name="Comma 5 2 6 2 2 2" xfId="2269"/>
    <cellStyle name="Comma 5 2 6 2 2 2 2" xfId="16159"/>
    <cellStyle name="Comma 5 2 6 2 2 2 3" xfId="12581"/>
    <cellStyle name="Comma 5 2 6 2 2 2 4" xfId="7290"/>
    <cellStyle name="Comma 5 2 6 2 2 3" xfId="3538"/>
    <cellStyle name="Comma 5 2 6 2 2 3 2" xfId="17183"/>
    <cellStyle name="Comma 5 2 6 2 2 3 3" xfId="13604"/>
    <cellStyle name="Comma 5 2 6 2 2 3 4" xfId="8347"/>
    <cellStyle name="Comma 5 2 6 2 2 4" xfId="6406"/>
    <cellStyle name="Comma 5 2 6 2 2 4 2" xfId="15490"/>
    <cellStyle name="Comma 5 2 6 2 2 5" xfId="9801"/>
    <cellStyle name="Comma 5 2 6 2 2 5 2" xfId="18628"/>
    <cellStyle name="Comma 5 2 6 2 2 6" xfId="11245"/>
    <cellStyle name="Comma 5 2 6 2 2 7" xfId="4884"/>
    <cellStyle name="Comma 5 2 6 2 3" xfId="897"/>
    <cellStyle name="Comma 5 2 6 2 3 2" xfId="2617"/>
    <cellStyle name="Comma 5 2 6 2 3 2 2" xfId="16766"/>
    <cellStyle name="Comma 5 2 6 2 3 2 3" xfId="13187"/>
    <cellStyle name="Comma 5 2 6 2 3 2 4" xfId="7898"/>
    <cellStyle name="Comma 5 2 6 2 3 3" xfId="3886"/>
    <cellStyle name="Comma 5 2 6 2 3 3 2" xfId="17531"/>
    <cellStyle name="Comma 5 2 6 2 3 3 3" xfId="13952"/>
    <cellStyle name="Comma 5 2 6 2 3 3 4" xfId="8695"/>
    <cellStyle name="Comma 5 2 6 2 3 4" xfId="6305"/>
    <cellStyle name="Comma 5 2 6 2 3 4 2" xfId="15389"/>
    <cellStyle name="Comma 5 2 6 2 3 5" xfId="10149"/>
    <cellStyle name="Comma 5 2 6 2 3 5 2" xfId="18976"/>
    <cellStyle name="Comma 5 2 6 2 3 6" xfId="11595"/>
    <cellStyle name="Comma 5 2 6 2 3 7" xfId="5492"/>
    <cellStyle name="Comma 5 2 6 2 4" xfId="1620"/>
    <cellStyle name="Comma 5 2 6 2 4 2" xfId="3216"/>
    <cellStyle name="Comma 5 2 6 2 4 2 2" xfId="18130"/>
    <cellStyle name="Comma 5 2 6 2 4 2 3" xfId="14551"/>
    <cellStyle name="Comma 5 2 6 2 4 2 4" xfId="9294"/>
    <cellStyle name="Comma 5 2 6 2 4 3" xfId="10748"/>
    <cellStyle name="Comma 5 2 6 2 4 3 2" xfId="19575"/>
    <cellStyle name="Comma 5 2 6 2 4 4" xfId="12194"/>
    <cellStyle name="Comma 5 2 6 2 4 5" xfId="7189"/>
    <cellStyle name="Comma 5 2 6 2 5" xfId="2173"/>
    <cellStyle name="Comma 5 2 6 2 5 2" xfId="17087"/>
    <cellStyle name="Comma 5 2 6 2 5 3" xfId="13508"/>
    <cellStyle name="Comma 5 2 6 2 5 4" xfId="8251"/>
    <cellStyle name="Comma 5 2 6 2 6" xfId="5812"/>
    <cellStyle name="Comma 5 2 6 2 6 2" xfId="14898"/>
    <cellStyle name="Comma 5 2 6 2 7" xfId="9705"/>
    <cellStyle name="Comma 5 2 6 2 7 2" xfId="18532"/>
    <cellStyle name="Comma 5 2 6 2 8" xfId="11149"/>
    <cellStyle name="Comma 5 2 6 2 9" xfId="4783"/>
    <cellStyle name="Comma 5 2 6 3" xfId="538"/>
    <cellStyle name="Comma 5 2 6 3 2" xfId="2268"/>
    <cellStyle name="Comma 5 2 6 3 2 2" xfId="15998"/>
    <cellStyle name="Comma 5 2 6 3 2 3" xfId="12349"/>
    <cellStyle name="Comma 5 2 6 3 2 4" xfId="6984"/>
    <cellStyle name="Comma 5 2 6 3 3" xfId="3537"/>
    <cellStyle name="Comma 5 2 6 3 3 2" xfId="17182"/>
    <cellStyle name="Comma 5 2 6 3 3 3" xfId="13603"/>
    <cellStyle name="Comma 5 2 6 3 3 4" xfId="8346"/>
    <cellStyle name="Comma 5 2 6 3 4" xfId="6100"/>
    <cellStyle name="Comma 5 2 6 3 4 2" xfId="15184"/>
    <cellStyle name="Comma 5 2 6 3 5" xfId="9800"/>
    <cellStyle name="Comma 5 2 6 3 5 2" xfId="18627"/>
    <cellStyle name="Comma 5 2 6 3 6" xfId="11244"/>
    <cellStyle name="Comma 5 2 6 3 7" xfId="4578"/>
    <cellStyle name="Comma 5 2 6 4" xfId="896"/>
    <cellStyle name="Comma 5 2 6 4 2" xfId="2616"/>
    <cellStyle name="Comma 5 2 6 4 2 2" xfId="16158"/>
    <cellStyle name="Comma 5 2 6 4 2 3" xfId="12580"/>
    <cellStyle name="Comma 5 2 6 4 2 4" xfId="7289"/>
    <cellStyle name="Comma 5 2 6 4 3" xfId="3885"/>
    <cellStyle name="Comma 5 2 6 4 3 2" xfId="17530"/>
    <cellStyle name="Comma 5 2 6 4 3 3" xfId="13951"/>
    <cellStyle name="Comma 5 2 6 4 3 4" xfId="8694"/>
    <cellStyle name="Comma 5 2 6 4 4" xfId="6405"/>
    <cellStyle name="Comma 5 2 6 4 4 2" xfId="15489"/>
    <cellStyle name="Comma 5 2 6 4 5" xfId="10148"/>
    <cellStyle name="Comma 5 2 6 4 5 2" xfId="18975"/>
    <cellStyle name="Comma 5 2 6 4 6" xfId="11594"/>
    <cellStyle name="Comma 5 2 6 4 7" xfId="4883"/>
    <cellStyle name="Comma 5 2 6 5" xfId="1406"/>
    <cellStyle name="Comma 5 2 6 5 2" xfId="3011"/>
    <cellStyle name="Comma 5 2 6 5 2 2" xfId="16561"/>
    <cellStyle name="Comma 5 2 6 5 2 3" xfId="12982"/>
    <cellStyle name="Comma 5 2 6 5 2 4" xfId="7693"/>
    <cellStyle name="Comma 5 2 6 5 3" xfId="4220"/>
    <cellStyle name="Comma 5 2 6 5 3 2" xfId="17925"/>
    <cellStyle name="Comma 5 2 6 5 3 3" xfId="14346"/>
    <cellStyle name="Comma 5 2 6 5 3 4" xfId="9089"/>
    <cellStyle name="Comma 5 2 6 5 4" xfId="5986"/>
    <cellStyle name="Comma 5 2 6 5 4 2" xfId="15072"/>
    <cellStyle name="Comma 5 2 6 5 5" xfId="10543"/>
    <cellStyle name="Comma 5 2 6 5 5 2" xfId="19370"/>
    <cellStyle name="Comma 5 2 6 5 6" xfId="11989"/>
    <cellStyle name="Comma 5 2 6 5 7" xfId="5287"/>
    <cellStyle name="Comma 5 2 6 6" xfId="1968"/>
    <cellStyle name="Comma 5 2 6 6 2" xfId="15915"/>
    <cellStyle name="Comma 5 2 6 6 3" xfId="12295"/>
    <cellStyle name="Comma 5 2 6 6 4" xfId="6872"/>
    <cellStyle name="Comma 5 2 6 7" xfId="3383"/>
    <cellStyle name="Comma 5 2 6 7 2" xfId="16882"/>
    <cellStyle name="Comma 5 2 6 7 3" xfId="13303"/>
    <cellStyle name="Comma 5 2 6 7 4" xfId="8046"/>
    <cellStyle name="Comma 5 2 6 8" xfId="5607"/>
    <cellStyle name="Comma 5 2 6 8 2" xfId="14693"/>
    <cellStyle name="Comma 5 2 6 9" xfId="9500"/>
    <cellStyle name="Comma 5 2 6 9 2" xfId="18327"/>
    <cellStyle name="Comma 5 2 7" xfId="460"/>
    <cellStyle name="Comma 5 2 7 10" xfId="4522"/>
    <cellStyle name="Comma 5 2 7 2" xfId="540"/>
    <cellStyle name="Comma 5 2 7 2 2" xfId="2270"/>
    <cellStyle name="Comma 5 2 7 2 2 2" xfId="16114"/>
    <cellStyle name="Comma 5 2 7 2 2 3" xfId="12536"/>
    <cellStyle name="Comma 5 2 7 2 2 4" xfId="7245"/>
    <cellStyle name="Comma 5 2 7 2 3" xfId="3539"/>
    <cellStyle name="Comma 5 2 7 2 3 2" xfId="17184"/>
    <cellStyle name="Comma 5 2 7 2 3 3" xfId="13605"/>
    <cellStyle name="Comma 5 2 7 2 3 4" xfId="8348"/>
    <cellStyle name="Comma 5 2 7 2 4" xfId="6361"/>
    <cellStyle name="Comma 5 2 7 2 4 2" xfId="15445"/>
    <cellStyle name="Comma 5 2 7 2 5" xfId="9802"/>
    <cellStyle name="Comma 5 2 7 2 5 2" xfId="18629"/>
    <cellStyle name="Comma 5 2 7 2 6" xfId="11246"/>
    <cellStyle name="Comma 5 2 7 2 7" xfId="4839"/>
    <cellStyle name="Comma 5 2 7 3" xfId="898"/>
    <cellStyle name="Comma 5 2 7 3 2" xfId="2618"/>
    <cellStyle name="Comma 5 2 7 3 2 2" xfId="16160"/>
    <cellStyle name="Comma 5 2 7 3 2 3" xfId="12582"/>
    <cellStyle name="Comma 5 2 7 3 2 4" xfId="7291"/>
    <cellStyle name="Comma 5 2 7 3 3" xfId="3887"/>
    <cellStyle name="Comma 5 2 7 3 3 2" xfId="17532"/>
    <cellStyle name="Comma 5 2 7 3 3 3" xfId="13953"/>
    <cellStyle name="Comma 5 2 7 3 3 4" xfId="8696"/>
    <cellStyle name="Comma 5 2 7 3 4" xfId="6407"/>
    <cellStyle name="Comma 5 2 7 3 4 2" xfId="15491"/>
    <cellStyle name="Comma 5 2 7 3 5" xfId="10150"/>
    <cellStyle name="Comma 5 2 7 3 5 2" xfId="18977"/>
    <cellStyle name="Comma 5 2 7 3 6" xfId="11596"/>
    <cellStyle name="Comma 5 2 7 3 7" xfId="4885"/>
    <cellStyle name="Comma 5 2 7 4" xfId="1676"/>
    <cellStyle name="Comma 5 2 7 4 2" xfId="3272"/>
    <cellStyle name="Comma 5 2 7 4 2 2" xfId="16822"/>
    <cellStyle name="Comma 5 2 7 4 2 3" xfId="13243"/>
    <cellStyle name="Comma 5 2 7 4 2 4" xfId="7954"/>
    <cellStyle name="Comma 5 2 7 4 3" xfId="4336"/>
    <cellStyle name="Comma 5 2 7 4 3 2" xfId="18186"/>
    <cellStyle name="Comma 5 2 7 4 3 3" xfId="14607"/>
    <cellStyle name="Comma 5 2 7 4 3 4" xfId="9350"/>
    <cellStyle name="Comma 5 2 7 4 4" xfId="6042"/>
    <cellStyle name="Comma 5 2 7 4 4 2" xfId="15128"/>
    <cellStyle name="Comma 5 2 7 4 5" xfId="10804"/>
    <cellStyle name="Comma 5 2 7 4 5 2" xfId="19631"/>
    <cellStyle name="Comma 5 2 7 4 6" xfId="12250"/>
    <cellStyle name="Comma 5 2 7 4 7" xfId="5548"/>
    <cellStyle name="Comma 5 2 7 5" xfId="2229"/>
    <cellStyle name="Comma 5 2 7 5 2" xfId="15971"/>
    <cellStyle name="Comma 5 2 7 5 3" xfId="12415"/>
    <cellStyle name="Comma 5 2 7 5 4" xfId="6928"/>
    <cellStyle name="Comma 5 2 7 6" xfId="3498"/>
    <cellStyle name="Comma 5 2 7 6 2" xfId="17143"/>
    <cellStyle name="Comma 5 2 7 6 3" xfId="13564"/>
    <cellStyle name="Comma 5 2 7 6 4" xfId="8307"/>
    <cellStyle name="Comma 5 2 7 7" xfId="5868"/>
    <cellStyle name="Comma 5 2 7 7 2" xfId="14954"/>
    <cellStyle name="Comma 5 2 7 8" xfId="9761"/>
    <cellStyle name="Comma 5 2 7 8 2" xfId="18588"/>
    <cellStyle name="Comma 5 2 7 9" xfId="11205"/>
    <cellStyle name="Comma 5 2 8" xfId="298"/>
    <cellStyle name="Comma 5 2 8 2" xfId="541"/>
    <cellStyle name="Comma 5 2 8 2 2" xfId="2271"/>
    <cellStyle name="Comma 5 2 8 2 2 2" xfId="16161"/>
    <cellStyle name="Comma 5 2 8 2 2 3" xfId="12583"/>
    <cellStyle name="Comma 5 2 8 2 2 4" xfId="7292"/>
    <cellStyle name="Comma 5 2 8 2 3" xfId="3540"/>
    <cellStyle name="Comma 5 2 8 2 3 2" xfId="17185"/>
    <cellStyle name="Comma 5 2 8 2 3 3" xfId="13606"/>
    <cellStyle name="Comma 5 2 8 2 3 4" xfId="8349"/>
    <cellStyle name="Comma 5 2 8 2 4" xfId="6408"/>
    <cellStyle name="Comma 5 2 8 2 4 2" xfId="15492"/>
    <cellStyle name="Comma 5 2 8 2 5" xfId="9803"/>
    <cellStyle name="Comma 5 2 8 2 5 2" xfId="18630"/>
    <cellStyle name="Comma 5 2 8 2 6" xfId="11247"/>
    <cellStyle name="Comma 5 2 8 2 7" xfId="4886"/>
    <cellStyle name="Comma 5 2 8 3" xfId="899"/>
    <cellStyle name="Comma 5 2 8 3 2" xfId="2619"/>
    <cellStyle name="Comma 5 2 8 3 2 2" xfId="16661"/>
    <cellStyle name="Comma 5 2 8 3 2 3" xfId="13082"/>
    <cellStyle name="Comma 5 2 8 3 2 4" xfId="7793"/>
    <cellStyle name="Comma 5 2 8 3 3" xfId="3888"/>
    <cellStyle name="Comma 5 2 8 3 3 2" xfId="17533"/>
    <cellStyle name="Comma 5 2 8 3 3 3" xfId="13954"/>
    <cellStyle name="Comma 5 2 8 3 3 4" xfId="8697"/>
    <cellStyle name="Comma 5 2 8 3 4" xfId="6200"/>
    <cellStyle name="Comma 5 2 8 3 4 2" xfId="15284"/>
    <cellStyle name="Comma 5 2 8 3 5" xfId="10151"/>
    <cellStyle name="Comma 5 2 8 3 5 2" xfId="18978"/>
    <cellStyle name="Comma 5 2 8 3 6" xfId="11597"/>
    <cellStyle name="Comma 5 2 8 3 7" xfId="5387"/>
    <cellStyle name="Comma 5 2 8 4" xfId="1512"/>
    <cellStyle name="Comma 5 2 8 4 2" xfId="3111"/>
    <cellStyle name="Comma 5 2 8 4 2 2" xfId="18025"/>
    <cellStyle name="Comma 5 2 8 4 2 3" xfId="14446"/>
    <cellStyle name="Comma 5 2 8 4 2 4" xfId="9189"/>
    <cellStyle name="Comma 5 2 8 4 3" xfId="10643"/>
    <cellStyle name="Comma 5 2 8 4 3 2" xfId="19470"/>
    <cellStyle name="Comma 5 2 8 4 4" xfId="12089"/>
    <cellStyle name="Comma 5 2 8 4 5" xfId="7084"/>
    <cellStyle name="Comma 5 2 8 5" xfId="2068"/>
    <cellStyle name="Comma 5 2 8 5 2" xfId="16982"/>
    <cellStyle name="Comma 5 2 8 5 3" xfId="13403"/>
    <cellStyle name="Comma 5 2 8 5 4" xfId="8146"/>
    <cellStyle name="Comma 5 2 8 6" xfId="5707"/>
    <cellStyle name="Comma 5 2 8 6 2" xfId="14793"/>
    <cellStyle name="Comma 5 2 8 7" xfId="9600"/>
    <cellStyle name="Comma 5 2 8 7 2" xfId="18427"/>
    <cellStyle name="Comma 5 2 8 8" xfId="11044"/>
    <cellStyle name="Comma 5 2 8 9" xfId="4678"/>
    <cellStyle name="Comma 5 2 9" xfId="483"/>
    <cellStyle name="Comma 5 2 9 2" xfId="542"/>
    <cellStyle name="Comma 5 2 9 2 2" xfId="2272"/>
    <cellStyle name="Comma 5 2 9 2 2 2" xfId="16162"/>
    <cellStyle name="Comma 5 2 9 2 2 3" xfId="12584"/>
    <cellStyle name="Comma 5 2 9 2 2 4" xfId="7293"/>
    <cellStyle name="Comma 5 2 9 2 3" xfId="3541"/>
    <cellStyle name="Comma 5 2 9 2 3 2" xfId="17186"/>
    <cellStyle name="Comma 5 2 9 2 3 3" xfId="13607"/>
    <cellStyle name="Comma 5 2 9 2 3 4" xfId="8350"/>
    <cellStyle name="Comma 5 2 9 2 4" xfId="6409"/>
    <cellStyle name="Comma 5 2 9 2 4 2" xfId="15493"/>
    <cellStyle name="Comma 5 2 9 2 5" xfId="9804"/>
    <cellStyle name="Comma 5 2 9 2 5 2" xfId="18631"/>
    <cellStyle name="Comma 5 2 9 2 6" xfId="11248"/>
    <cellStyle name="Comma 5 2 9 2 7" xfId="4887"/>
    <cellStyle name="Comma 5 2 9 3" xfId="900"/>
    <cellStyle name="Comma 5 2 9 3 2" xfId="2620"/>
    <cellStyle name="Comma 5 2 9 3 2 2" xfId="16522"/>
    <cellStyle name="Comma 5 2 9 3 2 3" xfId="12944"/>
    <cellStyle name="Comma 5 2 9 3 2 4" xfId="7654"/>
    <cellStyle name="Comma 5 2 9 3 3" xfId="3889"/>
    <cellStyle name="Comma 5 2 9 3 3 2" xfId="17534"/>
    <cellStyle name="Comma 5 2 9 3 3 3" xfId="13955"/>
    <cellStyle name="Comma 5 2 9 3 3 4" xfId="8698"/>
    <cellStyle name="Comma 5 2 9 3 4" xfId="6740"/>
    <cellStyle name="Comma 5 2 9 3 4 2" xfId="15823"/>
    <cellStyle name="Comma 5 2 9 3 5" xfId="10152"/>
    <cellStyle name="Comma 5 2 9 3 5 2" xfId="18979"/>
    <cellStyle name="Comma 5 2 9 3 6" xfId="11598"/>
    <cellStyle name="Comma 5 2 9 3 7" xfId="5248"/>
    <cellStyle name="Comma 5 2 9 4" xfId="1359"/>
    <cellStyle name="Comma 5 2 9 4 2" xfId="2972"/>
    <cellStyle name="Comma 5 2 9 4 2 2" xfId="17886"/>
    <cellStyle name="Comma 5 2 9 4 2 3" xfId="14307"/>
    <cellStyle name="Comma 5 2 9 4 2 4" xfId="9050"/>
    <cellStyle name="Comma 5 2 9 4 3" xfId="10504"/>
    <cellStyle name="Comma 5 2 9 4 3 2" xfId="19331"/>
    <cellStyle name="Comma 5 2 9 4 4" xfId="11950"/>
    <cellStyle name="Comma 5 2 9 4 5" xfId="6945"/>
    <cellStyle name="Comma 5 2 9 5" xfId="1929"/>
    <cellStyle name="Comma 5 2 9 5 2" xfId="16841"/>
    <cellStyle name="Comma 5 2 9 5 3" xfId="13262"/>
    <cellStyle name="Comma 5 2 9 5 4" xfId="8005"/>
    <cellStyle name="Comma 5 2 9 6" xfId="6061"/>
    <cellStyle name="Comma 5 2 9 6 2" xfId="15145"/>
    <cellStyle name="Comma 5 2 9 7" xfId="9461"/>
    <cellStyle name="Comma 5 2 9 7 2" xfId="18288"/>
    <cellStyle name="Comma 5 2 9 8" xfId="10905"/>
    <cellStyle name="Comma 5 2 9 9" xfId="4539"/>
    <cellStyle name="Comma 5 3" xfId="21"/>
    <cellStyle name="Comma 5 3 10" xfId="1908"/>
    <cellStyle name="Comma 5 3 10 2" xfId="9440"/>
    <cellStyle name="Comma 5 3 10 2 2" xfId="18267"/>
    <cellStyle name="Comma 5 3 10 3" xfId="10884"/>
    <cellStyle name="Comma 5 3 10 4" xfId="7984"/>
    <cellStyle name="Comma 5 3 11" xfId="1878"/>
    <cellStyle name="Comma 5 3 11 2" xfId="14678"/>
    <cellStyle name="Comma 5 3 11 3" xfId="5592"/>
    <cellStyle name="Comma 5 3 12" xfId="9410"/>
    <cellStyle name="Comma 5 3 12 2" xfId="18237"/>
    <cellStyle name="Comma 5 3 13" xfId="10854"/>
    <cellStyle name="Comma 5 3 14" xfId="4373"/>
    <cellStyle name="Comma 5 3 2" xfId="232"/>
    <cellStyle name="Comma 5 3 2 10" xfId="9542"/>
    <cellStyle name="Comma 5 3 2 10 2" xfId="18369"/>
    <cellStyle name="Comma 5 3 2 11" xfId="10986"/>
    <cellStyle name="Comma 5 3 2 12" xfId="4403"/>
    <cellStyle name="Comma 5 3 2 2" xfId="445"/>
    <cellStyle name="Comma 5 3 2 2 10" xfId="4507"/>
    <cellStyle name="Comma 5 3 2 2 2" xfId="545"/>
    <cellStyle name="Comma 5 3 2 2 2 2" xfId="2275"/>
    <cellStyle name="Comma 5 3 2 2 2 2 2" xfId="16103"/>
    <cellStyle name="Comma 5 3 2 2 2 2 3" xfId="12525"/>
    <cellStyle name="Comma 5 3 2 2 2 2 4" xfId="7230"/>
    <cellStyle name="Comma 5 3 2 2 2 3" xfId="3544"/>
    <cellStyle name="Comma 5 3 2 2 2 3 2" xfId="17189"/>
    <cellStyle name="Comma 5 3 2 2 2 3 3" xfId="13610"/>
    <cellStyle name="Comma 5 3 2 2 2 3 4" xfId="8353"/>
    <cellStyle name="Comma 5 3 2 2 2 4" xfId="6346"/>
    <cellStyle name="Comma 5 3 2 2 2 4 2" xfId="15430"/>
    <cellStyle name="Comma 5 3 2 2 2 5" xfId="9807"/>
    <cellStyle name="Comma 5 3 2 2 2 5 2" xfId="18634"/>
    <cellStyle name="Comma 5 3 2 2 2 6" xfId="11251"/>
    <cellStyle name="Comma 5 3 2 2 2 7" xfId="4824"/>
    <cellStyle name="Comma 5 3 2 2 3" xfId="903"/>
    <cellStyle name="Comma 5 3 2 2 3 2" xfId="2623"/>
    <cellStyle name="Comma 5 3 2 2 3 2 2" xfId="16165"/>
    <cellStyle name="Comma 5 3 2 2 3 2 3" xfId="12587"/>
    <cellStyle name="Comma 5 3 2 2 3 2 4" xfId="7296"/>
    <cellStyle name="Comma 5 3 2 2 3 3" xfId="3892"/>
    <cellStyle name="Comma 5 3 2 2 3 3 2" xfId="17537"/>
    <cellStyle name="Comma 5 3 2 2 3 3 3" xfId="13958"/>
    <cellStyle name="Comma 5 3 2 2 3 3 4" xfId="8701"/>
    <cellStyle name="Comma 5 3 2 2 3 4" xfId="6412"/>
    <cellStyle name="Comma 5 3 2 2 3 4 2" xfId="15496"/>
    <cellStyle name="Comma 5 3 2 2 3 5" xfId="10155"/>
    <cellStyle name="Comma 5 3 2 2 3 5 2" xfId="18982"/>
    <cellStyle name="Comma 5 3 2 2 3 6" xfId="11601"/>
    <cellStyle name="Comma 5 3 2 2 3 7" xfId="4890"/>
    <cellStyle name="Comma 5 3 2 2 4" xfId="1661"/>
    <cellStyle name="Comma 5 3 2 2 4 2" xfId="3257"/>
    <cellStyle name="Comma 5 3 2 2 4 2 2" xfId="16807"/>
    <cellStyle name="Comma 5 3 2 2 4 2 3" xfId="13228"/>
    <cellStyle name="Comma 5 3 2 2 4 2 4" xfId="7939"/>
    <cellStyle name="Comma 5 3 2 2 4 3" xfId="4325"/>
    <cellStyle name="Comma 5 3 2 2 4 3 2" xfId="18171"/>
    <cellStyle name="Comma 5 3 2 2 4 3 3" xfId="14592"/>
    <cellStyle name="Comma 5 3 2 2 4 3 4" xfId="9335"/>
    <cellStyle name="Comma 5 3 2 2 4 4" xfId="6027"/>
    <cellStyle name="Comma 5 3 2 2 4 4 2" xfId="15113"/>
    <cellStyle name="Comma 5 3 2 2 4 5" xfId="10789"/>
    <cellStyle name="Comma 5 3 2 2 4 5 2" xfId="19616"/>
    <cellStyle name="Comma 5 3 2 2 4 6" xfId="12235"/>
    <cellStyle name="Comma 5 3 2 2 4 7" xfId="5533"/>
    <cellStyle name="Comma 5 3 2 2 5" xfId="2214"/>
    <cellStyle name="Comma 5 3 2 2 5 2" xfId="15956"/>
    <cellStyle name="Comma 5 3 2 2 5 3" xfId="12359"/>
    <cellStyle name="Comma 5 3 2 2 5 4" xfId="6913"/>
    <cellStyle name="Comma 5 3 2 2 6" xfId="3487"/>
    <cellStyle name="Comma 5 3 2 2 6 2" xfId="17128"/>
    <cellStyle name="Comma 5 3 2 2 6 3" xfId="13549"/>
    <cellStyle name="Comma 5 3 2 2 6 4" xfId="8292"/>
    <cellStyle name="Comma 5 3 2 2 7" xfId="5853"/>
    <cellStyle name="Comma 5 3 2 2 7 2" xfId="14939"/>
    <cellStyle name="Comma 5 3 2 2 8" xfId="9746"/>
    <cellStyle name="Comma 5 3 2 2 8 2" xfId="18573"/>
    <cellStyle name="Comma 5 3 2 2 9" xfId="11190"/>
    <cellStyle name="Comma 5 3 2 3" xfId="340"/>
    <cellStyle name="Comma 5 3 2 3 2" xfId="546"/>
    <cellStyle name="Comma 5 3 2 3 2 2" xfId="2276"/>
    <cellStyle name="Comma 5 3 2 3 2 2 2" xfId="16166"/>
    <cellStyle name="Comma 5 3 2 3 2 2 3" xfId="12588"/>
    <cellStyle name="Comma 5 3 2 3 2 2 4" xfId="7297"/>
    <cellStyle name="Comma 5 3 2 3 2 3" xfId="3545"/>
    <cellStyle name="Comma 5 3 2 3 2 3 2" xfId="17190"/>
    <cellStyle name="Comma 5 3 2 3 2 3 3" xfId="13611"/>
    <cellStyle name="Comma 5 3 2 3 2 3 4" xfId="8354"/>
    <cellStyle name="Comma 5 3 2 3 2 4" xfId="6413"/>
    <cellStyle name="Comma 5 3 2 3 2 4 2" xfId="15497"/>
    <cellStyle name="Comma 5 3 2 3 2 5" xfId="9808"/>
    <cellStyle name="Comma 5 3 2 3 2 5 2" xfId="18635"/>
    <cellStyle name="Comma 5 3 2 3 2 6" xfId="11252"/>
    <cellStyle name="Comma 5 3 2 3 2 7" xfId="4891"/>
    <cellStyle name="Comma 5 3 2 3 3" xfId="904"/>
    <cellStyle name="Comma 5 3 2 3 3 2" xfId="2624"/>
    <cellStyle name="Comma 5 3 2 3 3 2 2" xfId="16703"/>
    <cellStyle name="Comma 5 3 2 3 3 2 3" xfId="13124"/>
    <cellStyle name="Comma 5 3 2 3 3 2 4" xfId="7835"/>
    <cellStyle name="Comma 5 3 2 3 3 3" xfId="3893"/>
    <cellStyle name="Comma 5 3 2 3 3 3 2" xfId="17538"/>
    <cellStyle name="Comma 5 3 2 3 3 3 3" xfId="13959"/>
    <cellStyle name="Comma 5 3 2 3 3 3 4" xfId="8702"/>
    <cellStyle name="Comma 5 3 2 3 3 4" xfId="6242"/>
    <cellStyle name="Comma 5 3 2 3 3 4 2" xfId="15326"/>
    <cellStyle name="Comma 5 3 2 3 3 5" xfId="10156"/>
    <cellStyle name="Comma 5 3 2 3 3 5 2" xfId="18983"/>
    <cellStyle name="Comma 5 3 2 3 3 6" xfId="11602"/>
    <cellStyle name="Comma 5 3 2 3 3 7" xfId="5429"/>
    <cellStyle name="Comma 5 3 2 3 4" xfId="1554"/>
    <cellStyle name="Comma 5 3 2 3 4 2" xfId="3153"/>
    <cellStyle name="Comma 5 3 2 3 4 2 2" xfId="18067"/>
    <cellStyle name="Comma 5 3 2 3 4 2 3" xfId="14488"/>
    <cellStyle name="Comma 5 3 2 3 4 2 4" xfId="9231"/>
    <cellStyle name="Comma 5 3 2 3 4 3" xfId="10685"/>
    <cellStyle name="Comma 5 3 2 3 4 3 2" xfId="19512"/>
    <cellStyle name="Comma 5 3 2 3 4 4" xfId="12131"/>
    <cellStyle name="Comma 5 3 2 3 4 5" xfId="7126"/>
    <cellStyle name="Comma 5 3 2 3 5" xfId="2110"/>
    <cellStyle name="Comma 5 3 2 3 5 2" xfId="17024"/>
    <cellStyle name="Comma 5 3 2 3 5 3" xfId="13445"/>
    <cellStyle name="Comma 5 3 2 3 5 4" xfId="8188"/>
    <cellStyle name="Comma 5 3 2 3 6" xfId="5749"/>
    <cellStyle name="Comma 5 3 2 3 6 2" xfId="14835"/>
    <cellStyle name="Comma 5 3 2 3 7" xfId="9642"/>
    <cellStyle name="Comma 5 3 2 3 7 2" xfId="18469"/>
    <cellStyle name="Comma 5 3 2 3 8" xfId="11086"/>
    <cellStyle name="Comma 5 3 2 3 9" xfId="4720"/>
    <cellStyle name="Comma 5 3 2 4" xfId="544"/>
    <cellStyle name="Comma 5 3 2 4 2" xfId="2274"/>
    <cellStyle name="Comma 5 3 2 4 2 2" xfId="16040"/>
    <cellStyle name="Comma 5 3 2 4 2 3" xfId="12306"/>
    <cellStyle name="Comma 5 3 2 4 2 4" xfId="7026"/>
    <cellStyle name="Comma 5 3 2 4 3" xfId="3543"/>
    <cellStyle name="Comma 5 3 2 4 3 2" xfId="17188"/>
    <cellStyle name="Comma 5 3 2 4 3 3" xfId="13609"/>
    <cellStyle name="Comma 5 3 2 4 3 4" xfId="8352"/>
    <cellStyle name="Comma 5 3 2 4 4" xfId="6142"/>
    <cellStyle name="Comma 5 3 2 4 4 2" xfId="15226"/>
    <cellStyle name="Comma 5 3 2 4 5" xfId="9806"/>
    <cellStyle name="Comma 5 3 2 4 5 2" xfId="18633"/>
    <cellStyle name="Comma 5 3 2 4 6" xfId="11250"/>
    <cellStyle name="Comma 5 3 2 4 7" xfId="4620"/>
    <cellStyle name="Comma 5 3 2 5" xfId="902"/>
    <cellStyle name="Comma 5 3 2 5 2" xfId="2622"/>
    <cellStyle name="Comma 5 3 2 5 2 2" xfId="16164"/>
    <cellStyle name="Comma 5 3 2 5 2 3" xfId="12586"/>
    <cellStyle name="Comma 5 3 2 5 2 4" xfId="7295"/>
    <cellStyle name="Comma 5 3 2 5 3" xfId="3891"/>
    <cellStyle name="Comma 5 3 2 5 3 2" xfId="17536"/>
    <cellStyle name="Comma 5 3 2 5 3 3" xfId="13957"/>
    <cellStyle name="Comma 5 3 2 5 3 4" xfId="8700"/>
    <cellStyle name="Comma 5 3 2 5 4" xfId="6411"/>
    <cellStyle name="Comma 5 3 2 5 4 2" xfId="15495"/>
    <cellStyle name="Comma 5 3 2 5 5" xfId="10154"/>
    <cellStyle name="Comma 5 3 2 5 5 2" xfId="18981"/>
    <cellStyle name="Comma 5 3 2 5 6" xfId="11600"/>
    <cellStyle name="Comma 5 3 2 5 7" xfId="4889"/>
    <cellStyle name="Comma 5 3 2 6" xfId="1452"/>
    <cellStyle name="Comma 5 3 2 6 2" xfId="3053"/>
    <cellStyle name="Comma 5 3 2 6 2 2" xfId="16603"/>
    <cellStyle name="Comma 5 3 2 6 2 3" xfId="13024"/>
    <cellStyle name="Comma 5 3 2 6 2 4" xfId="7735"/>
    <cellStyle name="Comma 5 3 2 6 3" xfId="4262"/>
    <cellStyle name="Comma 5 3 2 6 3 2" xfId="17967"/>
    <cellStyle name="Comma 5 3 2 6 3 3" xfId="14388"/>
    <cellStyle name="Comma 5 3 2 6 3 4" xfId="9131"/>
    <cellStyle name="Comma 5 3 2 6 4" xfId="5923"/>
    <cellStyle name="Comma 5 3 2 6 4 2" xfId="15009"/>
    <cellStyle name="Comma 5 3 2 6 5" xfId="10585"/>
    <cellStyle name="Comma 5 3 2 6 5 2" xfId="19412"/>
    <cellStyle name="Comma 5 3 2 6 6" xfId="12031"/>
    <cellStyle name="Comma 5 3 2 6 7" xfId="5329"/>
    <cellStyle name="Comma 5 3 2 7" xfId="2010"/>
    <cellStyle name="Comma 5 3 2 7 2" xfId="15855"/>
    <cellStyle name="Comma 5 3 2 7 3" xfId="12441"/>
    <cellStyle name="Comma 5 3 2 7 4" xfId="6809"/>
    <cellStyle name="Comma 5 3 2 8" xfId="3424"/>
    <cellStyle name="Comma 5 3 2 8 2" xfId="16924"/>
    <cellStyle name="Comma 5 3 2 8 3" xfId="13345"/>
    <cellStyle name="Comma 5 3 2 8 4" xfId="8088"/>
    <cellStyle name="Comma 5 3 2 9" xfId="5649"/>
    <cellStyle name="Comma 5 3 2 9 2" xfId="14735"/>
    <cellStyle name="Comma 5 3 3" xfId="275"/>
    <cellStyle name="Comma 5 3 3 10" xfId="11029"/>
    <cellStyle name="Comma 5 3 3 11" xfId="4446"/>
    <cellStyle name="Comma 5 3 3 2" xfId="383"/>
    <cellStyle name="Comma 5 3 3 2 2" xfId="548"/>
    <cellStyle name="Comma 5 3 3 2 2 2" xfId="2278"/>
    <cellStyle name="Comma 5 3 3 2 2 2 2" xfId="16168"/>
    <cellStyle name="Comma 5 3 3 2 2 2 3" xfId="12590"/>
    <cellStyle name="Comma 5 3 3 2 2 2 4" xfId="7299"/>
    <cellStyle name="Comma 5 3 3 2 2 3" xfId="3547"/>
    <cellStyle name="Comma 5 3 3 2 2 3 2" xfId="17192"/>
    <cellStyle name="Comma 5 3 3 2 2 3 3" xfId="13613"/>
    <cellStyle name="Comma 5 3 3 2 2 3 4" xfId="8356"/>
    <cellStyle name="Comma 5 3 3 2 2 4" xfId="6415"/>
    <cellStyle name="Comma 5 3 3 2 2 4 2" xfId="15499"/>
    <cellStyle name="Comma 5 3 3 2 2 5" xfId="9810"/>
    <cellStyle name="Comma 5 3 3 2 2 5 2" xfId="18637"/>
    <cellStyle name="Comma 5 3 3 2 2 6" xfId="11254"/>
    <cellStyle name="Comma 5 3 3 2 2 7" xfId="4893"/>
    <cellStyle name="Comma 5 3 3 2 3" xfId="906"/>
    <cellStyle name="Comma 5 3 3 2 3 2" xfId="2626"/>
    <cellStyle name="Comma 5 3 3 2 3 2 2" xfId="16746"/>
    <cellStyle name="Comma 5 3 3 2 3 2 3" xfId="13167"/>
    <cellStyle name="Comma 5 3 3 2 3 2 4" xfId="7878"/>
    <cellStyle name="Comma 5 3 3 2 3 3" xfId="3895"/>
    <cellStyle name="Comma 5 3 3 2 3 3 2" xfId="17540"/>
    <cellStyle name="Comma 5 3 3 2 3 3 3" xfId="13961"/>
    <cellStyle name="Comma 5 3 3 2 3 3 4" xfId="8704"/>
    <cellStyle name="Comma 5 3 3 2 3 4" xfId="6285"/>
    <cellStyle name="Comma 5 3 3 2 3 4 2" xfId="15369"/>
    <cellStyle name="Comma 5 3 3 2 3 5" xfId="10158"/>
    <cellStyle name="Comma 5 3 3 2 3 5 2" xfId="18985"/>
    <cellStyle name="Comma 5 3 3 2 3 6" xfId="11604"/>
    <cellStyle name="Comma 5 3 3 2 3 7" xfId="5472"/>
    <cellStyle name="Comma 5 3 3 2 4" xfId="1599"/>
    <cellStyle name="Comma 5 3 3 2 4 2" xfId="3196"/>
    <cellStyle name="Comma 5 3 3 2 4 2 2" xfId="18110"/>
    <cellStyle name="Comma 5 3 3 2 4 2 3" xfId="14531"/>
    <cellStyle name="Comma 5 3 3 2 4 2 4" xfId="9274"/>
    <cellStyle name="Comma 5 3 3 2 4 3" xfId="10728"/>
    <cellStyle name="Comma 5 3 3 2 4 3 2" xfId="19555"/>
    <cellStyle name="Comma 5 3 3 2 4 4" xfId="12174"/>
    <cellStyle name="Comma 5 3 3 2 4 5" xfId="7169"/>
    <cellStyle name="Comma 5 3 3 2 5" xfId="2153"/>
    <cellStyle name="Comma 5 3 3 2 5 2" xfId="17067"/>
    <cellStyle name="Comma 5 3 3 2 5 3" xfId="13488"/>
    <cellStyle name="Comma 5 3 3 2 5 4" xfId="8231"/>
    <cellStyle name="Comma 5 3 3 2 6" xfId="5792"/>
    <cellStyle name="Comma 5 3 3 2 6 2" xfId="14878"/>
    <cellStyle name="Comma 5 3 3 2 7" xfId="9685"/>
    <cellStyle name="Comma 5 3 3 2 7 2" xfId="18512"/>
    <cellStyle name="Comma 5 3 3 2 8" xfId="11129"/>
    <cellStyle name="Comma 5 3 3 2 9" xfId="4763"/>
    <cellStyle name="Comma 5 3 3 3" xfId="547"/>
    <cellStyle name="Comma 5 3 3 3 2" xfId="2277"/>
    <cellStyle name="Comma 5 3 3 3 2 2" xfId="16083"/>
    <cellStyle name="Comma 5 3 3 3 2 3" xfId="12284"/>
    <cellStyle name="Comma 5 3 3 3 2 4" xfId="7069"/>
    <cellStyle name="Comma 5 3 3 3 3" xfId="3546"/>
    <cellStyle name="Comma 5 3 3 3 3 2" xfId="17191"/>
    <cellStyle name="Comma 5 3 3 3 3 3" xfId="13612"/>
    <cellStyle name="Comma 5 3 3 3 3 4" xfId="8355"/>
    <cellStyle name="Comma 5 3 3 3 4" xfId="6185"/>
    <cellStyle name="Comma 5 3 3 3 4 2" xfId="15269"/>
    <cellStyle name="Comma 5 3 3 3 5" xfId="9809"/>
    <cellStyle name="Comma 5 3 3 3 5 2" xfId="18636"/>
    <cellStyle name="Comma 5 3 3 3 6" xfId="11253"/>
    <cellStyle name="Comma 5 3 3 3 7" xfId="4663"/>
    <cellStyle name="Comma 5 3 3 4" xfId="905"/>
    <cellStyle name="Comma 5 3 3 4 2" xfId="2625"/>
    <cellStyle name="Comma 5 3 3 4 2 2" xfId="16167"/>
    <cellStyle name="Comma 5 3 3 4 2 3" xfId="12589"/>
    <cellStyle name="Comma 5 3 3 4 2 4" xfId="7298"/>
    <cellStyle name="Comma 5 3 3 4 3" xfId="3894"/>
    <cellStyle name="Comma 5 3 3 4 3 2" xfId="17539"/>
    <cellStyle name="Comma 5 3 3 4 3 3" xfId="13960"/>
    <cellStyle name="Comma 5 3 3 4 3 4" xfId="8703"/>
    <cellStyle name="Comma 5 3 3 4 4" xfId="6414"/>
    <cellStyle name="Comma 5 3 3 4 4 2" xfId="15498"/>
    <cellStyle name="Comma 5 3 3 4 5" xfId="10157"/>
    <cellStyle name="Comma 5 3 3 4 5 2" xfId="18984"/>
    <cellStyle name="Comma 5 3 3 4 6" xfId="11603"/>
    <cellStyle name="Comma 5 3 3 4 7" xfId="4892"/>
    <cellStyle name="Comma 5 3 3 5" xfId="1497"/>
    <cellStyle name="Comma 5 3 3 5 2" xfId="3096"/>
    <cellStyle name="Comma 5 3 3 5 2 2" xfId="16646"/>
    <cellStyle name="Comma 5 3 3 5 2 3" xfId="13067"/>
    <cellStyle name="Comma 5 3 3 5 2 4" xfId="7778"/>
    <cellStyle name="Comma 5 3 3 5 3" xfId="4305"/>
    <cellStyle name="Comma 5 3 3 5 3 2" xfId="18010"/>
    <cellStyle name="Comma 5 3 3 5 3 3" xfId="14431"/>
    <cellStyle name="Comma 5 3 3 5 3 4" xfId="9174"/>
    <cellStyle name="Comma 5 3 3 5 4" xfId="5966"/>
    <cellStyle name="Comma 5 3 3 5 4 2" xfId="15052"/>
    <cellStyle name="Comma 5 3 3 5 5" xfId="10628"/>
    <cellStyle name="Comma 5 3 3 5 5 2" xfId="19455"/>
    <cellStyle name="Comma 5 3 3 5 6" xfId="12074"/>
    <cellStyle name="Comma 5 3 3 5 7" xfId="5372"/>
    <cellStyle name="Comma 5 3 3 6" xfId="2053"/>
    <cellStyle name="Comma 5 3 3 6 2" xfId="15895"/>
    <cellStyle name="Comma 5 3 3 6 3" xfId="12507"/>
    <cellStyle name="Comma 5 3 3 6 4" xfId="6852"/>
    <cellStyle name="Comma 5 3 3 7" xfId="3467"/>
    <cellStyle name="Comma 5 3 3 7 2" xfId="16967"/>
    <cellStyle name="Comma 5 3 3 7 3" xfId="13388"/>
    <cellStyle name="Comma 5 3 3 7 4" xfId="8131"/>
    <cellStyle name="Comma 5 3 3 8" xfId="5692"/>
    <cellStyle name="Comma 5 3 3 8 2" xfId="14778"/>
    <cellStyle name="Comma 5 3 3 9" xfId="9585"/>
    <cellStyle name="Comma 5 3 3 9 2" xfId="18412"/>
    <cellStyle name="Comma 5 3 4" xfId="199"/>
    <cellStyle name="Comma 5 3 4 10" xfId="10956"/>
    <cellStyle name="Comma 5 3 4 11" xfId="4478"/>
    <cellStyle name="Comma 5 3 4 2" xfId="416"/>
    <cellStyle name="Comma 5 3 4 2 2" xfId="550"/>
    <cellStyle name="Comma 5 3 4 2 2 2" xfId="2280"/>
    <cellStyle name="Comma 5 3 4 2 2 2 2" xfId="16170"/>
    <cellStyle name="Comma 5 3 4 2 2 2 3" xfId="12592"/>
    <cellStyle name="Comma 5 3 4 2 2 2 4" xfId="7301"/>
    <cellStyle name="Comma 5 3 4 2 2 3" xfId="3549"/>
    <cellStyle name="Comma 5 3 4 2 2 3 2" xfId="17194"/>
    <cellStyle name="Comma 5 3 4 2 2 3 3" xfId="13615"/>
    <cellStyle name="Comma 5 3 4 2 2 3 4" xfId="8358"/>
    <cellStyle name="Comma 5 3 4 2 2 4" xfId="6417"/>
    <cellStyle name="Comma 5 3 4 2 2 4 2" xfId="15501"/>
    <cellStyle name="Comma 5 3 4 2 2 5" xfId="9812"/>
    <cellStyle name="Comma 5 3 4 2 2 5 2" xfId="18639"/>
    <cellStyle name="Comma 5 3 4 2 2 6" xfId="11256"/>
    <cellStyle name="Comma 5 3 4 2 2 7" xfId="4895"/>
    <cellStyle name="Comma 5 3 4 2 3" xfId="908"/>
    <cellStyle name="Comma 5 3 4 2 3 2" xfId="2628"/>
    <cellStyle name="Comma 5 3 4 2 3 2 2" xfId="16778"/>
    <cellStyle name="Comma 5 3 4 2 3 2 3" xfId="13199"/>
    <cellStyle name="Comma 5 3 4 2 3 2 4" xfId="7910"/>
    <cellStyle name="Comma 5 3 4 2 3 3" xfId="3897"/>
    <cellStyle name="Comma 5 3 4 2 3 3 2" xfId="17542"/>
    <cellStyle name="Comma 5 3 4 2 3 3 3" xfId="13963"/>
    <cellStyle name="Comma 5 3 4 2 3 3 4" xfId="8706"/>
    <cellStyle name="Comma 5 3 4 2 3 4" xfId="6317"/>
    <cellStyle name="Comma 5 3 4 2 3 4 2" xfId="15401"/>
    <cellStyle name="Comma 5 3 4 2 3 5" xfId="10160"/>
    <cellStyle name="Comma 5 3 4 2 3 5 2" xfId="18987"/>
    <cellStyle name="Comma 5 3 4 2 3 6" xfId="11606"/>
    <cellStyle name="Comma 5 3 4 2 3 7" xfId="5504"/>
    <cellStyle name="Comma 5 3 4 2 4" xfId="1632"/>
    <cellStyle name="Comma 5 3 4 2 4 2" xfId="3228"/>
    <cellStyle name="Comma 5 3 4 2 4 2 2" xfId="18142"/>
    <cellStyle name="Comma 5 3 4 2 4 2 3" xfId="14563"/>
    <cellStyle name="Comma 5 3 4 2 4 2 4" xfId="9306"/>
    <cellStyle name="Comma 5 3 4 2 4 3" xfId="10760"/>
    <cellStyle name="Comma 5 3 4 2 4 3 2" xfId="19587"/>
    <cellStyle name="Comma 5 3 4 2 4 4" xfId="12206"/>
    <cellStyle name="Comma 5 3 4 2 4 5" xfId="7201"/>
    <cellStyle name="Comma 5 3 4 2 5" xfId="2185"/>
    <cellStyle name="Comma 5 3 4 2 5 2" xfId="17099"/>
    <cellStyle name="Comma 5 3 4 2 5 3" xfId="13520"/>
    <cellStyle name="Comma 5 3 4 2 5 4" xfId="8263"/>
    <cellStyle name="Comma 5 3 4 2 6" xfId="5824"/>
    <cellStyle name="Comma 5 3 4 2 6 2" xfId="14910"/>
    <cellStyle name="Comma 5 3 4 2 7" xfId="9717"/>
    <cellStyle name="Comma 5 3 4 2 7 2" xfId="18544"/>
    <cellStyle name="Comma 5 3 4 2 8" xfId="11161"/>
    <cellStyle name="Comma 5 3 4 2 9" xfId="4795"/>
    <cellStyle name="Comma 5 3 4 3" xfId="549"/>
    <cellStyle name="Comma 5 3 4 3 2" xfId="2279"/>
    <cellStyle name="Comma 5 3 4 3 2 2" xfId="16010"/>
    <cellStyle name="Comma 5 3 4 3 2 3" xfId="12346"/>
    <cellStyle name="Comma 5 3 4 3 2 4" xfId="6996"/>
    <cellStyle name="Comma 5 3 4 3 3" xfId="3548"/>
    <cellStyle name="Comma 5 3 4 3 3 2" xfId="17193"/>
    <cellStyle name="Comma 5 3 4 3 3 3" xfId="13614"/>
    <cellStyle name="Comma 5 3 4 3 3 4" xfId="8357"/>
    <cellStyle name="Comma 5 3 4 3 4" xfId="6112"/>
    <cellStyle name="Comma 5 3 4 3 4 2" xfId="15196"/>
    <cellStyle name="Comma 5 3 4 3 5" xfId="9811"/>
    <cellStyle name="Comma 5 3 4 3 5 2" xfId="18638"/>
    <cellStyle name="Comma 5 3 4 3 6" xfId="11255"/>
    <cellStyle name="Comma 5 3 4 3 7" xfId="4590"/>
    <cellStyle name="Comma 5 3 4 4" xfId="907"/>
    <cellStyle name="Comma 5 3 4 4 2" xfId="2627"/>
    <cellStyle name="Comma 5 3 4 4 2 2" xfId="16169"/>
    <cellStyle name="Comma 5 3 4 4 2 3" xfId="12591"/>
    <cellStyle name="Comma 5 3 4 4 2 4" xfId="7300"/>
    <cellStyle name="Comma 5 3 4 4 3" xfId="3896"/>
    <cellStyle name="Comma 5 3 4 4 3 2" xfId="17541"/>
    <cellStyle name="Comma 5 3 4 4 3 3" xfId="13962"/>
    <cellStyle name="Comma 5 3 4 4 3 4" xfId="8705"/>
    <cellStyle name="Comma 5 3 4 4 4" xfId="6416"/>
    <cellStyle name="Comma 5 3 4 4 4 2" xfId="15500"/>
    <cellStyle name="Comma 5 3 4 4 5" xfId="10159"/>
    <cellStyle name="Comma 5 3 4 4 5 2" xfId="18986"/>
    <cellStyle name="Comma 5 3 4 4 6" xfId="11605"/>
    <cellStyle name="Comma 5 3 4 4 7" xfId="4894"/>
    <cellStyle name="Comma 5 3 4 5" xfId="1418"/>
    <cellStyle name="Comma 5 3 4 5 2" xfId="3023"/>
    <cellStyle name="Comma 5 3 4 5 2 2" xfId="16573"/>
    <cellStyle name="Comma 5 3 4 5 2 3" xfId="12994"/>
    <cellStyle name="Comma 5 3 4 5 2 4" xfId="7705"/>
    <cellStyle name="Comma 5 3 4 5 3" xfId="4232"/>
    <cellStyle name="Comma 5 3 4 5 3 2" xfId="17937"/>
    <cellStyle name="Comma 5 3 4 5 3 3" xfId="14358"/>
    <cellStyle name="Comma 5 3 4 5 3 4" xfId="9101"/>
    <cellStyle name="Comma 5 3 4 5 4" xfId="5998"/>
    <cellStyle name="Comma 5 3 4 5 4 2" xfId="15084"/>
    <cellStyle name="Comma 5 3 4 5 5" xfId="10555"/>
    <cellStyle name="Comma 5 3 4 5 5 2" xfId="19382"/>
    <cellStyle name="Comma 5 3 4 5 6" xfId="12001"/>
    <cellStyle name="Comma 5 3 4 5 7" xfId="5299"/>
    <cellStyle name="Comma 5 3 4 6" xfId="1980"/>
    <cellStyle name="Comma 5 3 4 6 2" xfId="15927"/>
    <cellStyle name="Comma 5 3 4 6 3" xfId="12504"/>
    <cellStyle name="Comma 5 3 4 6 4" xfId="6884"/>
    <cellStyle name="Comma 5 3 4 7" xfId="3395"/>
    <cellStyle name="Comma 5 3 4 7 2" xfId="16894"/>
    <cellStyle name="Comma 5 3 4 7 3" xfId="13315"/>
    <cellStyle name="Comma 5 3 4 7 4" xfId="8058"/>
    <cellStyle name="Comma 5 3 4 8" xfId="5619"/>
    <cellStyle name="Comma 5 3 4 8 2" xfId="14705"/>
    <cellStyle name="Comma 5 3 4 9" xfId="9512"/>
    <cellStyle name="Comma 5 3 4 9 2" xfId="18339"/>
    <cellStyle name="Comma 5 3 5" xfId="310"/>
    <cellStyle name="Comma 5 3 5 2" xfId="551"/>
    <cellStyle name="Comma 5 3 5 2 2" xfId="2281"/>
    <cellStyle name="Comma 5 3 5 2 2 2" xfId="16171"/>
    <cellStyle name="Comma 5 3 5 2 2 3" xfId="12593"/>
    <cellStyle name="Comma 5 3 5 2 2 4" xfId="7302"/>
    <cellStyle name="Comma 5 3 5 2 3" xfId="3550"/>
    <cellStyle name="Comma 5 3 5 2 3 2" xfId="17195"/>
    <cellStyle name="Comma 5 3 5 2 3 3" xfId="13616"/>
    <cellStyle name="Comma 5 3 5 2 3 4" xfId="8359"/>
    <cellStyle name="Comma 5 3 5 2 4" xfId="6418"/>
    <cellStyle name="Comma 5 3 5 2 4 2" xfId="15502"/>
    <cellStyle name="Comma 5 3 5 2 5" xfId="9813"/>
    <cellStyle name="Comma 5 3 5 2 5 2" xfId="18640"/>
    <cellStyle name="Comma 5 3 5 2 6" xfId="11257"/>
    <cellStyle name="Comma 5 3 5 2 7" xfId="4896"/>
    <cellStyle name="Comma 5 3 5 3" xfId="909"/>
    <cellStyle name="Comma 5 3 5 3 2" xfId="2629"/>
    <cellStyle name="Comma 5 3 5 3 2 2" xfId="16673"/>
    <cellStyle name="Comma 5 3 5 3 2 3" xfId="13094"/>
    <cellStyle name="Comma 5 3 5 3 2 4" xfId="7805"/>
    <cellStyle name="Comma 5 3 5 3 3" xfId="3898"/>
    <cellStyle name="Comma 5 3 5 3 3 2" xfId="17543"/>
    <cellStyle name="Comma 5 3 5 3 3 3" xfId="13964"/>
    <cellStyle name="Comma 5 3 5 3 3 4" xfId="8707"/>
    <cellStyle name="Comma 5 3 5 3 4" xfId="6212"/>
    <cellStyle name="Comma 5 3 5 3 4 2" xfId="15296"/>
    <cellStyle name="Comma 5 3 5 3 5" xfId="10161"/>
    <cellStyle name="Comma 5 3 5 3 5 2" xfId="18988"/>
    <cellStyle name="Comma 5 3 5 3 6" xfId="11607"/>
    <cellStyle name="Comma 5 3 5 3 7" xfId="5399"/>
    <cellStyle name="Comma 5 3 5 4" xfId="1524"/>
    <cellStyle name="Comma 5 3 5 4 2" xfId="3123"/>
    <cellStyle name="Comma 5 3 5 4 2 2" xfId="18037"/>
    <cellStyle name="Comma 5 3 5 4 2 3" xfId="14458"/>
    <cellStyle name="Comma 5 3 5 4 2 4" xfId="9201"/>
    <cellStyle name="Comma 5 3 5 4 3" xfId="10655"/>
    <cellStyle name="Comma 5 3 5 4 3 2" xfId="19482"/>
    <cellStyle name="Comma 5 3 5 4 4" xfId="12101"/>
    <cellStyle name="Comma 5 3 5 4 5" xfId="7096"/>
    <cellStyle name="Comma 5 3 5 5" xfId="2080"/>
    <cellStyle name="Comma 5 3 5 5 2" xfId="16994"/>
    <cellStyle name="Comma 5 3 5 5 3" xfId="13415"/>
    <cellStyle name="Comma 5 3 5 5 4" xfId="8158"/>
    <cellStyle name="Comma 5 3 5 6" xfId="5719"/>
    <cellStyle name="Comma 5 3 5 6 2" xfId="14805"/>
    <cellStyle name="Comma 5 3 5 7" xfId="9612"/>
    <cellStyle name="Comma 5 3 5 7 2" xfId="18439"/>
    <cellStyle name="Comma 5 3 5 8" xfId="11056"/>
    <cellStyle name="Comma 5 3 5 9" xfId="4690"/>
    <cellStyle name="Comma 5 3 6" xfId="492"/>
    <cellStyle name="Comma 5 3 6 2" xfId="552"/>
    <cellStyle name="Comma 5 3 6 2 2" xfId="2282"/>
    <cellStyle name="Comma 5 3 6 2 2 2" xfId="16172"/>
    <cellStyle name="Comma 5 3 6 2 2 3" xfId="12594"/>
    <cellStyle name="Comma 5 3 6 2 2 4" xfId="7303"/>
    <cellStyle name="Comma 5 3 6 2 3" xfId="3551"/>
    <cellStyle name="Comma 5 3 6 2 3 2" xfId="17196"/>
    <cellStyle name="Comma 5 3 6 2 3 3" xfId="13617"/>
    <cellStyle name="Comma 5 3 6 2 3 4" xfId="8360"/>
    <cellStyle name="Comma 5 3 6 2 4" xfId="6419"/>
    <cellStyle name="Comma 5 3 6 2 4 2" xfId="15503"/>
    <cellStyle name="Comma 5 3 6 2 5" xfId="9814"/>
    <cellStyle name="Comma 5 3 6 2 5 2" xfId="18641"/>
    <cellStyle name="Comma 5 3 6 2 6" xfId="11258"/>
    <cellStyle name="Comma 5 3 6 2 7" xfId="4897"/>
    <cellStyle name="Comma 5 3 6 3" xfId="910"/>
    <cellStyle name="Comma 5 3 6 3 2" xfId="2630"/>
    <cellStyle name="Comma 5 3 6 3 2 2" xfId="16546"/>
    <cellStyle name="Comma 5 3 6 3 2 3" xfId="12967"/>
    <cellStyle name="Comma 5 3 6 3 2 4" xfId="7678"/>
    <cellStyle name="Comma 5 3 6 3 3" xfId="3899"/>
    <cellStyle name="Comma 5 3 6 3 3 2" xfId="17544"/>
    <cellStyle name="Comma 5 3 6 3 3 3" xfId="13965"/>
    <cellStyle name="Comma 5 3 6 3 3 4" xfId="8708"/>
    <cellStyle name="Comma 5 3 6 3 4" xfId="6749"/>
    <cellStyle name="Comma 5 3 6 3 4 2" xfId="15832"/>
    <cellStyle name="Comma 5 3 6 3 5" xfId="10162"/>
    <cellStyle name="Comma 5 3 6 3 5 2" xfId="18989"/>
    <cellStyle name="Comma 5 3 6 3 6" xfId="11608"/>
    <cellStyle name="Comma 5 3 6 3 7" xfId="5272"/>
    <cellStyle name="Comma 5 3 6 4" xfId="1387"/>
    <cellStyle name="Comma 5 3 6 4 2" xfId="2996"/>
    <cellStyle name="Comma 5 3 6 4 2 2" xfId="17910"/>
    <cellStyle name="Comma 5 3 6 4 2 3" xfId="14331"/>
    <cellStyle name="Comma 5 3 6 4 2 4" xfId="9074"/>
    <cellStyle name="Comma 5 3 6 4 3" xfId="10528"/>
    <cellStyle name="Comma 5 3 6 4 3 2" xfId="19355"/>
    <cellStyle name="Comma 5 3 6 4 4" xfId="11974"/>
    <cellStyle name="Comma 5 3 6 4 5" xfId="6969"/>
    <cellStyle name="Comma 5 3 6 5" xfId="1953"/>
    <cellStyle name="Comma 5 3 6 5 2" xfId="16865"/>
    <cellStyle name="Comma 5 3 6 5 3" xfId="13286"/>
    <cellStyle name="Comma 5 3 6 5 4" xfId="8029"/>
    <cellStyle name="Comma 5 3 6 6" xfId="6085"/>
    <cellStyle name="Comma 5 3 6 6 2" xfId="15169"/>
    <cellStyle name="Comma 5 3 6 7" xfId="9485"/>
    <cellStyle name="Comma 5 3 6 7 2" xfId="18312"/>
    <cellStyle name="Comma 5 3 6 8" xfId="10929"/>
    <cellStyle name="Comma 5 3 6 9" xfId="4563"/>
    <cellStyle name="Comma 5 3 7" xfId="543"/>
    <cellStyle name="Comma 5 3 7 2" xfId="2273"/>
    <cellStyle name="Comma 5 3 7 2 2" xfId="16163"/>
    <cellStyle name="Comma 5 3 7 2 3" xfId="12585"/>
    <cellStyle name="Comma 5 3 7 2 4" xfId="7294"/>
    <cellStyle name="Comma 5 3 7 3" xfId="3542"/>
    <cellStyle name="Comma 5 3 7 3 2" xfId="17187"/>
    <cellStyle name="Comma 5 3 7 3 3" xfId="13608"/>
    <cellStyle name="Comma 5 3 7 3 4" xfId="8351"/>
    <cellStyle name="Comma 5 3 7 4" xfId="6410"/>
    <cellStyle name="Comma 5 3 7 4 2" xfId="15494"/>
    <cellStyle name="Comma 5 3 7 5" xfId="9805"/>
    <cellStyle name="Comma 5 3 7 5 2" xfId="18632"/>
    <cellStyle name="Comma 5 3 7 6" xfId="11249"/>
    <cellStyle name="Comma 5 3 7 7" xfId="4888"/>
    <cellStyle name="Comma 5 3 8" xfId="901"/>
    <cellStyle name="Comma 5 3 8 2" xfId="2621"/>
    <cellStyle name="Comma 5 3 8 2 2" xfId="16501"/>
    <cellStyle name="Comma 5 3 8 2 3" xfId="12923"/>
    <cellStyle name="Comma 5 3 8 2 4" xfId="7633"/>
    <cellStyle name="Comma 5 3 8 3" xfId="3890"/>
    <cellStyle name="Comma 5 3 8 3 2" xfId="17535"/>
    <cellStyle name="Comma 5 3 8 3 3" xfId="13956"/>
    <cellStyle name="Comma 5 3 8 3 4" xfId="8699"/>
    <cellStyle name="Comma 5 3 8 4" xfId="5892"/>
    <cellStyle name="Comma 5 3 8 4 2" xfId="14978"/>
    <cellStyle name="Comma 5 3 8 5" xfId="10153"/>
    <cellStyle name="Comma 5 3 8 5 2" xfId="18980"/>
    <cellStyle name="Comma 5 3 8 6" xfId="11599"/>
    <cellStyle name="Comma 5 3 8 7" xfId="5227"/>
    <cellStyle name="Comma 5 3 9" xfId="1336"/>
    <cellStyle name="Comma 5 3 9 2" xfId="2951"/>
    <cellStyle name="Comma 5 3 9 2 2" xfId="17865"/>
    <cellStyle name="Comma 5 3 9 2 3" xfId="14286"/>
    <cellStyle name="Comma 5 3 9 2 4" xfId="9029"/>
    <cellStyle name="Comma 5 3 9 3" xfId="10483"/>
    <cellStyle name="Comma 5 3 9 3 2" xfId="19310"/>
    <cellStyle name="Comma 5 3 9 4" xfId="11929"/>
    <cellStyle name="Comma 5 3 9 5" xfId="6778"/>
    <cellStyle name="Comma 5 4" xfId="165"/>
    <cellStyle name="Comma 5 4 10" xfId="1916"/>
    <cellStyle name="Comma 5 4 10 2" xfId="9448"/>
    <cellStyle name="Comma 5 4 10 2 2" xfId="18275"/>
    <cellStyle name="Comma 5 4 10 3" xfId="10892"/>
    <cellStyle name="Comma 5 4 10 4" xfId="7992"/>
    <cellStyle name="Comma 5 4 11" xfId="1886"/>
    <cellStyle name="Comma 5 4 11 2" xfId="14686"/>
    <cellStyle name="Comma 5 4 11 3" xfId="5600"/>
    <cellStyle name="Comma 5 4 12" xfId="9418"/>
    <cellStyle name="Comma 5 4 12 2" xfId="18245"/>
    <cellStyle name="Comma 5 4 13" xfId="10862"/>
    <cellStyle name="Comma 5 4 14" xfId="4379"/>
    <cellStyle name="Comma 5 4 2" xfId="240"/>
    <cellStyle name="Comma 5 4 2 10" xfId="9550"/>
    <cellStyle name="Comma 5 4 2 10 2" xfId="18377"/>
    <cellStyle name="Comma 5 4 2 11" xfId="10994"/>
    <cellStyle name="Comma 5 4 2 12" xfId="4411"/>
    <cellStyle name="Comma 5 4 2 2" xfId="453"/>
    <cellStyle name="Comma 5 4 2 2 10" xfId="4515"/>
    <cellStyle name="Comma 5 4 2 2 2" xfId="555"/>
    <cellStyle name="Comma 5 4 2 2 2 2" xfId="2285"/>
    <cellStyle name="Comma 5 4 2 2 2 2 2" xfId="16107"/>
    <cellStyle name="Comma 5 4 2 2 2 2 3" xfId="12529"/>
    <cellStyle name="Comma 5 4 2 2 2 2 4" xfId="7238"/>
    <cellStyle name="Comma 5 4 2 2 2 3" xfId="3554"/>
    <cellStyle name="Comma 5 4 2 2 2 3 2" xfId="17199"/>
    <cellStyle name="Comma 5 4 2 2 2 3 3" xfId="13620"/>
    <cellStyle name="Comma 5 4 2 2 2 3 4" xfId="8363"/>
    <cellStyle name="Comma 5 4 2 2 2 4" xfId="6354"/>
    <cellStyle name="Comma 5 4 2 2 2 4 2" xfId="15438"/>
    <cellStyle name="Comma 5 4 2 2 2 5" xfId="9817"/>
    <cellStyle name="Comma 5 4 2 2 2 5 2" xfId="18644"/>
    <cellStyle name="Comma 5 4 2 2 2 6" xfId="11261"/>
    <cellStyle name="Comma 5 4 2 2 2 7" xfId="4832"/>
    <cellStyle name="Comma 5 4 2 2 3" xfId="913"/>
    <cellStyle name="Comma 5 4 2 2 3 2" xfId="2633"/>
    <cellStyle name="Comma 5 4 2 2 3 2 2" xfId="16175"/>
    <cellStyle name="Comma 5 4 2 2 3 2 3" xfId="12597"/>
    <cellStyle name="Comma 5 4 2 2 3 2 4" xfId="7306"/>
    <cellStyle name="Comma 5 4 2 2 3 3" xfId="3902"/>
    <cellStyle name="Comma 5 4 2 2 3 3 2" xfId="17547"/>
    <cellStyle name="Comma 5 4 2 2 3 3 3" xfId="13968"/>
    <cellStyle name="Comma 5 4 2 2 3 3 4" xfId="8711"/>
    <cellStyle name="Comma 5 4 2 2 3 4" xfId="6422"/>
    <cellStyle name="Comma 5 4 2 2 3 4 2" xfId="15506"/>
    <cellStyle name="Comma 5 4 2 2 3 5" xfId="10165"/>
    <cellStyle name="Comma 5 4 2 2 3 5 2" xfId="18992"/>
    <cellStyle name="Comma 5 4 2 2 3 6" xfId="11611"/>
    <cellStyle name="Comma 5 4 2 2 3 7" xfId="4900"/>
    <cellStyle name="Comma 5 4 2 2 4" xfId="1669"/>
    <cellStyle name="Comma 5 4 2 2 4 2" xfId="3265"/>
    <cellStyle name="Comma 5 4 2 2 4 2 2" xfId="16815"/>
    <cellStyle name="Comma 5 4 2 2 4 2 3" xfId="13236"/>
    <cellStyle name="Comma 5 4 2 2 4 2 4" xfId="7947"/>
    <cellStyle name="Comma 5 4 2 2 4 3" xfId="4329"/>
    <cellStyle name="Comma 5 4 2 2 4 3 2" xfId="18179"/>
    <cellStyle name="Comma 5 4 2 2 4 3 3" xfId="14600"/>
    <cellStyle name="Comma 5 4 2 2 4 3 4" xfId="9343"/>
    <cellStyle name="Comma 5 4 2 2 4 4" xfId="6035"/>
    <cellStyle name="Comma 5 4 2 2 4 4 2" xfId="15121"/>
    <cellStyle name="Comma 5 4 2 2 4 5" xfId="10797"/>
    <cellStyle name="Comma 5 4 2 2 4 5 2" xfId="19624"/>
    <cellStyle name="Comma 5 4 2 2 4 6" xfId="12243"/>
    <cellStyle name="Comma 5 4 2 2 4 7" xfId="5541"/>
    <cellStyle name="Comma 5 4 2 2 5" xfId="2222"/>
    <cellStyle name="Comma 5 4 2 2 5 2" xfId="15964"/>
    <cellStyle name="Comma 5 4 2 2 5 3" xfId="12356"/>
    <cellStyle name="Comma 5 4 2 2 5 4" xfId="6921"/>
    <cellStyle name="Comma 5 4 2 2 6" xfId="3491"/>
    <cellStyle name="Comma 5 4 2 2 6 2" xfId="17136"/>
    <cellStyle name="Comma 5 4 2 2 6 3" xfId="13557"/>
    <cellStyle name="Comma 5 4 2 2 6 4" xfId="8300"/>
    <cellStyle name="Comma 5 4 2 2 7" xfId="5861"/>
    <cellStyle name="Comma 5 4 2 2 7 2" xfId="14947"/>
    <cellStyle name="Comma 5 4 2 2 8" xfId="9754"/>
    <cellStyle name="Comma 5 4 2 2 8 2" xfId="18581"/>
    <cellStyle name="Comma 5 4 2 2 9" xfId="11198"/>
    <cellStyle name="Comma 5 4 2 3" xfId="348"/>
    <cellStyle name="Comma 5 4 2 3 2" xfId="556"/>
    <cellStyle name="Comma 5 4 2 3 2 2" xfId="2286"/>
    <cellStyle name="Comma 5 4 2 3 2 2 2" xfId="16176"/>
    <cellStyle name="Comma 5 4 2 3 2 2 3" xfId="12598"/>
    <cellStyle name="Comma 5 4 2 3 2 2 4" xfId="7307"/>
    <cellStyle name="Comma 5 4 2 3 2 3" xfId="3555"/>
    <cellStyle name="Comma 5 4 2 3 2 3 2" xfId="17200"/>
    <cellStyle name="Comma 5 4 2 3 2 3 3" xfId="13621"/>
    <cellStyle name="Comma 5 4 2 3 2 3 4" xfId="8364"/>
    <cellStyle name="Comma 5 4 2 3 2 4" xfId="6423"/>
    <cellStyle name="Comma 5 4 2 3 2 4 2" xfId="15507"/>
    <cellStyle name="Comma 5 4 2 3 2 5" xfId="9818"/>
    <cellStyle name="Comma 5 4 2 3 2 5 2" xfId="18645"/>
    <cellStyle name="Comma 5 4 2 3 2 6" xfId="11262"/>
    <cellStyle name="Comma 5 4 2 3 2 7" xfId="4901"/>
    <cellStyle name="Comma 5 4 2 3 3" xfId="914"/>
    <cellStyle name="Comma 5 4 2 3 3 2" xfId="2634"/>
    <cellStyle name="Comma 5 4 2 3 3 2 2" xfId="16711"/>
    <cellStyle name="Comma 5 4 2 3 3 2 3" xfId="13132"/>
    <cellStyle name="Comma 5 4 2 3 3 2 4" xfId="7843"/>
    <cellStyle name="Comma 5 4 2 3 3 3" xfId="3903"/>
    <cellStyle name="Comma 5 4 2 3 3 3 2" xfId="17548"/>
    <cellStyle name="Comma 5 4 2 3 3 3 3" xfId="13969"/>
    <cellStyle name="Comma 5 4 2 3 3 3 4" xfId="8712"/>
    <cellStyle name="Comma 5 4 2 3 3 4" xfId="6250"/>
    <cellStyle name="Comma 5 4 2 3 3 4 2" xfId="15334"/>
    <cellStyle name="Comma 5 4 2 3 3 5" xfId="10166"/>
    <cellStyle name="Comma 5 4 2 3 3 5 2" xfId="18993"/>
    <cellStyle name="Comma 5 4 2 3 3 6" xfId="11612"/>
    <cellStyle name="Comma 5 4 2 3 3 7" xfId="5437"/>
    <cellStyle name="Comma 5 4 2 3 4" xfId="1562"/>
    <cellStyle name="Comma 5 4 2 3 4 2" xfId="3161"/>
    <cellStyle name="Comma 5 4 2 3 4 2 2" xfId="18075"/>
    <cellStyle name="Comma 5 4 2 3 4 2 3" xfId="14496"/>
    <cellStyle name="Comma 5 4 2 3 4 2 4" xfId="9239"/>
    <cellStyle name="Comma 5 4 2 3 4 3" xfId="10693"/>
    <cellStyle name="Comma 5 4 2 3 4 3 2" xfId="19520"/>
    <cellStyle name="Comma 5 4 2 3 4 4" xfId="12139"/>
    <cellStyle name="Comma 5 4 2 3 4 5" xfId="7134"/>
    <cellStyle name="Comma 5 4 2 3 5" xfId="2118"/>
    <cellStyle name="Comma 5 4 2 3 5 2" xfId="17032"/>
    <cellStyle name="Comma 5 4 2 3 5 3" xfId="13453"/>
    <cellStyle name="Comma 5 4 2 3 5 4" xfId="8196"/>
    <cellStyle name="Comma 5 4 2 3 6" xfId="5757"/>
    <cellStyle name="Comma 5 4 2 3 6 2" xfId="14843"/>
    <cellStyle name="Comma 5 4 2 3 7" xfId="9650"/>
    <cellStyle name="Comma 5 4 2 3 7 2" xfId="18477"/>
    <cellStyle name="Comma 5 4 2 3 8" xfId="11094"/>
    <cellStyle name="Comma 5 4 2 3 9" xfId="4728"/>
    <cellStyle name="Comma 5 4 2 4" xfId="554"/>
    <cellStyle name="Comma 5 4 2 4 2" xfId="2284"/>
    <cellStyle name="Comma 5 4 2 4 2 2" xfId="16048"/>
    <cellStyle name="Comma 5 4 2 4 2 3" xfId="12298"/>
    <cellStyle name="Comma 5 4 2 4 2 4" xfId="7034"/>
    <cellStyle name="Comma 5 4 2 4 3" xfId="3553"/>
    <cellStyle name="Comma 5 4 2 4 3 2" xfId="17198"/>
    <cellStyle name="Comma 5 4 2 4 3 3" xfId="13619"/>
    <cellStyle name="Comma 5 4 2 4 3 4" xfId="8362"/>
    <cellStyle name="Comma 5 4 2 4 4" xfId="6150"/>
    <cellStyle name="Comma 5 4 2 4 4 2" xfId="15234"/>
    <cellStyle name="Comma 5 4 2 4 5" xfId="9816"/>
    <cellStyle name="Comma 5 4 2 4 5 2" xfId="18643"/>
    <cellStyle name="Comma 5 4 2 4 6" xfId="11260"/>
    <cellStyle name="Comma 5 4 2 4 7" xfId="4628"/>
    <cellStyle name="Comma 5 4 2 5" xfId="912"/>
    <cellStyle name="Comma 5 4 2 5 2" xfId="2632"/>
    <cellStyle name="Comma 5 4 2 5 2 2" xfId="16174"/>
    <cellStyle name="Comma 5 4 2 5 2 3" xfId="12596"/>
    <cellStyle name="Comma 5 4 2 5 2 4" xfId="7305"/>
    <cellStyle name="Comma 5 4 2 5 3" xfId="3901"/>
    <cellStyle name="Comma 5 4 2 5 3 2" xfId="17546"/>
    <cellStyle name="Comma 5 4 2 5 3 3" xfId="13967"/>
    <cellStyle name="Comma 5 4 2 5 3 4" xfId="8710"/>
    <cellStyle name="Comma 5 4 2 5 4" xfId="6421"/>
    <cellStyle name="Comma 5 4 2 5 4 2" xfId="15505"/>
    <cellStyle name="Comma 5 4 2 5 5" xfId="10164"/>
    <cellStyle name="Comma 5 4 2 5 5 2" xfId="18991"/>
    <cellStyle name="Comma 5 4 2 5 6" xfId="11610"/>
    <cellStyle name="Comma 5 4 2 5 7" xfId="4899"/>
    <cellStyle name="Comma 5 4 2 6" xfId="1460"/>
    <cellStyle name="Comma 5 4 2 6 2" xfId="3061"/>
    <cellStyle name="Comma 5 4 2 6 2 2" xfId="16611"/>
    <cellStyle name="Comma 5 4 2 6 2 3" xfId="13032"/>
    <cellStyle name="Comma 5 4 2 6 2 4" xfId="7743"/>
    <cellStyle name="Comma 5 4 2 6 3" xfId="4270"/>
    <cellStyle name="Comma 5 4 2 6 3 2" xfId="17975"/>
    <cellStyle name="Comma 5 4 2 6 3 3" xfId="14396"/>
    <cellStyle name="Comma 5 4 2 6 3 4" xfId="9139"/>
    <cellStyle name="Comma 5 4 2 6 4" xfId="5931"/>
    <cellStyle name="Comma 5 4 2 6 4 2" xfId="15017"/>
    <cellStyle name="Comma 5 4 2 6 5" xfId="10593"/>
    <cellStyle name="Comma 5 4 2 6 5 2" xfId="19420"/>
    <cellStyle name="Comma 5 4 2 6 6" xfId="12039"/>
    <cellStyle name="Comma 5 4 2 6 7" xfId="5337"/>
    <cellStyle name="Comma 5 4 2 7" xfId="2018"/>
    <cellStyle name="Comma 5 4 2 7 2" xfId="15860"/>
    <cellStyle name="Comma 5 4 2 7 3" xfId="12457"/>
    <cellStyle name="Comma 5 4 2 7 4" xfId="6817"/>
    <cellStyle name="Comma 5 4 2 8" xfId="3432"/>
    <cellStyle name="Comma 5 4 2 8 2" xfId="16932"/>
    <cellStyle name="Comma 5 4 2 8 3" xfId="13353"/>
    <cellStyle name="Comma 5 4 2 8 4" xfId="8096"/>
    <cellStyle name="Comma 5 4 2 9" xfId="5657"/>
    <cellStyle name="Comma 5 4 2 9 2" xfId="14743"/>
    <cellStyle name="Comma 5 4 3" xfId="283"/>
    <cellStyle name="Comma 5 4 3 10" xfId="11037"/>
    <cellStyle name="Comma 5 4 3 11" xfId="4454"/>
    <cellStyle name="Comma 5 4 3 2" xfId="391"/>
    <cellStyle name="Comma 5 4 3 2 2" xfId="558"/>
    <cellStyle name="Comma 5 4 3 2 2 2" xfId="2288"/>
    <cellStyle name="Comma 5 4 3 2 2 2 2" xfId="16178"/>
    <cellStyle name="Comma 5 4 3 2 2 2 3" xfId="12600"/>
    <cellStyle name="Comma 5 4 3 2 2 2 4" xfId="7309"/>
    <cellStyle name="Comma 5 4 3 2 2 3" xfId="3557"/>
    <cellStyle name="Comma 5 4 3 2 2 3 2" xfId="17202"/>
    <cellStyle name="Comma 5 4 3 2 2 3 3" xfId="13623"/>
    <cellStyle name="Comma 5 4 3 2 2 3 4" xfId="8366"/>
    <cellStyle name="Comma 5 4 3 2 2 4" xfId="6425"/>
    <cellStyle name="Comma 5 4 3 2 2 4 2" xfId="15509"/>
    <cellStyle name="Comma 5 4 3 2 2 5" xfId="9820"/>
    <cellStyle name="Comma 5 4 3 2 2 5 2" xfId="18647"/>
    <cellStyle name="Comma 5 4 3 2 2 6" xfId="11264"/>
    <cellStyle name="Comma 5 4 3 2 2 7" xfId="4903"/>
    <cellStyle name="Comma 5 4 3 2 3" xfId="916"/>
    <cellStyle name="Comma 5 4 3 2 3 2" xfId="2636"/>
    <cellStyle name="Comma 5 4 3 2 3 2 2" xfId="16754"/>
    <cellStyle name="Comma 5 4 3 2 3 2 3" xfId="13175"/>
    <cellStyle name="Comma 5 4 3 2 3 2 4" xfId="7886"/>
    <cellStyle name="Comma 5 4 3 2 3 3" xfId="3905"/>
    <cellStyle name="Comma 5 4 3 2 3 3 2" xfId="17550"/>
    <cellStyle name="Comma 5 4 3 2 3 3 3" xfId="13971"/>
    <cellStyle name="Comma 5 4 3 2 3 3 4" xfId="8714"/>
    <cellStyle name="Comma 5 4 3 2 3 4" xfId="6293"/>
    <cellStyle name="Comma 5 4 3 2 3 4 2" xfId="15377"/>
    <cellStyle name="Comma 5 4 3 2 3 5" xfId="10168"/>
    <cellStyle name="Comma 5 4 3 2 3 5 2" xfId="18995"/>
    <cellStyle name="Comma 5 4 3 2 3 6" xfId="11614"/>
    <cellStyle name="Comma 5 4 3 2 3 7" xfId="5480"/>
    <cellStyle name="Comma 5 4 3 2 4" xfId="1607"/>
    <cellStyle name="Comma 5 4 3 2 4 2" xfId="3204"/>
    <cellStyle name="Comma 5 4 3 2 4 2 2" xfId="18118"/>
    <cellStyle name="Comma 5 4 3 2 4 2 3" xfId="14539"/>
    <cellStyle name="Comma 5 4 3 2 4 2 4" xfId="9282"/>
    <cellStyle name="Comma 5 4 3 2 4 3" xfId="10736"/>
    <cellStyle name="Comma 5 4 3 2 4 3 2" xfId="19563"/>
    <cellStyle name="Comma 5 4 3 2 4 4" xfId="12182"/>
    <cellStyle name="Comma 5 4 3 2 4 5" xfId="7177"/>
    <cellStyle name="Comma 5 4 3 2 5" xfId="2161"/>
    <cellStyle name="Comma 5 4 3 2 5 2" xfId="17075"/>
    <cellStyle name="Comma 5 4 3 2 5 3" xfId="13496"/>
    <cellStyle name="Comma 5 4 3 2 5 4" xfId="8239"/>
    <cellStyle name="Comma 5 4 3 2 6" xfId="5800"/>
    <cellStyle name="Comma 5 4 3 2 6 2" xfId="14886"/>
    <cellStyle name="Comma 5 4 3 2 7" xfId="9693"/>
    <cellStyle name="Comma 5 4 3 2 7 2" xfId="18520"/>
    <cellStyle name="Comma 5 4 3 2 8" xfId="11137"/>
    <cellStyle name="Comma 5 4 3 2 9" xfId="4771"/>
    <cellStyle name="Comma 5 4 3 3" xfId="557"/>
    <cellStyle name="Comma 5 4 3 3 2" xfId="2287"/>
    <cellStyle name="Comma 5 4 3 3 2 2" xfId="16091"/>
    <cellStyle name="Comma 5 4 3 3 2 3" xfId="12296"/>
    <cellStyle name="Comma 5 4 3 3 2 4" xfId="7077"/>
    <cellStyle name="Comma 5 4 3 3 3" xfId="3556"/>
    <cellStyle name="Comma 5 4 3 3 3 2" xfId="17201"/>
    <cellStyle name="Comma 5 4 3 3 3 3" xfId="13622"/>
    <cellStyle name="Comma 5 4 3 3 3 4" xfId="8365"/>
    <cellStyle name="Comma 5 4 3 3 4" xfId="6193"/>
    <cellStyle name="Comma 5 4 3 3 4 2" xfId="15277"/>
    <cellStyle name="Comma 5 4 3 3 5" xfId="9819"/>
    <cellStyle name="Comma 5 4 3 3 5 2" xfId="18646"/>
    <cellStyle name="Comma 5 4 3 3 6" xfId="11263"/>
    <cellStyle name="Comma 5 4 3 3 7" xfId="4671"/>
    <cellStyle name="Comma 5 4 3 4" xfId="915"/>
    <cellStyle name="Comma 5 4 3 4 2" xfId="2635"/>
    <cellStyle name="Comma 5 4 3 4 2 2" xfId="16177"/>
    <cellStyle name="Comma 5 4 3 4 2 3" xfId="12599"/>
    <cellStyle name="Comma 5 4 3 4 2 4" xfId="7308"/>
    <cellStyle name="Comma 5 4 3 4 3" xfId="3904"/>
    <cellStyle name="Comma 5 4 3 4 3 2" xfId="17549"/>
    <cellStyle name="Comma 5 4 3 4 3 3" xfId="13970"/>
    <cellStyle name="Comma 5 4 3 4 3 4" xfId="8713"/>
    <cellStyle name="Comma 5 4 3 4 4" xfId="6424"/>
    <cellStyle name="Comma 5 4 3 4 4 2" xfId="15508"/>
    <cellStyle name="Comma 5 4 3 4 5" xfId="10167"/>
    <cellStyle name="Comma 5 4 3 4 5 2" xfId="18994"/>
    <cellStyle name="Comma 5 4 3 4 6" xfId="11613"/>
    <cellStyle name="Comma 5 4 3 4 7" xfId="4902"/>
    <cellStyle name="Comma 5 4 3 5" xfId="1505"/>
    <cellStyle name="Comma 5 4 3 5 2" xfId="3104"/>
    <cellStyle name="Comma 5 4 3 5 2 2" xfId="16654"/>
    <cellStyle name="Comma 5 4 3 5 2 3" xfId="13075"/>
    <cellStyle name="Comma 5 4 3 5 2 4" xfId="7786"/>
    <cellStyle name="Comma 5 4 3 5 3" xfId="4313"/>
    <cellStyle name="Comma 5 4 3 5 3 2" xfId="18018"/>
    <cellStyle name="Comma 5 4 3 5 3 3" xfId="14439"/>
    <cellStyle name="Comma 5 4 3 5 3 4" xfId="9182"/>
    <cellStyle name="Comma 5 4 3 5 4" xfId="5974"/>
    <cellStyle name="Comma 5 4 3 5 4 2" xfId="15060"/>
    <cellStyle name="Comma 5 4 3 5 5" xfId="10636"/>
    <cellStyle name="Comma 5 4 3 5 5 2" xfId="19463"/>
    <cellStyle name="Comma 5 4 3 5 6" xfId="12082"/>
    <cellStyle name="Comma 5 4 3 5 7" xfId="5380"/>
    <cellStyle name="Comma 5 4 3 6" xfId="2061"/>
    <cellStyle name="Comma 5 4 3 6 2" xfId="15903"/>
    <cellStyle name="Comma 5 4 3 6 3" xfId="11522"/>
    <cellStyle name="Comma 5 4 3 6 4" xfId="6860"/>
    <cellStyle name="Comma 5 4 3 7" xfId="3475"/>
    <cellStyle name="Comma 5 4 3 7 2" xfId="16975"/>
    <cellStyle name="Comma 5 4 3 7 3" xfId="13396"/>
    <cellStyle name="Comma 5 4 3 7 4" xfId="8139"/>
    <cellStyle name="Comma 5 4 3 8" xfId="5700"/>
    <cellStyle name="Comma 5 4 3 8 2" xfId="14786"/>
    <cellStyle name="Comma 5 4 3 9" xfId="9593"/>
    <cellStyle name="Comma 5 4 3 9 2" xfId="18420"/>
    <cellStyle name="Comma 5 4 4" xfId="205"/>
    <cellStyle name="Comma 5 4 4 10" xfId="10962"/>
    <cellStyle name="Comma 5 4 4 11" xfId="4484"/>
    <cellStyle name="Comma 5 4 4 2" xfId="422"/>
    <cellStyle name="Comma 5 4 4 2 2" xfId="560"/>
    <cellStyle name="Comma 5 4 4 2 2 2" xfId="2290"/>
    <cellStyle name="Comma 5 4 4 2 2 2 2" xfId="16180"/>
    <cellStyle name="Comma 5 4 4 2 2 2 3" xfId="12602"/>
    <cellStyle name="Comma 5 4 4 2 2 2 4" xfId="7311"/>
    <cellStyle name="Comma 5 4 4 2 2 3" xfId="3559"/>
    <cellStyle name="Comma 5 4 4 2 2 3 2" xfId="17204"/>
    <cellStyle name="Comma 5 4 4 2 2 3 3" xfId="13625"/>
    <cellStyle name="Comma 5 4 4 2 2 3 4" xfId="8368"/>
    <cellStyle name="Comma 5 4 4 2 2 4" xfId="6427"/>
    <cellStyle name="Comma 5 4 4 2 2 4 2" xfId="15511"/>
    <cellStyle name="Comma 5 4 4 2 2 5" xfId="9822"/>
    <cellStyle name="Comma 5 4 4 2 2 5 2" xfId="18649"/>
    <cellStyle name="Comma 5 4 4 2 2 6" xfId="11266"/>
    <cellStyle name="Comma 5 4 4 2 2 7" xfId="4905"/>
    <cellStyle name="Comma 5 4 4 2 3" xfId="918"/>
    <cellStyle name="Comma 5 4 4 2 3 2" xfId="2638"/>
    <cellStyle name="Comma 5 4 4 2 3 2 2" xfId="16784"/>
    <cellStyle name="Comma 5 4 4 2 3 2 3" xfId="13205"/>
    <cellStyle name="Comma 5 4 4 2 3 2 4" xfId="7916"/>
    <cellStyle name="Comma 5 4 4 2 3 3" xfId="3907"/>
    <cellStyle name="Comma 5 4 4 2 3 3 2" xfId="17552"/>
    <cellStyle name="Comma 5 4 4 2 3 3 3" xfId="13973"/>
    <cellStyle name="Comma 5 4 4 2 3 3 4" xfId="8716"/>
    <cellStyle name="Comma 5 4 4 2 3 4" xfId="6323"/>
    <cellStyle name="Comma 5 4 4 2 3 4 2" xfId="15407"/>
    <cellStyle name="Comma 5 4 4 2 3 5" xfId="10170"/>
    <cellStyle name="Comma 5 4 4 2 3 5 2" xfId="18997"/>
    <cellStyle name="Comma 5 4 4 2 3 6" xfId="11616"/>
    <cellStyle name="Comma 5 4 4 2 3 7" xfId="5510"/>
    <cellStyle name="Comma 5 4 4 2 4" xfId="1638"/>
    <cellStyle name="Comma 5 4 4 2 4 2" xfId="3234"/>
    <cellStyle name="Comma 5 4 4 2 4 2 2" xfId="18148"/>
    <cellStyle name="Comma 5 4 4 2 4 2 3" xfId="14569"/>
    <cellStyle name="Comma 5 4 4 2 4 2 4" xfId="9312"/>
    <cellStyle name="Comma 5 4 4 2 4 3" xfId="10766"/>
    <cellStyle name="Comma 5 4 4 2 4 3 2" xfId="19593"/>
    <cellStyle name="Comma 5 4 4 2 4 4" xfId="12212"/>
    <cellStyle name="Comma 5 4 4 2 4 5" xfId="7207"/>
    <cellStyle name="Comma 5 4 4 2 5" xfId="2191"/>
    <cellStyle name="Comma 5 4 4 2 5 2" xfId="17105"/>
    <cellStyle name="Comma 5 4 4 2 5 3" xfId="13526"/>
    <cellStyle name="Comma 5 4 4 2 5 4" xfId="8269"/>
    <cellStyle name="Comma 5 4 4 2 6" xfId="5830"/>
    <cellStyle name="Comma 5 4 4 2 6 2" xfId="14916"/>
    <cellStyle name="Comma 5 4 4 2 7" xfId="9723"/>
    <cellStyle name="Comma 5 4 4 2 7 2" xfId="18550"/>
    <cellStyle name="Comma 5 4 4 2 8" xfId="11167"/>
    <cellStyle name="Comma 5 4 4 2 9" xfId="4801"/>
    <cellStyle name="Comma 5 4 4 3" xfId="559"/>
    <cellStyle name="Comma 5 4 4 3 2" xfId="2289"/>
    <cellStyle name="Comma 5 4 4 3 2 2" xfId="16016"/>
    <cellStyle name="Comma 5 4 4 3 2 3" xfId="12397"/>
    <cellStyle name="Comma 5 4 4 3 2 4" xfId="7002"/>
    <cellStyle name="Comma 5 4 4 3 3" xfId="3558"/>
    <cellStyle name="Comma 5 4 4 3 3 2" xfId="17203"/>
    <cellStyle name="Comma 5 4 4 3 3 3" xfId="13624"/>
    <cellStyle name="Comma 5 4 4 3 3 4" xfId="8367"/>
    <cellStyle name="Comma 5 4 4 3 4" xfId="6118"/>
    <cellStyle name="Comma 5 4 4 3 4 2" xfId="15202"/>
    <cellStyle name="Comma 5 4 4 3 5" xfId="9821"/>
    <cellStyle name="Comma 5 4 4 3 5 2" xfId="18648"/>
    <cellStyle name="Comma 5 4 4 3 6" xfId="11265"/>
    <cellStyle name="Comma 5 4 4 3 7" xfId="4596"/>
    <cellStyle name="Comma 5 4 4 4" xfId="917"/>
    <cellStyle name="Comma 5 4 4 4 2" xfId="2637"/>
    <cellStyle name="Comma 5 4 4 4 2 2" xfId="16179"/>
    <cellStyle name="Comma 5 4 4 4 2 3" xfId="12601"/>
    <cellStyle name="Comma 5 4 4 4 2 4" xfId="7310"/>
    <cellStyle name="Comma 5 4 4 4 3" xfId="3906"/>
    <cellStyle name="Comma 5 4 4 4 3 2" xfId="17551"/>
    <cellStyle name="Comma 5 4 4 4 3 3" xfId="13972"/>
    <cellStyle name="Comma 5 4 4 4 3 4" xfId="8715"/>
    <cellStyle name="Comma 5 4 4 4 4" xfId="6426"/>
    <cellStyle name="Comma 5 4 4 4 4 2" xfId="15510"/>
    <cellStyle name="Comma 5 4 4 4 5" xfId="10169"/>
    <cellStyle name="Comma 5 4 4 4 5 2" xfId="18996"/>
    <cellStyle name="Comma 5 4 4 4 6" xfId="11615"/>
    <cellStyle name="Comma 5 4 4 4 7" xfId="4904"/>
    <cellStyle name="Comma 5 4 4 5" xfId="1424"/>
    <cellStyle name="Comma 5 4 4 5 2" xfId="3029"/>
    <cellStyle name="Comma 5 4 4 5 2 2" xfId="16579"/>
    <cellStyle name="Comma 5 4 4 5 2 3" xfId="13000"/>
    <cellStyle name="Comma 5 4 4 5 2 4" xfId="7711"/>
    <cellStyle name="Comma 5 4 4 5 3" xfId="4238"/>
    <cellStyle name="Comma 5 4 4 5 3 2" xfId="17943"/>
    <cellStyle name="Comma 5 4 4 5 3 3" xfId="14364"/>
    <cellStyle name="Comma 5 4 4 5 3 4" xfId="9107"/>
    <cellStyle name="Comma 5 4 4 5 4" xfId="6004"/>
    <cellStyle name="Comma 5 4 4 5 4 2" xfId="15090"/>
    <cellStyle name="Comma 5 4 4 5 5" xfId="10561"/>
    <cellStyle name="Comma 5 4 4 5 5 2" xfId="19388"/>
    <cellStyle name="Comma 5 4 4 5 6" xfId="12007"/>
    <cellStyle name="Comma 5 4 4 5 7" xfId="5305"/>
    <cellStyle name="Comma 5 4 4 6" xfId="1986"/>
    <cellStyle name="Comma 5 4 4 6 2" xfId="15933"/>
    <cellStyle name="Comma 5 4 4 6 3" xfId="12422"/>
    <cellStyle name="Comma 5 4 4 6 4" xfId="6890"/>
    <cellStyle name="Comma 5 4 4 7" xfId="3401"/>
    <cellStyle name="Comma 5 4 4 7 2" xfId="16900"/>
    <cellStyle name="Comma 5 4 4 7 3" xfId="13321"/>
    <cellStyle name="Comma 5 4 4 7 4" xfId="8064"/>
    <cellStyle name="Comma 5 4 4 8" xfId="5625"/>
    <cellStyle name="Comma 5 4 4 8 2" xfId="14711"/>
    <cellStyle name="Comma 5 4 4 9" xfId="9518"/>
    <cellStyle name="Comma 5 4 4 9 2" xfId="18345"/>
    <cellStyle name="Comma 5 4 5" xfId="316"/>
    <cellStyle name="Comma 5 4 5 2" xfId="561"/>
    <cellStyle name="Comma 5 4 5 2 2" xfId="2291"/>
    <cellStyle name="Comma 5 4 5 2 2 2" xfId="16181"/>
    <cellStyle name="Comma 5 4 5 2 2 3" xfId="12603"/>
    <cellStyle name="Comma 5 4 5 2 2 4" xfId="7312"/>
    <cellStyle name="Comma 5 4 5 2 3" xfId="3560"/>
    <cellStyle name="Comma 5 4 5 2 3 2" xfId="17205"/>
    <cellStyle name="Comma 5 4 5 2 3 3" xfId="13626"/>
    <cellStyle name="Comma 5 4 5 2 3 4" xfId="8369"/>
    <cellStyle name="Comma 5 4 5 2 4" xfId="6428"/>
    <cellStyle name="Comma 5 4 5 2 4 2" xfId="15512"/>
    <cellStyle name="Comma 5 4 5 2 5" xfId="9823"/>
    <cellStyle name="Comma 5 4 5 2 5 2" xfId="18650"/>
    <cellStyle name="Comma 5 4 5 2 6" xfId="11267"/>
    <cellStyle name="Comma 5 4 5 2 7" xfId="4906"/>
    <cellStyle name="Comma 5 4 5 3" xfId="919"/>
    <cellStyle name="Comma 5 4 5 3 2" xfId="2639"/>
    <cellStyle name="Comma 5 4 5 3 2 2" xfId="16679"/>
    <cellStyle name="Comma 5 4 5 3 2 3" xfId="13100"/>
    <cellStyle name="Comma 5 4 5 3 2 4" xfId="7811"/>
    <cellStyle name="Comma 5 4 5 3 3" xfId="3908"/>
    <cellStyle name="Comma 5 4 5 3 3 2" xfId="17553"/>
    <cellStyle name="Comma 5 4 5 3 3 3" xfId="13974"/>
    <cellStyle name="Comma 5 4 5 3 3 4" xfId="8717"/>
    <cellStyle name="Comma 5 4 5 3 4" xfId="6218"/>
    <cellStyle name="Comma 5 4 5 3 4 2" xfId="15302"/>
    <cellStyle name="Comma 5 4 5 3 5" xfId="10171"/>
    <cellStyle name="Comma 5 4 5 3 5 2" xfId="18998"/>
    <cellStyle name="Comma 5 4 5 3 6" xfId="11617"/>
    <cellStyle name="Comma 5 4 5 3 7" xfId="5405"/>
    <cellStyle name="Comma 5 4 5 4" xfId="1530"/>
    <cellStyle name="Comma 5 4 5 4 2" xfId="3129"/>
    <cellStyle name="Comma 5 4 5 4 2 2" xfId="18043"/>
    <cellStyle name="Comma 5 4 5 4 2 3" xfId="14464"/>
    <cellStyle name="Comma 5 4 5 4 2 4" xfId="9207"/>
    <cellStyle name="Comma 5 4 5 4 3" xfId="10661"/>
    <cellStyle name="Comma 5 4 5 4 3 2" xfId="19488"/>
    <cellStyle name="Comma 5 4 5 4 4" xfId="12107"/>
    <cellStyle name="Comma 5 4 5 4 5" xfId="7102"/>
    <cellStyle name="Comma 5 4 5 5" xfId="2086"/>
    <cellStyle name="Comma 5 4 5 5 2" xfId="17000"/>
    <cellStyle name="Comma 5 4 5 5 3" xfId="13421"/>
    <cellStyle name="Comma 5 4 5 5 4" xfId="8164"/>
    <cellStyle name="Comma 5 4 5 6" xfId="5725"/>
    <cellStyle name="Comma 5 4 5 6 2" xfId="14811"/>
    <cellStyle name="Comma 5 4 5 7" xfId="9618"/>
    <cellStyle name="Comma 5 4 5 7 2" xfId="18445"/>
    <cellStyle name="Comma 5 4 5 8" xfId="11062"/>
    <cellStyle name="Comma 5 4 5 9" xfId="4696"/>
    <cellStyle name="Comma 5 4 6" xfId="499"/>
    <cellStyle name="Comma 5 4 6 2" xfId="562"/>
    <cellStyle name="Comma 5 4 6 2 2" xfId="2292"/>
    <cellStyle name="Comma 5 4 6 2 2 2" xfId="16182"/>
    <cellStyle name="Comma 5 4 6 2 2 3" xfId="12604"/>
    <cellStyle name="Comma 5 4 6 2 2 4" xfId="7313"/>
    <cellStyle name="Comma 5 4 6 2 3" xfId="3561"/>
    <cellStyle name="Comma 5 4 6 2 3 2" xfId="17206"/>
    <cellStyle name="Comma 5 4 6 2 3 3" xfId="13627"/>
    <cellStyle name="Comma 5 4 6 2 3 4" xfId="8370"/>
    <cellStyle name="Comma 5 4 6 2 4" xfId="6429"/>
    <cellStyle name="Comma 5 4 6 2 4 2" xfId="15513"/>
    <cellStyle name="Comma 5 4 6 2 5" xfId="9824"/>
    <cellStyle name="Comma 5 4 6 2 5 2" xfId="18651"/>
    <cellStyle name="Comma 5 4 6 2 6" xfId="11268"/>
    <cellStyle name="Comma 5 4 6 2 7" xfId="4907"/>
    <cellStyle name="Comma 5 4 6 3" xfId="920"/>
    <cellStyle name="Comma 5 4 6 3 2" xfId="2640"/>
    <cellStyle name="Comma 5 4 6 3 2 2" xfId="16554"/>
    <cellStyle name="Comma 5 4 6 3 2 3" xfId="12975"/>
    <cellStyle name="Comma 5 4 6 3 2 4" xfId="7686"/>
    <cellStyle name="Comma 5 4 6 3 3" xfId="3909"/>
    <cellStyle name="Comma 5 4 6 3 3 2" xfId="17554"/>
    <cellStyle name="Comma 5 4 6 3 3 3" xfId="13975"/>
    <cellStyle name="Comma 5 4 6 3 3 4" xfId="8718"/>
    <cellStyle name="Comma 5 4 6 3 4" xfId="6733"/>
    <cellStyle name="Comma 5 4 6 3 4 2" xfId="15816"/>
    <cellStyle name="Comma 5 4 6 3 5" xfId="10172"/>
    <cellStyle name="Comma 5 4 6 3 5 2" xfId="18999"/>
    <cellStyle name="Comma 5 4 6 3 6" xfId="11618"/>
    <cellStyle name="Comma 5 4 6 3 7" xfId="5280"/>
    <cellStyle name="Comma 5 4 6 4" xfId="1395"/>
    <cellStyle name="Comma 5 4 6 4 2" xfId="3004"/>
    <cellStyle name="Comma 5 4 6 4 2 2" xfId="17918"/>
    <cellStyle name="Comma 5 4 6 4 2 3" xfId="14339"/>
    <cellStyle name="Comma 5 4 6 4 2 4" xfId="9082"/>
    <cellStyle name="Comma 5 4 6 4 3" xfId="10536"/>
    <cellStyle name="Comma 5 4 6 4 3 2" xfId="19363"/>
    <cellStyle name="Comma 5 4 6 4 4" xfId="11982"/>
    <cellStyle name="Comma 5 4 6 4 5" xfId="6977"/>
    <cellStyle name="Comma 5 4 6 5" xfId="1961"/>
    <cellStyle name="Comma 5 4 6 5 2" xfId="16873"/>
    <cellStyle name="Comma 5 4 6 5 3" xfId="13294"/>
    <cellStyle name="Comma 5 4 6 5 4" xfId="8037"/>
    <cellStyle name="Comma 5 4 6 6" xfId="6093"/>
    <cellStyle name="Comma 5 4 6 6 2" xfId="15177"/>
    <cellStyle name="Comma 5 4 6 7" xfId="9493"/>
    <cellStyle name="Comma 5 4 6 7 2" xfId="18320"/>
    <cellStyle name="Comma 5 4 6 8" xfId="10937"/>
    <cellStyle name="Comma 5 4 6 9" xfId="4571"/>
    <cellStyle name="Comma 5 4 7" xfId="553"/>
    <cellStyle name="Comma 5 4 7 2" xfId="2283"/>
    <cellStyle name="Comma 5 4 7 2 2" xfId="16173"/>
    <cellStyle name="Comma 5 4 7 2 3" xfId="12595"/>
    <cellStyle name="Comma 5 4 7 2 4" xfId="7304"/>
    <cellStyle name="Comma 5 4 7 3" xfId="3552"/>
    <cellStyle name="Comma 5 4 7 3 2" xfId="17197"/>
    <cellStyle name="Comma 5 4 7 3 3" xfId="13618"/>
    <cellStyle name="Comma 5 4 7 3 4" xfId="8361"/>
    <cellStyle name="Comma 5 4 7 4" xfId="6420"/>
    <cellStyle name="Comma 5 4 7 4 2" xfId="15504"/>
    <cellStyle name="Comma 5 4 7 5" xfId="9815"/>
    <cellStyle name="Comma 5 4 7 5 2" xfId="18642"/>
    <cellStyle name="Comma 5 4 7 6" xfId="11259"/>
    <cellStyle name="Comma 5 4 7 7" xfId="4898"/>
    <cellStyle name="Comma 5 4 8" xfId="911"/>
    <cellStyle name="Comma 5 4 8 2" xfId="2631"/>
    <cellStyle name="Comma 5 4 8 2 2" xfId="16509"/>
    <cellStyle name="Comma 5 4 8 2 3" xfId="12931"/>
    <cellStyle name="Comma 5 4 8 2 4" xfId="7641"/>
    <cellStyle name="Comma 5 4 8 3" xfId="3900"/>
    <cellStyle name="Comma 5 4 8 3 2" xfId="17545"/>
    <cellStyle name="Comma 5 4 8 3 3" xfId="13966"/>
    <cellStyle name="Comma 5 4 8 3 4" xfId="8709"/>
    <cellStyle name="Comma 5 4 8 4" xfId="5898"/>
    <cellStyle name="Comma 5 4 8 4 2" xfId="14984"/>
    <cellStyle name="Comma 5 4 8 5" xfId="10163"/>
    <cellStyle name="Comma 5 4 8 5 2" xfId="18990"/>
    <cellStyle name="Comma 5 4 8 6" xfId="11609"/>
    <cellStyle name="Comma 5 4 8 7" xfId="5235"/>
    <cellStyle name="Comma 5 4 9" xfId="1346"/>
    <cellStyle name="Comma 5 4 9 2" xfId="2959"/>
    <cellStyle name="Comma 5 4 9 2 2" xfId="17873"/>
    <cellStyle name="Comma 5 4 9 2 3" xfId="14294"/>
    <cellStyle name="Comma 5 4 9 2 4" xfId="9037"/>
    <cellStyle name="Comma 5 4 9 3" xfId="10491"/>
    <cellStyle name="Comma 5 4 9 3 2" xfId="19318"/>
    <cellStyle name="Comma 5 4 9 4" xfId="11937"/>
    <cellStyle name="Comma 5 4 9 5" xfId="6785"/>
    <cellStyle name="Comma 5 5" xfId="151"/>
    <cellStyle name="Comma 5 5 10" xfId="5578"/>
    <cellStyle name="Comma 5 5 10 2" xfId="14664"/>
    <cellStyle name="Comma 5 5 11" xfId="9398"/>
    <cellStyle name="Comma 5 5 11 2" xfId="18225"/>
    <cellStyle name="Comma 5 5 12" xfId="10838"/>
    <cellStyle name="Comma 5 5 13" xfId="4391"/>
    <cellStyle name="Comma 5 5 2" xfId="263"/>
    <cellStyle name="Comma 5 5 2 10" xfId="11017"/>
    <cellStyle name="Comma 5 5 2 11" xfId="4434"/>
    <cellStyle name="Comma 5 5 2 2" xfId="371"/>
    <cellStyle name="Comma 5 5 2 2 2" xfId="565"/>
    <cellStyle name="Comma 5 5 2 2 2 2" xfId="2295"/>
    <cellStyle name="Comma 5 5 2 2 2 2 2" xfId="16185"/>
    <cellStyle name="Comma 5 5 2 2 2 2 3" xfId="12607"/>
    <cellStyle name="Comma 5 5 2 2 2 2 4" xfId="7316"/>
    <cellStyle name="Comma 5 5 2 2 2 3" xfId="3564"/>
    <cellStyle name="Comma 5 5 2 2 2 3 2" xfId="17209"/>
    <cellStyle name="Comma 5 5 2 2 2 3 3" xfId="13630"/>
    <cellStyle name="Comma 5 5 2 2 2 3 4" xfId="8373"/>
    <cellStyle name="Comma 5 5 2 2 2 4" xfId="6432"/>
    <cellStyle name="Comma 5 5 2 2 2 4 2" xfId="15516"/>
    <cellStyle name="Comma 5 5 2 2 2 5" xfId="9827"/>
    <cellStyle name="Comma 5 5 2 2 2 5 2" xfId="18654"/>
    <cellStyle name="Comma 5 5 2 2 2 6" xfId="11271"/>
    <cellStyle name="Comma 5 5 2 2 2 7" xfId="4910"/>
    <cellStyle name="Comma 5 5 2 2 3" xfId="923"/>
    <cellStyle name="Comma 5 5 2 2 3 2" xfId="2643"/>
    <cellStyle name="Comma 5 5 2 2 3 2 2" xfId="16734"/>
    <cellStyle name="Comma 5 5 2 2 3 2 3" xfId="13155"/>
    <cellStyle name="Comma 5 5 2 2 3 2 4" xfId="7866"/>
    <cellStyle name="Comma 5 5 2 2 3 3" xfId="3912"/>
    <cellStyle name="Comma 5 5 2 2 3 3 2" xfId="17557"/>
    <cellStyle name="Comma 5 5 2 2 3 3 3" xfId="13978"/>
    <cellStyle name="Comma 5 5 2 2 3 3 4" xfId="8721"/>
    <cellStyle name="Comma 5 5 2 2 3 4" xfId="6273"/>
    <cellStyle name="Comma 5 5 2 2 3 4 2" xfId="15357"/>
    <cellStyle name="Comma 5 5 2 2 3 5" xfId="10175"/>
    <cellStyle name="Comma 5 5 2 2 3 5 2" xfId="19002"/>
    <cellStyle name="Comma 5 5 2 2 3 6" xfId="11621"/>
    <cellStyle name="Comma 5 5 2 2 3 7" xfId="5460"/>
    <cellStyle name="Comma 5 5 2 2 4" xfId="1586"/>
    <cellStyle name="Comma 5 5 2 2 4 2" xfId="3184"/>
    <cellStyle name="Comma 5 5 2 2 4 2 2" xfId="18098"/>
    <cellStyle name="Comma 5 5 2 2 4 2 3" xfId="14519"/>
    <cellStyle name="Comma 5 5 2 2 4 2 4" xfId="9262"/>
    <cellStyle name="Comma 5 5 2 2 4 3" xfId="10716"/>
    <cellStyle name="Comma 5 5 2 2 4 3 2" xfId="19543"/>
    <cellStyle name="Comma 5 5 2 2 4 4" xfId="12162"/>
    <cellStyle name="Comma 5 5 2 2 4 5" xfId="7157"/>
    <cellStyle name="Comma 5 5 2 2 5" xfId="2141"/>
    <cellStyle name="Comma 5 5 2 2 5 2" xfId="17055"/>
    <cellStyle name="Comma 5 5 2 2 5 3" xfId="13476"/>
    <cellStyle name="Comma 5 5 2 2 5 4" xfId="8219"/>
    <cellStyle name="Comma 5 5 2 2 6" xfId="5780"/>
    <cellStyle name="Comma 5 5 2 2 6 2" xfId="14866"/>
    <cellStyle name="Comma 5 5 2 2 7" xfId="9673"/>
    <cellStyle name="Comma 5 5 2 2 7 2" xfId="18500"/>
    <cellStyle name="Comma 5 5 2 2 8" xfId="11117"/>
    <cellStyle name="Comma 5 5 2 2 9" xfId="4751"/>
    <cellStyle name="Comma 5 5 2 3" xfId="564"/>
    <cellStyle name="Comma 5 5 2 3 2" xfId="2294"/>
    <cellStyle name="Comma 5 5 2 3 2 2" xfId="16071"/>
    <cellStyle name="Comma 5 5 2 3 2 3" xfId="12511"/>
    <cellStyle name="Comma 5 5 2 3 2 4" xfId="7057"/>
    <cellStyle name="Comma 5 5 2 3 3" xfId="3563"/>
    <cellStyle name="Comma 5 5 2 3 3 2" xfId="17208"/>
    <cellStyle name="Comma 5 5 2 3 3 3" xfId="13629"/>
    <cellStyle name="Comma 5 5 2 3 3 4" xfId="8372"/>
    <cellStyle name="Comma 5 5 2 3 4" xfId="6173"/>
    <cellStyle name="Comma 5 5 2 3 4 2" xfId="15257"/>
    <cellStyle name="Comma 5 5 2 3 5" xfId="9826"/>
    <cellStyle name="Comma 5 5 2 3 5 2" xfId="18653"/>
    <cellStyle name="Comma 5 5 2 3 6" xfId="11270"/>
    <cellStyle name="Comma 5 5 2 3 7" xfId="4651"/>
    <cellStyle name="Comma 5 5 2 4" xfId="922"/>
    <cellStyle name="Comma 5 5 2 4 2" xfId="2642"/>
    <cellStyle name="Comma 5 5 2 4 2 2" xfId="16184"/>
    <cellStyle name="Comma 5 5 2 4 2 3" xfId="12606"/>
    <cellStyle name="Comma 5 5 2 4 2 4" xfId="7315"/>
    <cellStyle name="Comma 5 5 2 4 3" xfId="3911"/>
    <cellStyle name="Comma 5 5 2 4 3 2" xfId="17556"/>
    <cellStyle name="Comma 5 5 2 4 3 3" xfId="13977"/>
    <cellStyle name="Comma 5 5 2 4 3 4" xfId="8720"/>
    <cellStyle name="Comma 5 5 2 4 4" xfId="6431"/>
    <cellStyle name="Comma 5 5 2 4 4 2" xfId="15515"/>
    <cellStyle name="Comma 5 5 2 4 5" xfId="10174"/>
    <cellStyle name="Comma 5 5 2 4 5 2" xfId="19001"/>
    <cellStyle name="Comma 5 5 2 4 6" xfId="11620"/>
    <cellStyle name="Comma 5 5 2 4 7" xfId="4909"/>
    <cellStyle name="Comma 5 5 2 5" xfId="1484"/>
    <cellStyle name="Comma 5 5 2 5 2" xfId="3084"/>
    <cellStyle name="Comma 5 5 2 5 2 2" xfId="16634"/>
    <cellStyle name="Comma 5 5 2 5 2 3" xfId="13055"/>
    <cellStyle name="Comma 5 5 2 5 2 4" xfId="7766"/>
    <cellStyle name="Comma 5 5 2 5 3" xfId="4293"/>
    <cellStyle name="Comma 5 5 2 5 3 2" xfId="17998"/>
    <cellStyle name="Comma 5 5 2 5 3 3" xfId="14419"/>
    <cellStyle name="Comma 5 5 2 5 3 4" xfId="9162"/>
    <cellStyle name="Comma 5 5 2 5 4" xfId="5954"/>
    <cellStyle name="Comma 5 5 2 5 4 2" xfId="15040"/>
    <cellStyle name="Comma 5 5 2 5 5" xfId="10616"/>
    <cellStyle name="Comma 5 5 2 5 5 2" xfId="19443"/>
    <cellStyle name="Comma 5 5 2 5 6" xfId="12062"/>
    <cellStyle name="Comma 5 5 2 5 7" xfId="5360"/>
    <cellStyle name="Comma 5 5 2 6" xfId="2041"/>
    <cellStyle name="Comma 5 5 2 6 2" xfId="15883"/>
    <cellStyle name="Comma 5 5 2 6 3" xfId="12375"/>
    <cellStyle name="Comma 5 5 2 6 4" xfId="6840"/>
    <cellStyle name="Comma 5 5 2 7" xfId="3455"/>
    <cellStyle name="Comma 5 5 2 7 2" xfId="16955"/>
    <cellStyle name="Comma 5 5 2 7 3" xfId="13376"/>
    <cellStyle name="Comma 5 5 2 7 4" xfId="8119"/>
    <cellStyle name="Comma 5 5 2 8" xfId="5680"/>
    <cellStyle name="Comma 5 5 2 8 2" xfId="14766"/>
    <cellStyle name="Comma 5 5 2 9" xfId="9573"/>
    <cellStyle name="Comma 5 5 2 9 2" xfId="18400"/>
    <cellStyle name="Comma 5 5 3" xfId="220"/>
    <cellStyle name="Comma 5 5 3 10" xfId="10974"/>
    <cellStyle name="Comma 5 5 3 11" xfId="4496"/>
    <cellStyle name="Comma 5 5 3 2" xfId="434"/>
    <cellStyle name="Comma 5 5 3 2 2" xfId="567"/>
    <cellStyle name="Comma 5 5 3 2 2 2" xfId="2297"/>
    <cellStyle name="Comma 5 5 3 2 2 2 2" xfId="16187"/>
    <cellStyle name="Comma 5 5 3 2 2 2 3" xfId="12609"/>
    <cellStyle name="Comma 5 5 3 2 2 2 4" xfId="7318"/>
    <cellStyle name="Comma 5 5 3 2 2 3" xfId="3566"/>
    <cellStyle name="Comma 5 5 3 2 2 3 2" xfId="17211"/>
    <cellStyle name="Comma 5 5 3 2 2 3 3" xfId="13632"/>
    <cellStyle name="Comma 5 5 3 2 2 3 4" xfId="8375"/>
    <cellStyle name="Comma 5 5 3 2 2 4" xfId="6434"/>
    <cellStyle name="Comma 5 5 3 2 2 4 2" xfId="15518"/>
    <cellStyle name="Comma 5 5 3 2 2 5" xfId="9829"/>
    <cellStyle name="Comma 5 5 3 2 2 5 2" xfId="18656"/>
    <cellStyle name="Comma 5 5 3 2 2 6" xfId="11273"/>
    <cellStyle name="Comma 5 5 3 2 2 7" xfId="4912"/>
    <cellStyle name="Comma 5 5 3 2 3" xfId="925"/>
    <cellStyle name="Comma 5 5 3 2 3 2" xfId="2645"/>
    <cellStyle name="Comma 5 5 3 2 3 2 2" xfId="16796"/>
    <cellStyle name="Comma 5 5 3 2 3 2 3" xfId="13217"/>
    <cellStyle name="Comma 5 5 3 2 3 2 4" xfId="7928"/>
    <cellStyle name="Comma 5 5 3 2 3 3" xfId="3914"/>
    <cellStyle name="Comma 5 5 3 2 3 3 2" xfId="17559"/>
    <cellStyle name="Comma 5 5 3 2 3 3 3" xfId="13980"/>
    <cellStyle name="Comma 5 5 3 2 3 3 4" xfId="8723"/>
    <cellStyle name="Comma 5 5 3 2 3 4" xfId="6335"/>
    <cellStyle name="Comma 5 5 3 2 3 4 2" xfId="15419"/>
    <cellStyle name="Comma 5 5 3 2 3 5" xfId="10177"/>
    <cellStyle name="Comma 5 5 3 2 3 5 2" xfId="19004"/>
    <cellStyle name="Comma 5 5 3 2 3 6" xfId="11623"/>
    <cellStyle name="Comma 5 5 3 2 3 7" xfId="5522"/>
    <cellStyle name="Comma 5 5 3 2 4" xfId="1650"/>
    <cellStyle name="Comma 5 5 3 2 4 2" xfId="3246"/>
    <cellStyle name="Comma 5 5 3 2 4 2 2" xfId="18160"/>
    <cellStyle name="Comma 5 5 3 2 4 2 3" xfId="14581"/>
    <cellStyle name="Comma 5 5 3 2 4 2 4" xfId="9324"/>
    <cellStyle name="Comma 5 5 3 2 4 3" xfId="10778"/>
    <cellStyle name="Comma 5 5 3 2 4 3 2" xfId="19605"/>
    <cellStyle name="Comma 5 5 3 2 4 4" xfId="12224"/>
    <cellStyle name="Comma 5 5 3 2 4 5" xfId="7219"/>
    <cellStyle name="Comma 5 5 3 2 5" xfId="2203"/>
    <cellStyle name="Comma 5 5 3 2 5 2" xfId="17117"/>
    <cellStyle name="Comma 5 5 3 2 5 3" xfId="13538"/>
    <cellStyle name="Comma 5 5 3 2 5 4" xfId="8281"/>
    <cellStyle name="Comma 5 5 3 2 6" xfId="5842"/>
    <cellStyle name="Comma 5 5 3 2 6 2" xfId="14928"/>
    <cellStyle name="Comma 5 5 3 2 7" xfId="9735"/>
    <cellStyle name="Comma 5 5 3 2 7 2" xfId="18562"/>
    <cellStyle name="Comma 5 5 3 2 8" xfId="11179"/>
    <cellStyle name="Comma 5 5 3 2 9" xfId="4813"/>
    <cellStyle name="Comma 5 5 3 3" xfId="566"/>
    <cellStyle name="Comma 5 5 3 3 2" xfId="2296"/>
    <cellStyle name="Comma 5 5 3 3 2 2" xfId="16028"/>
    <cellStyle name="Comma 5 5 3 3 2 3" xfId="12341"/>
    <cellStyle name="Comma 5 5 3 3 2 4" xfId="7014"/>
    <cellStyle name="Comma 5 5 3 3 3" xfId="3565"/>
    <cellStyle name="Comma 5 5 3 3 3 2" xfId="17210"/>
    <cellStyle name="Comma 5 5 3 3 3 3" xfId="13631"/>
    <cellStyle name="Comma 5 5 3 3 3 4" xfId="8374"/>
    <cellStyle name="Comma 5 5 3 3 4" xfId="6130"/>
    <cellStyle name="Comma 5 5 3 3 4 2" xfId="15214"/>
    <cellStyle name="Comma 5 5 3 3 5" xfId="9828"/>
    <cellStyle name="Comma 5 5 3 3 5 2" xfId="18655"/>
    <cellStyle name="Comma 5 5 3 3 6" xfId="11272"/>
    <cellStyle name="Comma 5 5 3 3 7" xfId="4608"/>
    <cellStyle name="Comma 5 5 3 4" xfId="924"/>
    <cellStyle name="Comma 5 5 3 4 2" xfId="2644"/>
    <cellStyle name="Comma 5 5 3 4 2 2" xfId="16186"/>
    <cellStyle name="Comma 5 5 3 4 2 3" xfId="12608"/>
    <cellStyle name="Comma 5 5 3 4 2 4" xfId="7317"/>
    <cellStyle name="Comma 5 5 3 4 3" xfId="3913"/>
    <cellStyle name="Comma 5 5 3 4 3 2" xfId="17558"/>
    <cellStyle name="Comma 5 5 3 4 3 3" xfId="13979"/>
    <cellStyle name="Comma 5 5 3 4 3 4" xfId="8722"/>
    <cellStyle name="Comma 5 5 3 4 4" xfId="6433"/>
    <cellStyle name="Comma 5 5 3 4 4 2" xfId="15517"/>
    <cellStyle name="Comma 5 5 3 4 5" xfId="10176"/>
    <cellStyle name="Comma 5 5 3 4 5 2" xfId="19003"/>
    <cellStyle name="Comma 5 5 3 4 6" xfId="11622"/>
    <cellStyle name="Comma 5 5 3 4 7" xfId="4911"/>
    <cellStyle name="Comma 5 5 3 5" xfId="1439"/>
    <cellStyle name="Comma 5 5 3 5 2" xfId="3041"/>
    <cellStyle name="Comma 5 5 3 5 2 2" xfId="16591"/>
    <cellStyle name="Comma 5 5 3 5 2 3" xfId="13012"/>
    <cellStyle name="Comma 5 5 3 5 2 4" xfId="7723"/>
    <cellStyle name="Comma 5 5 3 5 3" xfId="4250"/>
    <cellStyle name="Comma 5 5 3 5 3 2" xfId="17955"/>
    <cellStyle name="Comma 5 5 3 5 3 3" xfId="14376"/>
    <cellStyle name="Comma 5 5 3 5 3 4" xfId="9119"/>
    <cellStyle name="Comma 5 5 3 5 4" xfId="6016"/>
    <cellStyle name="Comma 5 5 3 5 4 2" xfId="15102"/>
    <cellStyle name="Comma 5 5 3 5 5" xfId="10573"/>
    <cellStyle name="Comma 5 5 3 5 5 2" xfId="19400"/>
    <cellStyle name="Comma 5 5 3 5 6" xfId="12019"/>
    <cellStyle name="Comma 5 5 3 5 7" xfId="5317"/>
    <cellStyle name="Comma 5 5 3 6" xfId="1998"/>
    <cellStyle name="Comma 5 5 3 6 2" xfId="15945"/>
    <cellStyle name="Comma 5 5 3 6 3" xfId="12362"/>
    <cellStyle name="Comma 5 5 3 6 4" xfId="6902"/>
    <cellStyle name="Comma 5 5 3 7" xfId="3413"/>
    <cellStyle name="Comma 5 5 3 7 2" xfId="16912"/>
    <cellStyle name="Comma 5 5 3 7 3" xfId="13333"/>
    <cellStyle name="Comma 5 5 3 7 4" xfId="8076"/>
    <cellStyle name="Comma 5 5 3 8" xfId="5637"/>
    <cellStyle name="Comma 5 5 3 8 2" xfId="14723"/>
    <cellStyle name="Comma 5 5 3 9" xfId="9530"/>
    <cellStyle name="Comma 5 5 3 9 2" xfId="18357"/>
    <cellStyle name="Comma 5 5 4" xfId="328"/>
    <cellStyle name="Comma 5 5 4 2" xfId="568"/>
    <cellStyle name="Comma 5 5 4 2 2" xfId="2298"/>
    <cellStyle name="Comma 5 5 4 2 2 2" xfId="16188"/>
    <cellStyle name="Comma 5 5 4 2 2 3" xfId="12610"/>
    <cellStyle name="Comma 5 5 4 2 2 4" xfId="7319"/>
    <cellStyle name="Comma 5 5 4 2 3" xfId="3567"/>
    <cellStyle name="Comma 5 5 4 2 3 2" xfId="17212"/>
    <cellStyle name="Comma 5 5 4 2 3 3" xfId="13633"/>
    <cellStyle name="Comma 5 5 4 2 3 4" xfId="8376"/>
    <cellStyle name="Comma 5 5 4 2 4" xfId="6435"/>
    <cellStyle name="Comma 5 5 4 2 4 2" xfId="15519"/>
    <cellStyle name="Comma 5 5 4 2 5" xfId="9830"/>
    <cellStyle name="Comma 5 5 4 2 5 2" xfId="18657"/>
    <cellStyle name="Comma 5 5 4 2 6" xfId="11274"/>
    <cellStyle name="Comma 5 5 4 2 7" xfId="4913"/>
    <cellStyle name="Comma 5 5 4 3" xfId="926"/>
    <cellStyle name="Comma 5 5 4 3 2" xfId="2646"/>
    <cellStyle name="Comma 5 5 4 3 2 2" xfId="16691"/>
    <cellStyle name="Comma 5 5 4 3 2 3" xfId="13112"/>
    <cellStyle name="Comma 5 5 4 3 2 4" xfId="7823"/>
    <cellStyle name="Comma 5 5 4 3 3" xfId="3915"/>
    <cellStyle name="Comma 5 5 4 3 3 2" xfId="17560"/>
    <cellStyle name="Comma 5 5 4 3 3 3" xfId="13981"/>
    <cellStyle name="Comma 5 5 4 3 3 4" xfId="8724"/>
    <cellStyle name="Comma 5 5 4 3 4" xfId="6230"/>
    <cellStyle name="Comma 5 5 4 3 4 2" xfId="15314"/>
    <cellStyle name="Comma 5 5 4 3 5" xfId="10178"/>
    <cellStyle name="Comma 5 5 4 3 5 2" xfId="19005"/>
    <cellStyle name="Comma 5 5 4 3 6" xfId="11624"/>
    <cellStyle name="Comma 5 5 4 3 7" xfId="5417"/>
    <cellStyle name="Comma 5 5 4 4" xfId="1542"/>
    <cellStyle name="Comma 5 5 4 4 2" xfId="3141"/>
    <cellStyle name="Comma 5 5 4 4 2 2" xfId="18055"/>
    <cellStyle name="Comma 5 5 4 4 2 3" xfId="14476"/>
    <cellStyle name="Comma 5 5 4 4 2 4" xfId="9219"/>
    <cellStyle name="Comma 5 5 4 4 3" xfId="10673"/>
    <cellStyle name="Comma 5 5 4 4 3 2" xfId="19500"/>
    <cellStyle name="Comma 5 5 4 4 4" xfId="12119"/>
    <cellStyle name="Comma 5 5 4 4 5" xfId="7114"/>
    <cellStyle name="Comma 5 5 4 5" xfId="2098"/>
    <cellStyle name="Comma 5 5 4 5 2" xfId="17012"/>
    <cellStyle name="Comma 5 5 4 5 3" xfId="13433"/>
    <cellStyle name="Comma 5 5 4 5 4" xfId="8176"/>
    <cellStyle name="Comma 5 5 4 6" xfId="5737"/>
    <cellStyle name="Comma 5 5 4 6 2" xfId="14823"/>
    <cellStyle name="Comma 5 5 4 7" xfId="9630"/>
    <cellStyle name="Comma 5 5 4 7 2" xfId="18457"/>
    <cellStyle name="Comma 5 5 4 8" xfId="11074"/>
    <cellStyle name="Comma 5 5 4 9" xfId="4708"/>
    <cellStyle name="Comma 5 5 5" xfId="563"/>
    <cellStyle name="Comma 5 5 5 2" xfId="2293"/>
    <cellStyle name="Comma 5 5 5 2 2" xfId="15985"/>
    <cellStyle name="Comma 5 5 5 2 3" xfId="12414"/>
    <cellStyle name="Comma 5 5 5 2 4" xfId="6955"/>
    <cellStyle name="Comma 5 5 5 3" xfId="3562"/>
    <cellStyle name="Comma 5 5 5 3 2" xfId="17207"/>
    <cellStyle name="Comma 5 5 5 3 3" xfId="13628"/>
    <cellStyle name="Comma 5 5 5 3 4" xfId="8371"/>
    <cellStyle name="Comma 5 5 5 4" xfId="6071"/>
    <cellStyle name="Comma 5 5 5 4 2" xfId="15155"/>
    <cellStyle name="Comma 5 5 5 5" xfId="9825"/>
    <cellStyle name="Comma 5 5 5 5 2" xfId="18652"/>
    <cellStyle name="Comma 5 5 5 6" xfId="11269"/>
    <cellStyle name="Comma 5 5 5 7" xfId="4549"/>
    <cellStyle name="Comma 5 5 6" xfId="921"/>
    <cellStyle name="Comma 5 5 6 2" xfId="2641"/>
    <cellStyle name="Comma 5 5 6 2 2" xfId="16183"/>
    <cellStyle name="Comma 5 5 6 2 3" xfId="12605"/>
    <cellStyle name="Comma 5 5 6 2 4" xfId="7314"/>
    <cellStyle name="Comma 5 5 6 3" xfId="3910"/>
    <cellStyle name="Comma 5 5 6 3 2" xfId="17555"/>
    <cellStyle name="Comma 5 5 6 3 3" xfId="13976"/>
    <cellStyle name="Comma 5 5 6 3 4" xfId="8719"/>
    <cellStyle name="Comma 5 5 6 4" xfId="6430"/>
    <cellStyle name="Comma 5 5 6 4 2" xfId="15514"/>
    <cellStyle name="Comma 5 5 6 5" xfId="10173"/>
    <cellStyle name="Comma 5 5 6 5 2" xfId="19000"/>
    <cellStyle name="Comma 5 5 6 6" xfId="11619"/>
    <cellStyle name="Comma 5 5 6 7" xfId="4908"/>
    <cellStyle name="Comma 5 5 7" xfId="1371"/>
    <cellStyle name="Comma 5 5 7 2" xfId="2982"/>
    <cellStyle name="Comma 5 5 7 2 2" xfId="16532"/>
    <cellStyle name="Comma 5 5 7 2 3" xfId="12954"/>
    <cellStyle name="Comma 5 5 7 2 4" xfId="7664"/>
    <cellStyle name="Comma 5 5 7 3" xfId="4208"/>
    <cellStyle name="Comma 5 5 7 3 2" xfId="17896"/>
    <cellStyle name="Comma 5 5 7 3 3" xfId="14317"/>
    <cellStyle name="Comma 5 5 7 3 4" xfId="9060"/>
    <cellStyle name="Comma 5 5 7 4" xfId="5910"/>
    <cellStyle name="Comma 5 5 7 4 2" xfId="14996"/>
    <cellStyle name="Comma 5 5 7 5" xfId="10514"/>
    <cellStyle name="Comma 5 5 7 5 2" xfId="19341"/>
    <cellStyle name="Comma 5 5 7 6" xfId="11960"/>
    <cellStyle name="Comma 5 5 7 7" xfId="5258"/>
    <cellStyle name="Comma 5 5 8" xfId="1939"/>
    <cellStyle name="Comma 5 5 8 2" xfId="9471"/>
    <cellStyle name="Comma 5 5 8 2 2" xfId="18298"/>
    <cellStyle name="Comma 5 5 8 3" xfId="10915"/>
    <cellStyle name="Comma 5 5 8 4" xfId="6797"/>
    <cellStyle name="Comma 5 5 9" xfId="1863"/>
    <cellStyle name="Comma 5 5 9 2" xfId="16851"/>
    <cellStyle name="Comma 5 5 9 3" xfId="13272"/>
    <cellStyle name="Comma 5 5 9 4" xfId="8015"/>
    <cellStyle name="Comma 5 6" xfId="246"/>
    <cellStyle name="Comma 5 6 10" xfId="11000"/>
    <cellStyle name="Comma 5 6 11" xfId="4417"/>
    <cellStyle name="Comma 5 6 2" xfId="354"/>
    <cellStyle name="Comma 5 6 2 2" xfId="570"/>
    <cellStyle name="Comma 5 6 2 2 2" xfId="2300"/>
    <cellStyle name="Comma 5 6 2 2 2 2" xfId="16190"/>
    <cellStyle name="Comma 5 6 2 2 2 3" xfId="12612"/>
    <cellStyle name="Comma 5 6 2 2 2 4" xfId="7321"/>
    <cellStyle name="Comma 5 6 2 2 3" xfId="3569"/>
    <cellStyle name="Comma 5 6 2 2 3 2" xfId="17214"/>
    <cellStyle name="Comma 5 6 2 2 3 3" xfId="13635"/>
    <cellStyle name="Comma 5 6 2 2 3 4" xfId="8378"/>
    <cellStyle name="Comma 5 6 2 2 4" xfId="6437"/>
    <cellStyle name="Comma 5 6 2 2 4 2" xfId="15521"/>
    <cellStyle name="Comma 5 6 2 2 5" xfId="9832"/>
    <cellStyle name="Comma 5 6 2 2 5 2" xfId="18659"/>
    <cellStyle name="Comma 5 6 2 2 6" xfId="11276"/>
    <cellStyle name="Comma 5 6 2 2 7" xfId="4915"/>
    <cellStyle name="Comma 5 6 2 3" xfId="928"/>
    <cellStyle name="Comma 5 6 2 3 2" xfId="2648"/>
    <cellStyle name="Comma 5 6 2 3 2 2" xfId="16717"/>
    <cellStyle name="Comma 5 6 2 3 2 3" xfId="13138"/>
    <cellStyle name="Comma 5 6 2 3 2 4" xfId="7849"/>
    <cellStyle name="Comma 5 6 2 3 3" xfId="3917"/>
    <cellStyle name="Comma 5 6 2 3 3 2" xfId="17562"/>
    <cellStyle name="Comma 5 6 2 3 3 3" xfId="13983"/>
    <cellStyle name="Comma 5 6 2 3 3 4" xfId="8726"/>
    <cellStyle name="Comma 5 6 2 3 4" xfId="6256"/>
    <cellStyle name="Comma 5 6 2 3 4 2" xfId="15340"/>
    <cellStyle name="Comma 5 6 2 3 5" xfId="10180"/>
    <cellStyle name="Comma 5 6 2 3 5 2" xfId="19007"/>
    <cellStyle name="Comma 5 6 2 3 6" xfId="11626"/>
    <cellStyle name="Comma 5 6 2 3 7" xfId="5443"/>
    <cellStyle name="Comma 5 6 2 4" xfId="1569"/>
    <cellStyle name="Comma 5 6 2 4 2" xfId="3167"/>
    <cellStyle name="Comma 5 6 2 4 2 2" xfId="18081"/>
    <cellStyle name="Comma 5 6 2 4 2 3" xfId="14502"/>
    <cellStyle name="Comma 5 6 2 4 2 4" xfId="9245"/>
    <cellStyle name="Comma 5 6 2 4 3" xfId="10699"/>
    <cellStyle name="Comma 5 6 2 4 3 2" xfId="19526"/>
    <cellStyle name="Comma 5 6 2 4 4" xfId="12145"/>
    <cellStyle name="Comma 5 6 2 4 5" xfId="7140"/>
    <cellStyle name="Comma 5 6 2 5" xfId="2124"/>
    <cellStyle name="Comma 5 6 2 5 2" xfId="17038"/>
    <cellStyle name="Comma 5 6 2 5 3" xfId="13459"/>
    <cellStyle name="Comma 5 6 2 5 4" xfId="8202"/>
    <cellStyle name="Comma 5 6 2 6" xfId="5763"/>
    <cellStyle name="Comma 5 6 2 6 2" xfId="14849"/>
    <cellStyle name="Comma 5 6 2 7" xfId="9656"/>
    <cellStyle name="Comma 5 6 2 7 2" xfId="18483"/>
    <cellStyle name="Comma 5 6 2 8" xfId="11100"/>
    <cellStyle name="Comma 5 6 2 9" xfId="4734"/>
    <cellStyle name="Comma 5 6 3" xfId="569"/>
    <cellStyle name="Comma 5 6 3 2" xfId="2299"/>
    <cellStyle name="Comma 5 6 3 2 2" xfId="16054"/>
    <cellStyle name="Comma 5 6 3 2 3" xfId="12261"/>
    <cellStyle name="Comma 5 6 3 2 4" xfId="7040"/>
    <cellStyle name="Comma 5 6 3 3" xfId="3568"/>
    <cellStyle name="Comma 5 6 3 3 2" xfId="17213"/>
    <cellStyle name="Comma 5 6 3 3 3" xfId="13634"/>
    <cellStyle name="Comma 5 6 3 3 4" xfId="8377"/>
    <cellStyle name="Comma 5 6 3 4" xfId="6156"/>
    <cellStyle name="Comma 5 6 3 4 2" xfId="15240"/>
    <cellStyle name="Comma 5 6 3 5" xfId="9831"/>
    <cellStyle name="Comma 5 6 3 5 2" xfId="18658"/>
    <cellStyle name="Comma 5 6 3 6" xfId="11275"/>
    <cellStyle name="Comma 5 6 3 7" xfId="4634"/>
    <cellStyle name="Comma 5 6 4" xfId="927"/>
    <cellStyle name="Comma 5 6 4 2" xfId="2647"/>
    <cellStyle name="Comma 5 6 4 2 2" xfId="16189"/>
    <cellStyle name="Comma 5 6 4 2 3" xfId="12611"/>
    <cellStyle name="Comma 5 6 4 2 4" xfId="7320"/>
    <cellStyle name="Comma 5 6 4 3" xfId="3916"/>
    <cellStyle name="Comma 5 6 4 3 2" xfId="17561"/>
    <cellStyle name="Comma 5 6 4 3 3" xfId="13982"/>
    <cellStyle name="Comma 5 6 4 3 4" xfId="8725"/>
    <cellStyle name="Comma 5 6 4 4" xfId="6436"/>
    <cellStyle name="Comma 5 6 4 4 2" xfId="15520"/>
    <cellStyle name="Comma 5 6 4 5" xfId="10179"/>
    <cellStyle name="Comma 5 6 4 5 2" xfId="19006"/>
    <cellStyle name="Comma 5 6 4 6" xfId="11625"/>
    <cellStyle name="Comma 5 6 4 7" xfId="4914"/>
    <cellStyle name="Comma 5 6 5" xfId="1467"/>
    <cellStyle name="Comma 5 6 5 2" xfId="3067"/>
    <cellStyle name="Comma 5 6 5 2 2" xfId="16617"/>
    <cellStyle name="Comma 5 6 5 2 3" xfId="13038"/>
    <cellStyle name="Comma 5 6 5 2 4" xfId="7749"/>
    <cellStyle name="Comma 5 6 5 3" xfId="4276"/>
    <cellStyle name="Comma 5 6 5 3 2" xfId="17981"/>
    <cellStyle name="Comma 5 6 5 3 3" xfId="14402"/>
    <cellStyle name="Comma 5 6 5 3 4" xfId="9145"/>
    <cellStyle name="Comma 5 6 5 4" xfId="5937"/>
    <cellStyle name="Comma 5 6 5 4 2" xfId="15023"/>
    <cellStyle name="Comma 5 6 5 5" xfId="10599"/>
    <cellStyle name="Comma 5 6 5 5 2" xfId="19426"/>
    <cellStyle name="Comma 5 6 5 6" xfId="12045"/>
    <cellStyle name="Comma 5 6 5 7" xfId="5343"/>
    <cellStyle name="Comma 5 6 6" xfId="2024"/>
    <cellStyle name="Comma 5 6 6 2" xfId="15866"/>
    <cellStyle name="Comma 5 6 6 3" xfId="12440"/>
    <cellStyle name="Comma 5 6 6 4" xfId="6823"/>
    <cellStyle name="Comma 5 6 7" xfId="3438"/>
    <cellStyle name="Comma 5 6 7 2" xfId="16938"/>
    <cellStyle name="Comma 5 6 7 3" xfId="13359"/>
    <cellStyle name="Comma 5 6 7 4" xfId="8102"/>
    <cellStyle name="Comma 5 6 8" xfId="5663"/>
    <cellStyle name="Comma 5 6 8 2" xfId="14749"/>
    <cellStyle name="Comma 5 6 9" xfId="9556"/>
    <cellStyle name="Comma 5 6 9 2" xfId="18383"/>
    <cellStyle name="Comma 5 7" xfId="186"/>
    <cellStyle name="Comma 5 7 10" xfId="10943"/>
    <cellStyle name="Comma 5 7 11" xfId="4465"/>
    <cellStyle name="Comma 5 7 2" xfId="403"/>
    <cellStyle name="Comma 5 7 2 2" xfId="572"/>
    <cellStyle name="Comma 5 7 2 2 2" xfId="2302"/>
    <cellStyle name="Comma 5 7 2 2 2 2" xfId="16192"/>
    <cellStyle name="Comma 5 7 2 2 2 3" xfId="12614"/>
    <cellStyle name="Comma 5 7 2 2 2 4" xfId="7323"/>
    <cellStyle name="Comma 5 7 2 2 3" xfId="3571"/>
    <cellStyle name="Comma 5 7 2 2 3 2" xfId="17216"/>
    <cellStyle name="Comma 5 7 2 2 3 3" xfId="13637"/>
    <cellStyle name="Comma 5 7 2 2 3 4" xfId="8380"/>
    <cellStyle name="Comma 5 7 2 2 4" xfId="6439"/>
    <cellStyle name="Comma 5 7 2 2 4 2" xfId="15523"/>
    <cellStyle name="Comma 5 7 2 2 5" xfId="9834"/>
    <cellStyle name="Comma 5 7 2 2 5 2" xfId="18661"/>
    <cellStyle name="Comma 5 7 2 2 6" xfId="11278"/>
    <cellStyle name="Comma 5 7 2 2 7" xfId="4917"/>
    <cellStyle name="Comma 5 7 2 3" xfId="930"/>
    <cellStyle name="Comma 5 7 2 3 2" xfId="2650"/>
    <cellStyle name="Comma 5 7 2 3 2 2" xfId="16765"/>
    <cellStyle name="Comma 5 7 2 3 2 3" xfId="13186"/>
    <cellStyle name="Comma 5 7 2 3 2 4" xfId="7897"/>
    <cellStyle name="Comma 5 7 2 3 3" xfId="3919"/>
    <cellStyle name="Comma 5 7 2 3 3 2" xfId="17564"/>
    <cellStyle name="Comma 5 7 2 3 3 3" xfId="13985"/>
    <cellStyle name="Comma 5 7 2 3 3 4" xfId="8728"/>
    <cellStyle name="Comma 5 7 2 3 4" xfId="6304"/>
    <cellStyle name="Comma 5 7 2 3 4 2" xfId="15388"/>
    <cellStyle name="Comma 5 7 2 3 5" xfId="10182"/>
    <cellStyle name="Comma 5 7 2 3 5 2" xfId="19009"/>
    <cellStyle name="Comma 5 7 2 3 6" xfId="11628"/>
    <cellStyle name="Comma 5 7 2 3 7" xfId="5491"/>
    <cellStyle name="Comma 5 7 2 4" xfId="1619"/>
    <cellStyle name="Comma 5 7 2 4 2" xfId="3215"/>
    <cellStyle name="Comma 5 7 2 4 2 2" xfId="18129"/>
    <cellStyle name="Comma 5 7 2 4 2 3" xfId="14550"/>
    <cellStyle name="Comma 5 7 2 4 2 4" xfId="9293"/>
    <cellStyle name="Comma 5 7 2 4 3" xfId="10747"/>
    <cellStyle name="Comma 5 7 2 4 3 2" xfId="19574"/>
    <cellStyle name="Comma 5 7 2 4 4" xfId="12193"/>
    <cellStyle name="Comma 5 7 2 4 5" xfId="7188"/>
    <cellStyle name="Comma 5 7 2 5" xfId="2172"/>
    <cellStyle name="Comma 5 7 2 5 2" xfId="17086"/>
    <cellStyle name="Comma 5 7 2 5 3" xfId="13507"/>
    <cellStyle name="Comma 5 7 2 5 4" xfId="8250"/>
    <cellStyle name="Comma 5 7 2 6" xfId="5811"/>
    <cellStyle name="Comma 5 7 2 6 2" xfId="14897"/>
    <cellStyle name="Comma 5 7 2 7" xfId="9704"/>
    <cellStyle name="Comma 5 7 2 7 2" xfId="18531"/>
    <cellStyle name="Comma 5 7 2 8" xfId="11148"/>
    <cellStyle name="Comma 5 7 2 9" xfId="4782"/>
    <cellStyle name="Comma 5 7 3" xfId="571"/>
    <cellStyle name="Comma 5 7 3 2" xfId="2301"/>
    <cellStyle name="Comma 5 7 3 2 2" xfId="15997"/>
    <cellStyle name="Comma 5 7 3 2 3" xfId="12410"/>
    <cellStyle name="Comma 5 7 3 2 4" xfId="6983"/>
    <cellStyle name="Comma 5 7 3 3" xfId="3570"/>
    <cellStyle name="Comma 5 7 3 3 2" xfId="17215"/>
    <cellStyle name="Comma 5 7 3 3 3" xfId="13636"/>
    <cellStyle name="Comma 5 7 3 3 4" xfId="8379"/>
    <cellStyle name="Comma 5 7 3 4" xfId="6099"/>
    <cellStyle name="Comma 5 7 3 4 2" xfId="15183"/>
    <cellStyle name="Comma 5 7 3 5" xfId="9833"/>
    <cellStyle name="Comma 5 7 3 5 2" xfId="18660"/>
    <cellStyle name="Comma 5 7 3 6" xfId="11277"/>
    <cellStyle name="Comma 5 7 3 7" xfId="4577"/>
    <cellStyle name="Comma 5 7 4" xfId="929"/>
    <cellStyle name="Comma 5 7 4 2" xfId="2649"/>
    <cellStyle name="Comma 5 7 4 2 2" xfId="16191"/>
    <cellStyle name="Comma 5 7 4 2 3" xfId="12613"/>
    <cellStyle name="Comma 5 7 4 2 4" xfId="7322"/>
    <cellStyle name="Comma 5 7 4 3" xfId="3918"/>
    <cellStyle name="Comma 5 7 4 3 2" xfId="17563"/>
    <cellStyle name="Comma 5 7 4 3 3" xfId="13984"/>
    <cellStyle name="Comma 5 7 4 3 4" xfId="8727"/>
    <cellStyle name="Comma 5 7 4 4" xfId="6438"/>
    <cellStyle name="Comma 5 7 4 4 2" xfId="15522"/>
    <cellStyle name="Comma 5 7 4 5" xfId="10181"/>
    <cellStyle name="Comma 5 7 4 5 2" xfId="19008"/>
    <cellStyle name="Comma 5 7 4 6" xfId="11627"/>
    <cellStyle name="Comma 5 7 4 7" xfId="4916"/>
    <cellStyle name="Comma 5 7 5" xfId="1405"/>
    <cellStyle name="Comma 5 7 5 2" xfId="3010"/>
    <cellStyle name="Comma 5 7 5 2 2" xfId="16560"/>
    <cellStyle name="Comma 5 7 5 2 3" xfId="12981"/>
    <cellStyle name="Comma 5 7 5 2 4" xfId="7692"/>
    <cellStyle name="Comma 5 7 5 3" xfId="4219"/>
    <cellStyle name="Comma 5 7 5 3 2" xfId="17924"/>
    <cellStyle name="Comma 5 7 5 3 3" xfId="14345"/>
    <cellStyle name="Comma 5 7 5 3 4" xfId="9088"/>
    <cellStyle name="Comma 5 7 5 4" xfId="5985"/>
    <cellStyle name="Comma 5 7 5 4 2" xfId="15071"/>
    <cellStyle name="Comma 5 7 5 5" xfId="10542"/>
    <cellStyle name="Comma 5 7 5 5 2" xfId="19369"/>
    <cellStyle name="Comma 5 7 5 6" xfId="11988"/>
    <cellStyle name="Comma 5 7 5 7" xfId="5286"/>
    <cellStyle name="Comma 5 7 6" xfId="1967"/>
    <cellStyle name="Comma 5 7 6 2" xfId="15914"/>
    <cellStyle name="Comma 5 7 6 3" xfId="12370"/>
    <cellStyle name="Comma 5 7 6 4" xfId="6871"/>
    <cellStyle name="Comma 5 7 7" xfId="3382"/>
    <cellStyle name="Comma 5 7 7 2" xfId="16881"/>
    <cellStyle name="Comma 5 7 7 3" xfId="13302"/>
    <cellStyle name="Comma 5 7 7 4" xfId="8045"/>
    <cellStyle name="Comma 5 7 8" xfId="5606"/>
    <cellStyle name="Comma 5 7 8 2" xfId="14692"/>
    <cellStyle name="Comma 5 7 9" xfId="9499"/>
    <cellStyle name="Comma 5 7 9 2" xfId="18326"/>
    <cellStyle name="Comma 5 8" xfId="459"/>
    <cellStyle name="Comma 5 8 10" xfId="4521"/>
    <cellStyle name="Comma 5 8 2" xfId="573"/>
    <cellStyle name="Comma 5 8 2 2" xfId="2303"/>
    <cellStyle name="Comma 5 8 2 2 2" xfId="16113"/>
    <cellStyle name="Comma 5 8 2 2 3" xfId="12535"/>
    <cellStyle name="Comma 5 8 2 2 4" xfId="7244"/>
    <cellStyle name="Comma 5 8 2 3" xfId="3572"/>
    <cellStyle name="Comma 5 8 2 3 2" xfId="17217"/>
    <cellStyle name="Comma 5 8 2 3 3" xfId="13638"/>
    <cellStyle name="Comma 5 8 2 3 4" xfId="8381"/>
    <cellStyle name="Comma 5 8 2 4" xfId="6360"/>
    <cellStyle name="Comma 5 8 2 4 2" xfId="15444"/>
    <cellStyle name="Comma 5 8 2 5" xfId="9835"/>
    <cellStyle name="Comma 5 8 2 5 2" xfId="18662"/>
    <cellStyle name="Comma 5 8 2 6" xfId="11279"/>
    <cellStyle name="Comma 5 8 2 7" xfId="4838"/>
    <cellStyle name="Comma 5 8 3" xfId="931"/>
    <cellStyle name="Comma 5 8 3 2" xfId="2651"/>
    <cellStyle name="Comma 5 8 3 2 2" xfId="16193"/>
    <cellStyle name="Comma 5 8 3 2 3" xfId="12615"/>
    <cellStyle name="Comma 5 8 3 2 4" xfId="7324"/>
    <cellStyle name="Comma 5 8 3 3" xfId="3920"/>
    <cellStyle name="Comma 5 8 3 3 2" xfId="17565"/>
    <cellStyle name="Comma 5 8 3 3 3" xfId="13986"/>
    <cellStyle name="Comma 5 8 3 3 4" xfId="8729"/>
    <cellStyle name="Comma 5 8 3 4" xfId="6440"/>
    <cellStyle name="Comma 5 8 3 4 2" xfId="15524"/>
    <cellStyle name="Comma 5 8 3 5" xfId="10183"/>
    <cellStyle name="Comma 5 8 3 5 2" xfId="19010"/>
    <cellStyle name="Comma 5 8 3 6" xfId="11629"/>
    <cellStyle name="Comma 5 8 3 7" xfId="4918"/>
    <cellStyle name="Comma 5 8 4" xfId="1675"/>
    <cellStyle name="Comma 5 8 4 2" xfId="3271"/>
    <cellStyle name="Comma 5 8 4 2 2" xfId="16821"/>
    <cellStyle name="Comma 5 8 4 2 3" xfId="13242"/>
    <cellStyle name="Comma 5 8 4 2 4" xfId="7953"/>
    <cellStyle name="Comma 5 8 4 3" xfId="4335"/>
    <cellStyle name="Comma 5 8 4 3 2" xfId="18185"/>
    <cellStyle name="Comma 5 8 4 3 3" xfId="14606"/>
    <cellStyle name="Comma 5 8 4 3 4" xfId="9349"/>
    <cellStyle name="Comma 5 8 4 4" xfId="6041"/>
    <cellStyle name="Comma 5 8 4 4 2" xfId="15127"/>
    <cellStyle name="Comma 5 8 4 5" xfId="10803"/>
    <cellStyle name="Comma 5 8 4 5 2" xfId="19630"/>
    <cellStyle name="Comma 5 8 4 6" xfId="12249"/>
    <cellStyle name="Comma 5 8 4 7" xfId="5547"/>
    <cellStyle name="Comma 5 8 5" xfId="2228"/>
    <cellStyle name="Comma 5 8 5 2" xfId="15970"/>
    <cellStyle name="Comma 5 8 5 3" xfId="12482"/>
    <cellStyle name="Comma 5 8 5 4" xfId="6927"/>
    <cellStyle name="Comma 5 8 6" xfId="3497"/>
    <cellStyle name="Comma 5 8 6 2" xfId="17142"/>
    <cellStyle name="Comma 5 8 6 3" xfId="13563"/>
    <cellStyle name="Comma 5 8 6 4" xfId="8306"/>
    <cellStyle name="Comma 5 8 7" xfId="5867"/>
    <cellStyle name="Comma 5 8 7 2" xfId="14953"/>
    <cellStyle name="Comma 5 8 8" xfId="9760"/>
    <cellStyle name="Comma 5 8 8 2" xfId="18587"/>
    <cellStyle name="Comma 5 8 9" xfId="11204"/>
    <cellStyle name="Comma 5 9" xfId="297"/>
    <cellStyle name="Comma 5 9 2" xfId="574"/>
    <cellStyle name="Comma 5 9 2 2" xfId="2304"/>
    <cellStyle name="Comma 5 9 2 2 2" xfId="16194"/>
    <cellStyle name="Comma 5 9 2 2 3" xfId="12616"/>
    <cellStyle name="Comma 5 9 2 2 4" xfId="7325"/>
    <cellStyle name="Comma 5 9 2 3" xfId="3573"/>
    <cellStyle name="Comma 5 9 2 3 2" xfId="17218"/>
    <cellStyle name="Comma 5 9 2 3 3" xfId="13639"/>
    <cellStyle name="Comma 5 9 2 3 4" xfId="8382"/>
    <cellStyle name="Comma 5 9 2 4" xfId="6441"/>
    <cellStyle name="Comma 5 9 2 4 2" xfId="15525"/>
    <cellStyle name="Comma 5 9 2 5" xfId="9836"/>
    <cellStyle name="Comma 5 9 2 5 2" xfId="18663"/>
    <cellStyle name="Comma 5 9 2 6" xfId="11280"/>
    <cellStyle name="Comma 5 9 2 7" xfId="4919"/>
    <cellStyle name="Comma 5 9 3" xfId="932"/>
    <cellStyle name="Comma 5 9 3 2" xfId="2652"/>
    <cellStyle name="Comma 5 9 3 2 2" xfId="16660"/>
    <cellStyle name="Comma 5 9 3 2 3" xfId="13081"/>
    <cellStyle name="Comma 5 9 3 2 4" xfId="7792"/>
    <cellStyle name="Comma 5 9 3 3" xfId="3921"/>
    <cellStyle name="Comma 5 9 3 3 2" xfId="17566"/>
    <cellStyle name="Comma 5 9 3 3 3" xfId="13987"/>
    <cellStyle name="Comma 5 9 3 3 4" xfId="8730"/>
    <cellStyle name="Comma 5 9 3 4" xfId="6199"/>
    <cellStyle name="Comma 5 9 3 4 2" xfId="15283"/>
    <cellStyle name="Comma 5 9 3 5" xfId="10184"/>
    <cellStyle name="Comma 5 9 3 5 2" xfId="19011"/>
    <cellStyle name="Comma 5 9 3 6" xfId="11630"/>
    <cellStyle name="Comma 5 9 3 7" xfId="5386"/>
    <cellStyle name="Comma 5 9 4" xfId="1511"/>
    <cellStyle name="Comma 5 9 4 2" xfId="3110"/>
    <cellStyle name="Comma 5 9 4 2 2" xfId="18024"/>
    <cellStyle name="Comma 5 9 4 2 3" xfId="14445"/>
    <cellStyle name="Comma 5 9 4 2 4" xfId="9188"/>
    <cellStyle name="Comma 5 9 4 3" xfId="10642"/>
    <cellStyle name="Comma 5 9 4 3 2" xfId="19469"/>
    <cellStyle name="Comma 5 9 4 4" xfId="12088"/>
    <cellStyle name="Comma 5 9 4 5" xfId="7083"/>
    <cellStyle name="Comma 5 9 5" xfId="2067"/>
    <cellStyle name="Comma 5 9 5 2" xfId="16981"/>
    <cellStyle name="Comma 5 9 5 3" xfId="13402"/>
    <cellStyle name="Comma 5 9 5 4" xfId="8145"/>
    <cellStyle name="Comma 5 9 6" xfId="5706"/>
    <cellStyle name="Comma 5 9 6 2" xfId="14792"/>
    <cellStyle name="Comma 5 9 7" xfId="9599"/>
    <cellStyle name="Comma 5 9 7 2" xfId="18426"/>
    <cellStyle name="Comma 5 9 8" xfId="11043"/>
    <cellStyle name="Comma 5 9 9" xfId="4677"/>
    <cellStyle name="Comma 6" xfId="102"/>
    <cellStyle name="Comma 6 10" xfId="1901"/>
    <cellStyle name="Comma 6 10 2" xfId="9433"/>
    <cellStyle name="Comma 6 10 2 2" xfId="18260"/>
    <cellStyle name="Comma 6 10 3" xfId="10877"/>
    <cellStyle name="Comma 6 10 4" xfId="7977"/>
    <cellStyle name="Comma 6 11" xfId="1868"/>
    <cellStyle name="Comma 6 11 2" xfId="14646"/>
    <cellStyle name="Comma 6 11 3" xfId="5560"/>
    <cellStyle name="Comma 6 12" xfId="9403"/>
    <cellStyle name="Comma 6 12 2" xfId="18230"/>
    <cellStyle name="Comma 6 13" xfId="10844"/>
    <cellStyle name="Comma 6 14" xfId="4377"/>
    <cellStyle name="Comma 6 2" xfId="155"/>
    <cellStyle name="Comma 6 2 10" xfId="5583"/>
    <cellStyle name="Comma 6 2 10 2" xfId="14669"/>
    <cellStyle name="Comma 6 2 11" xfId="9476"/>
    <cellStyle name="Comma 6 2 11 2" xfId="18303"/>
    <cellStyle name="Comma 6 2 12" xfId="10920"/>
    <cellStyle name="Comma 6 2 13" xfId="4396"/>
    <cellStyle name="Comma 6 2 2" xfId="224"/>
    <cellStyle name="Comma 6 2 2 10" xfId="10979"/>
    <cellStyle name="Comma 6 2 2 11" xfId="4500"/>
    <cellStyle name="Comma 6 2 2 2" xfId="438"/>
    <cellStyle name="Comma 6 2 2 2 2" xfId="578"/>
    <cellStyle name="Comma 6 2 2 2 2 2" xfId="2308"/>
    <cellStyle name="Comma 6 2 2 2 2 2 2" xfId="16198"/>
    <cellStyle name="Comma 6 2 2 2 2 2 3" xfId="12620"/>
    <cellStyle name="Comma 6 2 2 2 2 2 4" xfId="7329"/>
    <cellStyle name="Comma 6 2 2 2 2 3" xfId="3577"/>
    <cellStyle name="Comma 6 2 2 2 2 3 2" xfId="17222"/>
    <cellStyle name="Comma 6 2 2 2 2 3 3" xfId="13643"/>
    <cellStyle name="Comma 6 2 2 2 2 3 4" xfId="8386"/>
    <cellStyle name="Comma 6 2 2 2 2 4" xfId="6445"/>
    <cellStyle name="Comma 6 2 2 2 2 4 2" xfId="15529"/>
    <cellStyle name="Comma 6 2 2 2 2 5" xfId="9840"/>
    <cellStyle name="Comma 6 2 2 2 2 5 2" xfId="18667"/>
    <cellStyle name="Comma 6 2 2 2 2 6" xfId="11284"/>
    <cellStyle name="Comma 6 2 2 2 2 7" xfId="4923"/>
    <cellStyle name="Comma 6 2 2 2 3" xfId="936"/>
    <cellStyle name="Comma 6 2 2 2 3 2" xfId="2656"/>
    <cellStyle name="Comma 6 2 2 2 3 2 2" xfId="16800"/>
    <cellStyle name="Comma 6 2 2 2 3 2 3" xfId="13221"/>
    <cellStyle name="Comma 6 2 2 2 3 2 4" xfId="7932"/>
    <cellStyle name="Comma 6 2 2 2 3 3" xfId="3925"/>
    <cellStyle name="Comma 6 2 2 2 3 3 2" xfId="17570"/>
    <cellStyle name="Comma 6 2 2 2 3 3 3" xfId="13991"/>
    <cellStyle name="Comma 6 2 2 2 3 3 4" xfId="8734"/>
    <cellStyle name="Comma 6 2 2 2 3 4" xfId="6339"/>
    <cellStyle name="Comma 6 2 2 2 3 4 2" xfId="15423"/>
    <cellStyle name="Comma 6 2 2 2 3 5" xfId="10188"/>
    <cellStyle name="Comma 6 2 2 2 3 5 2" xfId="19015"/>
    <cellStyle name="Comma 6 2 2 2 3 6" xfId="11634"/>
    <cellStyle name="Comma 6 2 2 2 3 7" xfId="5526"/>
    <cellStyle name="Comma 6 2 2 2 4" xfId="1654"/>
    <cellStyle name="Comma 6 2 2 2 4 2" xfId="3250"/>
    <cellStyle name="Comma 6 2 2 2 4 2 2" xfId="18164"/>
    <cellStyle name="Comma 6 2 2 2 4 2 3" xfId="14585"/>
    <cellStyle name="Comma 6 2 2 2 4 2 4" xfId="9328"/>
    <cellStyle name="Comma 6 2 2 2 4 3" xfId="10782"/>
    <cellStyle name="Comma 6 2 2 2 4 3 2" xfId="19609"/>
    <cellStyle name="Comma 6 2 2 2 4 4" xfId="12228"/>
    <cellStyle name="Comma 6 2 2 2 4 5" xfId="7223"/>
    <cellStyle name="Comma 6 2 2 2 5" xfId="2207"/>
    <cellStyle name="Comma 6 2 2 2 5 2" xfId="17121"/>
    <cellStyle name="Comma 6 2 2 2 5 3" xfId="13542"/>
    <cellStyle name="Comma 6 2 2 2 5 4" xfId="8285"/>
    <cellStyle name="Comma 6 2 2 2 6" xfId="5846"/>
    <cellStyle name="Comma 6 2 2 2 6 2" xfId="14932"/>
    <cellStyle name="Comma 6 2 2 2 7" xfId="9739"/>
    <cellStyle name="Comma 6 2 2 2 7 2" xfId="18566"/>
    <cellStyle name="Comma 6 2 2 2 8" xfId="11183"/>
    <cellStyle name="Comma 6 2 2 2 9" xfId="4817"/>
    <cellStyle name="Comma 6 2 2 3" xfId="577"/>
    <cellStyle name="Comma 6 2 2 3 2" xfId="2307"/>
    <cellStyle name="Comma 6 2 2 3 2 2" xfId="16033"/>
    <cellStyle name="Comma 6 2 2 3 2 3" xfId="12275"/>
    <cellStyle name="Comma 6 2 2 3 2 4" xfId="7019"/>
    <cellStyle name="Comma 6 2 2 3 3" xfId="3576"/>
    <cellStyle name="Comma 6 2 2 3 3 2" xfId="17221"/>
    <cellStyle name="Comma 6 2 2 3 3 3" xfId="13642"/>
    <cellStyle name="Comma 6 2 2 3 3 4" xfId="8385"/>
    <cellStyle name="Comma 6 2 2 3 4" xfId="6135"/>
    <cellStyle name="Comma 6 2 2 3 4 2" xfId="15219"/>
    <cellStyle name="Comma 6 2 2 3 5" xfId="9839"/>
    <cellStyle name="Comma 6 2 2 3 5 2" xfId="18666"/>
    <cellStyle name="Comma 6 2 2 3 6" xfId="11283"/>
    <cellStyle name="Comma 6 2 2 3 7" xfId="4613"/>
    <cellStyle name="Comma 6 2 2 4" xfId="935"/>
    <cellStyle name="Comma 6 2 2 4 2" xfId="2655"/>
    <cellStyle name="Comma 6 2 2 4 2 2" xfId="16197"/>
    <cellStyle name="Comma 6 2 2 4 2 3" xfId="12619"/>
    <cellStyle name="Comma 6 2 2 4 2 4" xfId="7328"/>
    <cellStyle name="Comma 6 2 2 4 3" xfId="3924"/>
    <cellStyle name="Comma 6 2 2 4 3 2" xfId="17569"/>
    <cellStyle name="Comma 6 2 2 4 3 3" xfId="13990"/>
    <cellStyle name="Comma 6 2 2 4 3 4" xfId="8733"/>
    <cellStyle name="Comma 6 2 2 4 4" xfId="6444"/>
    <cellStyle name="Comma 6 2 2 4 4 2" xfId="15528"/>
    <cellStyle name="Comma 6 2 2 4 5" xfId="10187"/>
    <cellStyle name="Comma 6 2 2 4 5 2" xfId="19014"/>
    <cellStyle name="Comma 6 2 2 4 6" xfId="11633"/>
    <cellStyle name="Comma 6 2 2 4 7" xfId="4922"/>
    <cellStyle name="Comma 6 2 2 5" xfId="1444"/>
    <cellStyle name="Comma 6 2 2 5 2" xfId="3046"/>
    <cellStyle name="Comma 6 2 2 5 2 2" xfId="16596"/>
    <cellStyle name="Comma 6 2 2 5 2 3" xfId="13017"/>
    <cellStyle name="Comma 6 2 2 5 2 4" xfId="7728"/>
    <cellStyle name="Comma 6 2 2 5 3" xfId="4255"/>
    <cellStyle name="Comma 6 2 2 5 3 2" xfId="17960"/>
    <cellStyle name="Comma 6 2 2 5 3 3" xfId="14381"/>
    <cellStyle name="Comma 6 2 2 5 3 4" xfId="9124"/>
    <cellStyle name="Comma 6 2 2 5 4" xfId="6020"/>
    <cellStyle name="Comma 6 2 2 5 4 2" xfId="15106"/>
    <cellStyle name="Comma 6 2 2 5 5" xfId="10578"/>
    <cellStyle name="Comma 6 2 2 5 5 2" xfId="19405"/>
    <cellStyle name="Comma 6 2 2 5 6" xfId="12024"/>
    <cellStyle name="Comma 6 2 2 5 7" xfId="5322"/>
    <cellStyle name="Comma 6 2 2 6" xfId="2003"/>
    <cellStyle name="Comma 6 2 2 6 2" xfId="15949"/>
    <cellStyle name="Comma 6 2 2 6 3" xfId="12316"/>
    <cellStyle name="Comma 6 2 2 6 4" xfId="6906"/>
    <cellStyle name="Comma 6 2 2 7" xfId="3417"/>
    <cellStyle name="Comma 6 2 2 7 2" xfId="16917"/>
    <cellStyle name="Comma 6 2 2 7 3" xfId="13338"/>
    <cellStyle name="Comma 6 2 2 7 4" xfId="8081"/>
    <cellStyle name="Comma 6 2 2 8" xfId="5642"/>
    <cellStyle name="Comma 6 2 2 8 2" xfId="14728"/>
    <cellStyle name="Comma 6 2 2 9" xfId="9535"/>
    <cellStyle name="Comma 6 2 2 9 2" xfId="18362"/>
    <cellStyle name="Comma 6 2 3" xfId="395"/>
    <cellStyle name="Comma 6 2 3 10" xfId="4458"/>
    <cellStyle name="Comma 6 2 3 2" xfId="579"/>
    <cellStyle name="Comma 6 2 3 2 2" xfId="2309"/>
    <cellStyle name="Comma 6 2 3 2 2 2" xfId="16095"/>
    <cellStyle name="Comma 6 2 3 2 2 3" xfId="10816"/>
    <cellStyle name="Comma 6 2 3 2 2 4" xfId="7181"/>
    <cellStyle name="Comma 6 2 3 2 3" xfId="3578"/>
    <cellStyle name="Comma 6 2 3 2 3 2" xfId="17223"/>
    <cellStyle name="Comma 6 2 3 2 3 3" xfId="13644"/>
    <cellStyle name="Comma 6 2 3 2 3 4" xfId="8387"/>
    <cellStyle name="Comma 6 2 3 2 4" xfId="6297"/>
    <cellStyle name="Comma 6 2 3 2 4 2" xfId="15381"/>
    <cellStyle name="Comma 6 2 3 2 5" xfId="9841"/>
    <cellStyle name="Comma 6 2 3 2 5 2" xfId="18668"/>
    <cellStyle name="Comma 6 2 3 2 6" xfId="11285"/>
    <cellStyle name="Comma 6 2 3 2 7" xfId="4775"/>
    <cellStyle name="Comma 6 2 3 3" xfId="937"/>
    <cellStyle name="Comma 6 2 3 3 2" xfId="2657"/>
    <cellStyle name="Comma 6 2 3 3 2 2" xfId="16199"/>
    <cellStyle name="Comma 6 2 3 3 2 3" xfId="12621"/>
    <cellStyle name="Comma 6 2 3 3 2 4" xfId="7330"/>
    <cellStyle name="Comma 6 2 3 3 3" xfId="3926"/>
    <cellStyle name="Comma 6 2 3 3 3 2" xfId="17571"/>
    <cellStyle name="Comma 6 2 3 3 3 3" xfId="13992"/>
    <cellStyle name="Comma 6 2 3 3 3 4" xfId="8735"/>
    <cellStyle name="Comma 6 2 3 3 4" xfId="6446"/>
    <cellStyle name="Comma 6 2 3 3 4 2" xfId="15530"/>
    <cellStyle name="Comma 6 2 3 3 5" xfId="10189"/>
    <cellStyle name="Comma 6 2 3 3 5 2" xfId="19016"/>
    <cellStyle name="Comma 6 2 3 3 6" xfId="11635"/>
    <cellStyle name="Comma 6 2 3 3 7" xfId="4924"/>
    <cellStyle name="Comma 6 2 3 4" xfId="1611"/>
    <cellStyle name="Comma 6 2 3 4 2" xfId="3208"/>
    <cellStyle name="Comma 6 2 3 4 2 2" xfId="16758"/>
    <cellStyle name="Comma 6 2 3 4 2 3" xfId="13179"/>
    <cellStyle name="Comma 6 2 3 4 2 4" xfId="7890"/>
    <cellStyle name="Comma 6 2 3 4 3" xfId="4317"/>
    <cellStyle name="Comma 6 2 3 4 3 2" xfId="18122"/>
    <cellStyle name="Comma 6 2 3 4 3 3" xfId="14543"/>
    <cellStyle name="Comma 6 2 3 4 3 4" xfId="9286"/>
    <cellStyle name="Comma 6 2 3 4 4" xfId="5978"/>
    <cellStyle name="Comma 6 2 3 4 4 2" xfId="15064"/>
    <cellStyle name="Comma 6 2 3 4 5" xfId="10740"/>
    <cellStyle name="Comma 6 2 3 4 5 2" xfId="19567"/>
    <cellStyle name="Comma 6 2 3 4 6" xfId="12186"/>
    <cellStyle name="Comma 6 2 3 4 7" xfId="5484"/>
    <cellStyle name="Comma 6 2 3 5" xfId="2165"/>
    <cellStyle name="Comma 6 2 3 5 2" xfId="15907"/>
    <cellStyle name="Comma 6 2 3 5 3" xfId="12360"/>
    <cellStyle name="Comma 6 2 3 5 4" xfId="6864"/>
    <cellStyle name="Comma 6 2 3 6" xfId="3479"/>
    <cellStyle name="Comma 6 2 3 6 2" xfId="17079"/>
    <cellStyle name="Comma 6 2 3 6 3" xfId="13500"/>
    <cellStyle name="Comma 6 2 3 6 4" xfId="8243"/>
    <cellStyle name="Comma 6 2 3 7" xfId="5804"/>
    <cellStyle name="Comma 6 2 3 7 2" xfId="14890"/>
    <cellStyle name="Comma 6 2 3 8" xfId="9697"/>
    <cellStyle name="Comma 6 2 3 8 2" xfId="18524"/>
    <cellStyle name="Comma 6 2 3 9" xfId="11141"/>
    <cellStyle name="Comma 6 2 4" xfId="333"/>
    <cellStyle name="Comma 6 2 4 2" xfId="580"/>
    <cellStyle name="Comma 6 2 4 2 2" xfId="2310"/>
    <cellStyle name="Comma 6 2 4 2 2 2" xfId="16200"/>
    <cellStyle name="Comma 6 2 4 2 2 3" xfId="12622"/>
    <cellStyle name="Comma 6 2 4 2 2 4" xfId="7331"/>
    <cellStyle name="Comma 6 2 4 2 3" xfId="3579"/>
    <cellStyle name="Comma 6 2 4 2 3 2" xfId="17224"/>
    <cellStyle name="Comma 6 2 4 2 3 3" xfId="13645"/>
    <cellStyle name="Comma 6 2 4 2 3 4" xfId="8388"/>
    <cellStyle name="Comma 6 2 4 2 4" xfId="6447"/>
    <cellStyle name="Comma 6 2 4 2 4 2" xfId="15531"/>
    <cellStyle name="Comma 6 2 4 2 5" xfId="9842"/>
    <cellStyle name="Comma 6 2 4 2 5 2" xfId="18669"/>
    <cellStyle name="Comma 6 2 4 2 6" xfId="11286"/>
    <cellStyle name="Comma 6 2 4 2 7" xfId="4925"/>
    <cellStyle name="Comma 6 2 4 3" xfId="938"/>
    <cellStyle name="Comma 6 2 4 3 2" xfId="2658"/>
    <cellStyle name="Comma 6 2 4 3 2 2" xfId="16696"/>
    <cellStyle name="Comma 6 2 4 3 2 3" xfId="13117"/>
    <cellStyle name="Comma 6 2 4 3 2 4" xfId="7828"/>
    <cellStyle name="Comma 6 2 4 3 3" xfId="3927"/>
    <cellStyle name="Comma 6 2 4 3 3 2" xfId="17572"/>
    <cellStyle name="Comma 6 2 4 3 3 3" xfId="13993"/>
    <cellStyle name="Comma 6 2 4 3 3 4" xfId="8736"/>
    <cellStyle name="Comma 6 2 4 3 4" xfId="6235"/>
    <cellStyle name="Comma 6 2 4 3 4 2" xfId="15319"/>
    <cellStyle name="Comma 6 2 4 3 5" xfId="10190"/>
    <cellStyle name="Comma 6 2 4 3 5 2" xfId="19017"/>
    <cellStyle name="Comma 6 2 4 3 6" xfId="11636"/>
    <cellStyle name="Comma 6 2 4 3 7" xfId="5422"/>
    <cellStyle name="Comma 6 2 4 4" xfId="1547"/>
    <cellStyle name="Comma 6 2 4 4 2" xfId="3146"/>
    <cellStyle name="Comma 6 2 4 4 2 2" xfId="18060"/>
    <cellStyle name="Comma 6 2 4 4 2 3" xfId="14481"/>
    <cellStyle name="Comma 6 2 4 4 2 4" xfId="9224"/>
    <cellStyle name="Comma 6 2 4 4 3" xfId="10678"/>
    <cellStyle name="Comma 6 2 4 4 3 2" xfId="19505"/>
    <cellStyle name="Comma 6 2 4 4 4" xfId="12124"/>
    <cellStyle name="Comma 6 2 4 4 5" xfId="7119"/>
    <cellStyle name="Comma 6 2 4 5" xfId="2103"/>
    <cellStyle name="Comma 6 2 4 5 2" xfId="17017"/>
    <cellStyle name="Comma 6 2 4 5 3" xfId="13438"/>
    <cellStyle name="Comma 6 2 4 5 4" xfId="8181"/>
    <cellStyle name="Comma 6 2 4 6" xfId="5742"/>
    <cellStyle name="Comma 6 2 4 6 2" xfId="14828"/>
    <cellStyle name="Comma 6 2 4 7" xfId="9635"/>
    <cellStyle name="Comma 6 2 4 7 2" xfId="18462"/>
    <cellStyle name="Comma 6 2 4 8" xfId="11079"/>
    <cellStyle name="Comma 6 2 4 9" xfId="4713"/>
    <cellStyle name="Comma 6 2 5" xfId="576"/>
    <cellStyle name="Comma 6 2 5 2" xfId="2306"/>
    <cellStyle name="Comma 6 2 5 2 2" xfId="15989"/>
    <cellStyle name="Comma 6 2 5 2 3" xfId="12459"/>
    <cellStyle name="Comma 6 2 5 2 4" xfId="6960"/>
    <cellStyle name="Comma 6 2 5 3" xfId="3575"/>
    <cellStyle name="Comma 6 2 5 3 2" xfId="17220"/>
    <cellStyle name="Comma 6 2 5 3 3" xfId="13641"/>
    <cellStyle name="Comma 6 2 5 3 4" xfId="8384"/>
    <cellStyle name="Comma 6 2 5 4" xfId="6076"/>
    <cellStyle name="Comma 6 2 5 4 2" xfId="15160"/>
    <cellStyle name="Comma 6 2 5 5" xfId="9838"/>
    <cellStyle name="Comma 6 2 5 5 2" xfId="18665"/>
    <cellStyle name="Comma 6 2 5 6" xfId="11282"/>
    <cellStyle name="Comma 6 2 5 7" xfId="4554"/>
    <cellStyle name="Comma 6 2 6" xfId="934"/>
    <cellStyle name="Comma 6 2 6 2" xfId="2654"/>
    <cellStyle name="Comma 6 2 6 2 2" xfId="16196"/>
    <cellStyle name="Comma 6 2 6 2 3" xfId="12618"/>
    <cellStyle name="Comma 6 2 6 2 4" xfId="7327"/>
    <cellStyle name="Comma 6 2 6 3" xfId="3923"/>
    <cellStyle name="Comma 6 2 6 3 2" xfId="17568"/>
    <cellStyle name="Comma 6 2 6 3 3" xfId="13989"/>
    <cellStyle name="Comma 6 2 6 3 4" xfId="8732"/>
    <cellStyle name="Comma 6 2 6 4" xfId="6443"/>
    <cellStyle name="Comma 6 2 6 4 2" xfId="15527"/>
    <cellStyle name="Comma 6 2 6 5" xfId="10186"/>
    <cellStyle name="Comma 6 2 6 5 2" xfId="19013"/>
    <cellStyle name="Comma 6 2 6 6" xfId="11632"/>
    <cellStyle name="Comma 6 2 6 7" xfId="4921"/>
    <cellStyle name="Comma 6 2 7" xfId="1376"/>
    <cellStyle name="Comma 6 2 7 2" xfId="2987"/>
    <cellStyle name="Comma 6 2 7 2 2" xfId="16537"/>
    <cellStyle name="Comma 6 2 7 2 3" xfId="12959"/>
    <cellStyle name="Comma 6 2 7 2 4" xfId="7669"/>
    <cellStyle name="Comma 6 2 7 3" xfId="4212"/>
    <cellStyle name="Comma 6 2 7 3 2" xfId="17901"/>
    <cellStyle name="Comma 6 2 7 3 3" xfId="14322"/>
    <cellStyle name="Comma 6 2 7 3 4" xfId="9065"/>
    <cellStyle name="Comma 6 2 7 4" xfId="5915"/>
    <cellStyle name="Comma 6 2 7 4 2" xfId="15001"/>
    <cellStyle name="Comma 6 2 7 5" xfId="10519"/>
    <cellStyle name="Comma 6 2 7 5 2" xfId="19346"/>
    <cellStyle name="Comma 6 2 7 6" xfId="11965"/>
    <cellStyle name="Comma 6 2 7 7" xfId="5263"/>
    <cellStyle name="Comma 6 2 8" xfId="1944"/>
    <cellStyle name="Comma 6 2 8 2" xfId="15850"/>
    <cellStyle name="Comma 6 2 8 3" xfId="12452"/>
    <cellStyle name="Comma 6 2 8 4" xfId="6802"/>
    <cellStyle name="Comma 6 2 9" xfId="3374"/>
    <cellStyle name="Comma 6 2 9 2" xfId="16856"/>
    <cellStyle name="Comma 6 2 9 3" xfId="13277"/>
    <cellStyle name="Comma 6 2 9 4" xfId="8020"/>
    <cellStyle name="Comma 6 3" xfId="268"/>
    <cellStyle name="Comma 6 3 10" xfId="11022"/>
    <cellStyle name="Comma 6 3 11" xfId="4439"/>
    <cellStyle name="Comma 6 3 2" xfId="376"/>
    <cellStyle name="Comma 6 3 2 2" xfId="582"/>
    <cellStyle name="Comma 6 3 2 2 2" xfId="2312"/>
    <cellStyle name="Comma 6 3 2 2 2 2" xfId="16202"/>
    <cellStyle name="Comma 6 3 2 2 2 3" xfId="12624"/>
    <cellStyle name="Comma 6 3 2 2 2 4" xfId="7333"/>
    <cellStyle name="Comma 6 3 2 2 3" xfId="3581"/>
    <cellStyle name="Comma 6 3 2 2 3 2" xfId="17226"/>
    <cellStyle name="Comma 6 3 2 2 3 3" xfId="13647"/>
    <cellStyle name="Comma 6 3 2 2 3 4" xfId="8390"/>
    <cellStyle name="Comma 6 3 2 2 4" xfId="6449"/>
    <cellStyle name="Comma 6 3 2 2 4 2" xfId="15533"/>
    <cellStyle name="Comma 6 3 2 2 5" xfId="9844"/>
    <cellStyle name="Comma 6 3 2 2 5 2" xfId="18671"/>
    <cellStyle name="Comma 6 3 2 2 6" xfId="11288"/>
    <cellStyle name="Comma 6 3 2 2 7" xfId="4927"/>
    <cellStyle name="Comma 6 3 2 3" xfId="940"/>
    <cellStyle name="Comma 6 3 2 3 2" xfId="2660"/>
    <cellStyle name="Comma 6 3 2 3 2 2" xfId="16739"/>
    <cellStyle name="Comma 6 3 2 3 2 3" xfId="13160"/>
    <cellStyle name="Comma 6 3 2 3 2 4" xfId="7871"/>
    <cellStyle name="Comma 6 3 2 3 3" xfId="3929"/>
    <cellStyle name="Comma 6 3 2 3 3 2" xfId="17574"/>
    <cellStyle name="Comma 6 3 2 3 3 3" xfId="13995"/>
    <cellStyle name="Comma 6 3 2 3 3 4" xfId="8738"/>
    <cellStyle name="Comma 6 3 2 3 4" xfId="6278"/>
    <cellStyle name="Comma 6 3 2 3 4 2" xfId="15362"/>
    <cellStyle name="Comma 6 3 2 3 5" xfId="10192"/>
    <cellStyle name="Comma 6 3 2 3 5 2" xfId="19019"/>
    <cellStyle name="Comma 6 3 2 3 6" xfId="11638"/>
    <cellStyle name="Comma 6 3 2 3 7" xfId="5465"/>
    <cellStyle name="Comma 6 3 2 4" xfId="1591"/>
    <cellStyle name="Comma 6 3 2 4 2" xfId="3189"/>
    <cellStyle name="Comma 6 3 2 4 2 2" xfId="18103"/>
    <cellStyle name="Comma 6 3 2 4 2 3" xfId="14524"/>
    <cellStyle name="Comma 6 3 2 4 2 4" xfId="9267"/>
    <cellStyle name="Comma 6 3 2 4 3" xfId="10721"/>
    <cellStyle name="Comma 6 3 2 4 3 2" xfId="19548"/>
    <cellStyle name="Comma 6 3 2 4 4" xfId="12167"/>
    <cellStyle name="Comma 6 3 2 4 5" xfId="7162"/>
    <cellStyle name="Comma 6 3 2 5" xfId="2146"/>
    <cellStyle name="Comma 6 3 2 5 2" xfId="17060"/>
    <cellStyle name="Comma 6 3 2 5 3" xfId="13481"/>
    <cellStyle name="Comma 6 3 2 5 4" xfId="8224"/>
    <cellStyle name="Comma 6 3 2 6" xfId="5785"/>
    <cellStyle name="Comma 6 3 2 6 2" xfId="14871"/>
    <cellStyle name="Comma 6 3 2 7" xfId="9678"/>
    <cellStyle name="Comma 6 3 2 7 2" xfId="18505"/>
    <cellStyle name="Comma 6 3 2 8" xfId="11122"/>
    <cellStyle name="Comma 6 3 2 9" xfId="4756"/>
    <cellStyle name="Comma 6 3 3" xfId="581"/>
    <cellStyle name="Comma 6 3 3 2" xfId="2311"/>
    <cellStyle name="Comma 6 3 3 2 2" xfId="16076"/>
    <cellStyle name="Comma 6 3 3 2 3" xfId="12483"/>
    <cellStyle name="Comma 6 3 3 2 4" xfId="7062"/>
    <cellStyle name="Comma 6 3 3 3" xfId="3580"/>
    <cellStyle name="Comma 6 3 3 3 2" xfId="17225"/>
    <cellStyle name="Comma 6 3 3 3 3" xfId="13646"/>
    <cellStyle name="Comma 6 3 3 3 4" xfId="8389"/>
    <cellStyle name="Comma 6 3 3 4" xfId="6178"/>
    <cellStyle name="Comma 6 3 3 4 2" xfId="15262"/>
    <cellStyle name="Comma 6 3 3 5" xfId="9843"/>
    <cellStyle name="Comma 6 3 3 5 2" xfId="18670"/>
    <cellStyle name="Comma 6 3 3 6" xfId="11287"/>
    <cellStyle name="Comma 6 3 3 7" xfId="4656"/>
    <cellStyle name="Comma 6 3 4" xfId="939"/>
    <cellStyle name="Comma 6 3 4 2" xfId="2659"/>
    <cellStyle name="Comma 6 3 4 2 2" xfId="16201"/>
    <cellStyle name="Comma 6 3 4 2 3" xfId="12623"/>
    <cellStyle name="Comma 6 3 4 2 4" xfId="7332"/>
    <cellStyle name="Comma 6 3 4 3" xfId="3928"/>
    <cellStyle name="Comma 6 3 4 3 2" xfId="17573"/>
    <cellStyle name="Comma 6 3 4 3 3" xfId="13994"/>
    <cellStyle name="Comma 6 3 4 3 4" xfId="8737"/>
    <cellStyle name="Comma 6 3 4 4" xfId="6448"/>
    <cellStyle name="Comma 6 3 4 4 2" xfId="15532"/>
    <cellStyle name="Comma 6 3 4 5" xfId="10191"/>
    <cellStyle name="Comma 6 3 4 5 2" xfId="19018"/>
    <cellStyle name="Comma 6 3 4 6" xfId="11637"/>
    <cellStyle name="Comma 6 3 4 7" xfId="4926"/>
    <cellStyle name="Comma 6 3 5" xfId="1489"/>
    <cellStyle name="Comma 6 3 5 2" xfId="3089"/>
    <cellStyle name="Comma 6 3 5 2 2" xfId="16639"/>
    <cellStyle name="Comma 6 3 5 2 3" xfId="13060"/>
    <cellStyle name="Comma 6 3 5 2 4" xfId="7771"/>
    <cellStyle name="Comma 6 3 5 3" xfId="4298"/>
    <cellStyle name="Comma 6 3 5 3 2" xfId="18003"/>
    <cellStyle name="Comma 6 3 5 3 3" xfId="14424"/>
    <cellStyle name="Comma 6 3 5 3 4" xfId="9167"/>
    <cellStyle name="Comma 6 3 5 4" xfId="5959"/>
    <cellStyle name="Comma 6 3 5 4 2" xfId="15045"/>
    <cellStyle name="Comma 6 3 5 5" xfId="10621"/>
    <cellStyle name="Comma 6 3 5 5 2" xfId="19448"/>
    <cellStyle name="Comma 6 3 5 6" xfId="12067"/>
    <cellStyle name="Comma 6 3 5 7" xfId="5365"/>
    <cellStyle name="Comma 6 3 6" xfId="2046"/>
    <cellStyle name="Comma 6 3 6 2" xfId="15888"/>
    <cellStyle name="Comma 6 3 6 3" xfId="12320"/>
    <cellStyle name="Comma 6 3 6 4" xfId="6845"/>
    <cellStyle name="Comma 6 3 7" xfId="3460"/>
    <cellStyle name="Comma 6 3 7 2" xfId="16960"/>
    <cellStyle name="Comma 6 3 7 3" xfId="13381"/>
    <cellStyle name="Comma 6 3 7 4" xfId="8124"/>
    <cellStyle name="Comma 6 3 8" xfId="5685"/>
    <cellStyle name="Comma 6 3 8 2" xfId="14771"/>
    <cellStyle name="Comma 6 3 9" xfId="9578"/>
    <cellStyle name="Comma 6 3 9 2" xfId="18405"/>
    <cellStyle name="Comma 6 4" xfId="203"/>
    <cellStyle name="Comma 6 4 10" xfId="10960"/>
    <cellStyle name="Comma 6 4 11" xfId="4482"/>
    <cellStyle name="Comma 6 4 2" xfId="420"/>
    <cellStyle name="Comma 6 4 2 2" xfId="584"/>
    <cellStyle name="Comma 6 4 2 2 2" xfId="2314"/>
    <cellStyle name="Comma 6 4 2 2 2 2" xfId="16204"/>
    <cellStyle name="Comma 6 4 2 2 2 3" xfId="12626"/>
    <cellStyle name="Comma 6 4 2 2 2 4" xfId="7335"/>
    <cellStyle name="Comma 6 4 2 2 3" xfId="3583"/>
    <cellStyle name="Comma 6 4 2 2 3 2" xfId="17228"/>
    <cellStyle name="Comma 6 4 2 2 3 3" xfId="13649"/>
    <cellStyle name="Comma 6 4 2 2 3 4" xfId="8392"/>
    <cellStyle name="Comma 6 4 2 2 4" xfId="6451"/>
    <cellStyle name="Comma 6 4 2 2 4 2" xfId="15535"/>
    <cellStyle name="Comma 6 4 2 2 5" xfId="9846"/>
    <cellStyle name="Comma 6 4 2 2 5 2" xfId="18673"/>
    <cellStyle name="Comma 6 4 2 2 6" xfId="11290"/>
    <cellStyle name="Comma 6 4 2 2 7" xfId="4929"/>
    <cellStyle name="Comma 6 4 2 3" xfId="942"/>
    <cellStyle name="Comma 6 4 2 3 2" xfId="2662"/>
    <cellStyle name="Comma 6 4 2 3 2 2" xfId="16782"/>
    <cellStyle name="Comma 6 4 2 3 2 3" xfId="13203"/>
    <cellStyle name="Comma 6 4 2 3 2 4" xfId="7914"/>
    <cellStyle name="Comma 6 4 2 3 3" xfId="3931"/>
    <cellStyle name="Comma 6 4 2 3 3 2" xfId="17576"/>
    <cellStyle name="Comma 6 4 2 3 3 3" xfId="13997"/>
    <cellStyle name="Comma 6 4 2 3 3 4" xfId="8740"/>
    <cellStyle name="Comma 6 4 2 3 4" xfId="6321"/>
    <cellStyle name="Comma 6 4 2 3 4 2" xfId="15405"/>
    <cellStyle name="Comma 6 4 2 3 5" xfId="10194"/>
    <cellStyle name="Comma 6 4 2 3 5 2" xfId="19021"/>
    <cellStyle name="Comma 6 4 2 3 6" xfId="11640"/>
    <cellStyle name="Comma 6 4 2 3 7" xfId="5508"/>
    <cellStyle name="Comma 6 4 2 4" xfId="1636"/>
    <cellStyle name="Comma 6 4 2 4 2" xfId="3232"/>
    <cellStyle name="Comma 6 4 2 4 2 2" xfId="18146"/>
    <cellStyle name="Comma 6 4 2 4 2 3" xfId="14567"/>
    <cellStyle name="Comma 6 4 2 4 2 4" xfId="9310"/>
    <cellStyle name="Comma 6 4 2 4 3" xfId="10764"/>
    <cellStyle name="Comma 6 4 2 4 3 2" xfId="19591"/>
    <cellStyle name="Comma 6 4 2 4 4" xfId="12210"/>
    <cellStyle name="Comma 6 4 2 4 5" xfId="7205"/>
    <cellStyle name="Comma 6 4 2 5" xfId="2189"/>
    <cellStyle name="Comma 6 4 2 5 2" xfId="17103"/>
    <cellStyle name="Comma 6 4 2 5 3" xfId="13524"/>
    <cellStyle name="Comma 6 4 2 5 4" xfId="8267"/>
    <cellStyle name="Comma 6 4 2 6" xfId="5828"/>
    <cellStyle name="Comma 6 4 2 6 2" xfId="14914"/>
    <cellStyle name="Comma 6 4 2 7" xfId="9721"/>
    <cellStyle name="Comma 6 4 2 7 2" xfId="18548"/>
    <cellStyle name="Comma 6 4 2 8" xfId="11165"/>
    <cellStyle name="Comma 6 4 2 9" xfId="4799"/>
    <cellStyle name="Comma 6 4 3" xfId="583"/>
    <cellStyle name="Comma 6 4 3 2" xfId="2313"/>
    <cellStyle name="Comma 6 4 3 2 2" xfId="16014"/>
    <cellStyle name="Comma 6 4 3 2 3" xfId="10842"/>
    <cellStyle name="Comma 6 4 3 2 4" xfId="7000"/>
    <cellStyle name="Comma 6 4 3 3" xfId="3582"/>
    <cellStyle name="Comma 6 4 3 3 2" xfId="17227"/>
    <cellStyle name="Comma 6 4 3 3 3" xfId="13648"/>
    <cellStyle name="Comma 6 4 3 3 4" xfId="8391"/>
    <cellStyle name="Comma 6 4 3 4" xfId="6116"/>
    <cellStyle name="Comma 6 4 3 4 2" xfId="15200"/>
    <cellStyle name="Comma 6 4 3 5" xfId="9845"/>
    <cellStyle name="Comma 6 4 3 5 2" xfId="18672"/>
    <cellStyle name="Comma 6 4 3 6" xfId="11289"/>
    <cellStyle name="Comma 6 4 3 7" xfId="4594"/>
    <cellStyle name="Comma 6 4 4" xfId="941"/>
    <cellStyle name="Comma 6 4 4 2" xfId="2661"/>
    <cellStyle name="Comma 6 4 4 2 2" xfId="16203"/>
    <cellStyle name="Comma 6 4 4 2 3" xfId="12625"/>
    <cellStyle name="Comma 6 4 4 2 4" xfId="7334"/>
    <cellStyle name="Comma 6 4 4 3" xfId="3930"/>
    <cellStyle name="Comma 6 4 4 3 2" xfId="17575"/>
    <cellStyle name="Comma 6 4 4 3 3" xfId="13996"/>
    <cellStyle name="Comma 6 4 4 3 4" xfId="8739"/>
    <cellStyle name="Comma 6 4 4 4" xfId="6450"/>
    <cellStyle name="Comma 6 4 4 4 2" xfId="15534"/>
    <cellStyle name="Comma 6 4 4 5" xfId="10193"/>
    <cellStyle name="Comma 6 4 4 5 2" xfId="19020"/>
    <cellStyle name="Comma 6 4 4 6" xfId="11639"/>
    <cellStyle name="Comma 6 4 4 7" xfId="4928"/>
    <cellStyle name="Comma 6 4 5" xfId="1422"/>
    <cellStyle name="Comma 6 4 5 2" xfId="3027"/>
    <cellStyle name="Comma 6 4 5 2 2" xfId="16577"/>
    <cellStyle name="Comma 6 4 5 2 3" xfId="12998"/>
    <cellStyle name="Comma 6 4 5 2 4" xfId="7709"/>
    <cellStyle name="Comma 6 4 5 3" xfId="4236"/>
    <cellStyle name="Comma 6 4 5 3 2" xfId="17941"/>
    <cellStyle name="Comma 6 4 5 3 3" xfId="14362"/>
    <cellStyle name="Comma 6 4 5 3 4" xfId="9105"/>
    <cellStyle name="Comma 6 4 5 4" xfId="6002"/>
    <cellStyle name="Comma 6 4 5 4 2" xfId="15088"/>
    <cellStyle name="Comma 6 4 5 5" xfId="10559"/>
    <cellStyle name="Comma 6 4 5 5 2" xfId="19386"/>
    <cellStyle name="Comma 6 4 5 6" xfId="12005"/>
    <cellStyle name="Comma 6 4 5 7" xfId="5303"/>
    <cellStyle name="Comma 6 4 6" xfId="1984"/>
    <cellStyle name="Comma 6 4 6 2" xfId="15931"/>
    <cellStyle name="Comma 6 4 6 3" xfId="12287"/>
    <cellStyle name="Comma 6 4 6 4" xfId="6888"/>
    <cellStyle name="Comma 6 4 7" xfId="3399"/>
    <cellStyle name="Comma 6 4 7 2" xfId="16898"/>
    <cellStyle name="Comma 6 4 7 3" xfId="13319"/>
    <cellStyle name="Comma 6 4 7 4" xfId="8062"/>
    <cellStyle name="Comma 6 4 8" xfId="5623"/>
    <cellStyle name="Comma 6 4 8 2" xfId="14709"/>
    <cellStyle name="Comma 6 4 9" xfId="9516"/>
    <cellStyle name="Comma 6 4 9 2" xfId="18343"/>
    <cellStyle name="Comma 6 5" xfId="314"/>
    <cellStyle name="Comma 6 5 2" xfId="585"/>
    <cellStyle name="Comma 6 5 2 2" xfId="2315"/>
    <cellStyle name="Comma 6 5 2 2 2" xfId="16205"/>
    <cellStyle name="Comma 6 5 2 2 3" xfId="12627"/>
    <cellStyle name="Comma 6 5 2 2 4" xfId="7336"/>
    <cellStyle name="Comma 6 5 2 3" xfId="3584"/>
    <cellStyle name="Comma 6 5 2 3 2" xfId="17229"/>
    <cellStyle name="Comma 6 5 2 3 3" xfId="13650"/>
    <cellStyle name="Comma 6 5 2 3 4" xfId="8393"/>
    <cellStyle name="Comma 6 5 2 4" xfId="6452"/>
    <cellStyle name="Comma 6 5 2 4 2" xfId="15536"/>
    <cellStyle name="Comma 6 5 2 5" xfId="9847"/>
    <cellStyle name="Comma 6 5 2 5 2" xfId="18674"/>
    <cellStyle name="Comma 6 5 2 6" xfId="11291"/>
    <cellStyle name="Comma 6 5 2 7" xfId="4930"/>
    <cellStyle name="Comma 6 5 3" xfId="943"/>
    <cellStyle name="Comma 6 5 3 2" xfId="2663"/>
    <cellStyle name="Comma 6 5 3 2 2" xfId="16677"/>
    <cellStyle name="Comma 6 5 3 2 3" xfId="13098"/>
    <cellStyle name="Comma 6 5 3 2 4" xfId="7809"/>
    <cellStyle name="Comma 6 5 3 3" xfId="3932"/>
    <cellStyle name="Comma 6 5 3 3 2" xfId="17577"/>
    <cellStyle name="Comma 6 5 3 3 3" xfId="13998"/>
    <cellStyle name="Comma 6 5 3 3 4" xfId="8741"/>
    <cellStyle name="Comma 6 5 3 4" xfId="6216"/>
    <cellStyle name="Comma 6 5 3 4 2" xfId="15300"/>
    <cellStyle name="Comma 6 5 3 5" xfId="10195"/>
    <cellStyle name="Comma 6 5 3 5 2" xfId="19022"/>
    <cellStyle name="Comma 6 5 3 6" xfId="11641"/>
    <cellStyle name="Comma 6 5 3 7" xfId="5403"/>
    <cellStyle name="Comma 6 5 4" xfId="1528"/>
    <cellStyle name="Comma 6 5 4 2" xfId="3127"/>
    <cellStyle name="Comma 6 5 4 2 2" xfId="18041"/>
    <cellStyle name="Comma 6 5 4 2 3" xfId="14462"/>
    <cellStyle name="Comma 6 5 4 2 4" xfId="9205"/>
    <cellStyle name="Comma 6 5 4 3" xfId="10659"/>
    <cellStyle name="Comma 6 5 4 3 2" xfId="19486"/>
    <cellStyle name="Comma 6 5 4 4" xfId="12105"/>
    <cellStyle name="Comma 6 5 4 5" xfId="7100"/>
    <cellStyle name="Comma 6 5 5" xfId="2084"/>
    <cellStyle name="Comma 6 5 5 2" xfId="16998"/>
    <cellStyle name="Comma 6 5 5 3" xfId="13419"/>
    <cellStyle name="Comma 6 5 5 4" xfId="8162"/>
    <cellStyle name="Comma 6 5 6" xfId="5723"/>
    <cellStyle name="Comma 6 5 6 2" xfId="14809"/>
    <cellStyle name="Comma 6 5 7" xfId="9616"/>
    <cellStyle name="Comma 6 5 7 2" xfId="18443"/>
    <cellStyle name="Comma 6 5 8" xfId="11060"/>
    <cellStyle name="Comma 6 5 9" xfId="4694"/>
    <cellStyle name="Comma 6 6" xfId="475"/>
    <cellStyle name="Comma 6 6 2" xfId="586"/>
    <cellStyle name="Comma 6 6 2 2" xfId="2316"/>
    <cellStyle name="Comma 6 6 2 2 2" xfId="16206"/>
    <cellStyle name="Comma 6 6 2 2 3" xfId="12628"/>
    <cellStyle name="Comma 6 6 2 2 4" xfId="7337"/>
    <cellStyle name="Comma 6 6 2 3" xfId="3585"/>
    <cellStyle name="Comma 6 6 2 3 2" xfId="17230"/>
    <cellStyle name="Comma 6 6 2 3 3" xfId="13651"/>
    <cellStyle name="Comma 6 6 2 3 4" xfId="8394"/>
    <cellStyle name="Comma 6 6 2 4" xfId="6453"/>
    <cellStyle name="Comma 6 6 2 4 2" xfId="15537"/>
    <cellStyle name="Comma 6 6 2 5" xfId="9848"/>
    <cellStyle name="Comma 6 6 2 5 2" xfId="18675"/>
    <cellStyle name="Comma 6 6 2 6" xfId="11292"/>
    <cellStyle name="Comma 6 6 2 7" xfId="4931"/>
    <cellStyle name="Comma 6 6 3" xfId="944"/>
    <cellStyle name="Comma 6 6 3 2" xfId="2664"/>
    <cellStyle name="Comma 6 6 3 2 2" xfId="16514"/>
    <cellStyle name="Comma 6 6 3 2 3" xfId="12936"/>
    <cellStyle name="Comma 6 6 3 2 4" xfId="7646"/>
    <cellStyle name="Comma 6 6 3 3" xfId="3933"/>
    <cellStyle name="Comma 6 6 3 3 2" xfId="17578"/>
    <cellStyle name="Comma 6 6 3 3 3" xfId="13999"/>
    <cellStyle name="Comma 6 6 3 3 4" xfId="8742"/>
    <cellStyle name="Comma 6 6 3 4" xfId="6751"/>
    <cellStyle name="Comma 6 6 3 4 2" xfId="15834"/>
    <cellStyle name="Comma 6 6 3 5" xfId="10196"/>
    <cellStyle name="Comma 6 6 3 5 2" xfId="19023"/>
    <cellStyle name="Comma 6 6 3 6" xfId="11642"/>
    <cellStyle name="Comma 6 6 3 7" xfId="5240"/>
    <cellStyle name="Comma 6 6 4" xfId="1351"/>
    <cellStyle name="Comma 6 6 4 2" xfId="2964"/>
    <cellStyle name="Comma 6 6 4 2 2" xfId="17878"/>
    <cellStyle name="Comma 6 6 4 2 3" xfId="14299"/>
    <cellStyle name="Comma 6 6 4 2 4" xfId="9042"/>
    <cellStyle name="Comma 6 6 4 3" xfId="10496"/>
    <cellStyle name="Comma 6 6 4 3 2" xfId="19323"/>
    <cellStyle name="Comma 6 6 4 4" xfId="11942"/>
    <cellStyle name="Comma 6 6 4 5" xfId="6937"/>
    <cellStyle name="Comma 6 6 5" xfId="1921"/>
    <cellStyle name="Comma 6 6 5 2" xfId="16833"/>
    <cellStyle name="Comma 6 6 5 3" xfId="13254"/>
    <cellStyle name="Comma 6 6 5 4" xfId="7997"/>
    <cellStyle name="Comma 6 6 6" xfId="6053"/>
    <cellStyle name="Comma 6 6 6 2" xfId="15137"/>
    <cellStyle name="Comma 6 6 7" xfId="9453"/>
    <cellStyle name="Comma 6 6 7 2" xfId="18280"/>
    <cellStyle name="Comma 6 6 8" xfId="10897"/>
    <cellStyle name="Comma 6 6 9" xfId="4531"/>
    <cellStyle name="Comma 6 7" xfId="575"/>
    <cellStyle name="Comma 6 7 2" xfId="2305"/>
    <cellStyle name="Comma 6 7 2 2" xfId="16195"/>
    <cellStyle name="Comma 6 7 2 3" xfId="12617"/>
    <cellStyle name="Comma 6 7 2 4" xfId="7326"/>
    <cellStyle name="Comma 6 7 3" xfId="3574"/>
    <cellStyle name="Comma 6 7 3 2" xfId="17219"/>
    <cellStyle name="Comma 6 7 3 3" xfId="13640"/>
    <cellStyle name="Comma 6 7 3 4" xfId="8383"/>
    <cellStyle name="Comma 6 7 4" xfId="6442"/>
    <cellStyle name="Comma 6 7 4 2" xfId="15526"/>
    <cellStyle name="Comma 6 7 5" xfId="9837"/>
    <cellStyle name="Comma 6 7 5 2" xfId="18664"/>
    <cellStyle name="Comma 6 7 6" xfId="11281"/>
    <cellStyle name="Comma 6 7 7" xfId="4920"/>
    <cellStyle name="Comma 6 8" xfId="933"/>
    <cellStyle name="Comma 6 8 2" xfId="2653"/>
    <cellStyle name="Comma 6 8 2 2" xfId="16494"/>
    <cellStyle name="Comma 6 8 2 3" xfId="12916"/>
    <cellStyle name="Comma 6 8 2 4" xfId="7626"/>
    <cellStyle name="Comma 6 8 3" xfId="3922"/>
    <cellStyle name="Comma 6 8 3 2" xfId="17567"/>
    <cellStyle name="Comma 6 8 3 3" xfId="13988"/>
    <cellStyle name="Comma 6 8 3 4" xfId="8731"/>
    <cellStyle name="Comma 6 8 4" xfId="5896"/>
    <cellStyle name="Comma 6 8 4 2" xfId="14982"/>
    <cellStyle name="Comma 6 8 5" xfId="10185"/>
    <cellStyle name="Comma 6 8 5 2" xfId="19012"/>
    <cellStyle name="Comma 6 8 6" xfId="11631"/>
    <cellStyle name="Comma 6 8 7" xfId="5220"/>
    <cellStyle name="Comma 6 9" xfId="1305"/>
    <cellStyle name="Comma 6 9 2" xfId="2944"/>
    <cellStyle name="Comma 6 9 2 2" xfId="17858"/>
    <cellStyle name="Comma 6 9 2 3" xfId="14279"/>
    <cellStyle name="Comma 6 9 2 4" xfId="9022"/>
    <cellStyle name="Comma 6 9 3" xfId="10476"/>
    <cellStyle name="Comma 6 9 3 2" xfId="19303"/>
    <cellStyle name="Comma 6 9 4" xfId="11922"/>
    <cellStyle name="Comma 6 9 5" xfId="6782"/>
    <cellStyle name="Comma 7" xfId="107"/>
    <cellStyle name="Explanatory Text 2" xfId="1839"/>
    <cellStyle name="Good 2" xfId="1841"/>
    <cellStyle name="Heading 1 2" xfId="1872"/>
    <cellStyle name="Heading 2 2" xfId="3302"/>
    <cellStyle name="Heading 3 2" xfId="3282"/>
    <cellStyle name="Heading 4 2" xfId="3339"/>
    <cellStyle name="Input 2" xfId="3297"/>
    <cellStyle name="Input 3" xfId="3336"/>
    <cellStyle name="Linked Cell 2" xfId="3313"/>
    <cellStyle name="Neutral 2" xfId="3329"/>
    <cellStyle name="Normal" xfId="0" builtinId="0"/>
    <cellStyle name="Normal 10" xfId="95"/>
    <cellStyle name="Normal 10 10" xfId="1844"/>
    <cellStyle name="Normal 10 10 2" xfId="18208"/>
    <cellStyle name="Normal 10 10 3" xfId="9381"/>
    <cellStyle name="Normal 10 11" xfId="3328"/>
    <cellStyle name="Normal 10 11 2" xfId="10819"/>
    <cellStyle name="Normal 10 2" xfId="138"/>
    <cellStyle name="Normal 10 2 10" xfId="1912"/>
    <cellStyle name="Normal 10 2 10 2" xfId="9444"/>
    <cellStyle name="Normal 10 2 10 2 2" xfId="18271"/>
    <cellStyle name="Normal 10 2 10 3" xfId="10888"/>
    <cellStyle name="Normal 10 2 10 4" xfId="7988"/>
    <cellStyle name="Normal 10 2 11" xfId="1848"/>
    <cellStyle name="Normal 10 2 11 2" xfId="14657"/>
    <cellStyle name="Normal 10 2 11 3" xfId="5571"/>
    <cellStyle name="Normal 10 2 12" xfId="9385"/>
    <cellStyle name="Normal 10 2 12 2" xfId="18212"/>
    <cellStyle name="Normal 10 2 13" xfId="10824"/>
    <cellStyle name="Normal 10 2 14" xfId="4370"/>
    <cellStyle name="Normal 10 2 2" xfId="162"/>
    <cellStyle name="Normal 10 2 2 10" xfId="5596"/>
    <cellStyle name="Normal 10 2 2 10 2" xfId="14682"/>
    <cellStyle name="Normal 10 2 2 11" xfId="9414"/>
    <cellStyle name="Normal 10 2 2 11 2" xfId="18241"/>
    <cellStyle name="Normal 10 2 2 12" xfId="10858"/>
    <cellStyle name="Normal 10 2 2 13" xfId="4407"/>
    <cellStyle name="Normal 10 2 2 2" xfId="279"/>
    <cellStyle name="Normal 10 2 2 2 10" xfId="11033"/>
    <cellStyle name="Normal 10 2 2 2 11" xfId="4450"/>
    <cellStyle name="Normal 10 2 2 2 2" xfId="387"/>
    <cellStyle name="Normal 10 2 2 2 2 2" xfId="591"/>
    <cellStyle name="Normal 10 2 2 2 2 2 2" xfId="2321"/>
    <cellStyle name="Normal 10 2 2 2 2 2 2 2" xfId="16211"/>
    <cellStyle name="Normal 10 2 2 2 2 2 2 3" xfId="12633"/>
    <cellStyle name="Normal 10 2 2 2 2 2 2 4" xfId="7342"/>
    <cellStyle name="Normal 10 2 2 2 2 2 3" xfId="3590"/>
    <cellStyle name="Normal 10 2 2 2 2 2 3 2" xfId="17235"/>
    <cellStyle name="Normal 10 2 2 2 2 2 3 3" xfId="13656"/>
    <cellStyle name="Normal 10 2 2 2 2 2 3 4" xfId="8399"/>
    <cellStyle name="Normal 10 2 2 2 2 2 4" xfId="6458"/>
    <cellStyle name="Normal 10 2 2 2 2 2 4 2" xfId="15542"/>
    <cellStyle name="Normal 10 2 2 2 2 2 5" xfId="9853"/>
    <cellStyle name="Normal 10 2 2 2 2 2 5 2" xfId="18680"/>
    <cellStyle name="Normal 10 2 2 2 2 2 6" xfId="11297"/>
    <cellStyle name="Normal 10 2 2 2 2 2 7" xfId="4936"/>
    <cellStyle name="Normal 10 2 2 2 2 3" xfId="949"/>
    <cellStyle name="Normal 10 2 2 2 2 3 2" xfId="2669"/>
    <cellStyle name="Normal 10 2 2 2 2 3 2 2" xfId="16750"/>
    <cellStyle name="Normal 10 2 2 2 2 3 2 3" xfId="13171"/>
    <cellStyle name="Normal 10 2 2 2 2 3 2 4" xfId="7882"/>
    <cellStyle name="Normal 10 2 2 2 2 3 3" xfId="3938"/>
    <cellStyle name="Normal 10 2 2 2 2 3 3 2" xfId="17583"/>
    <cellStyle name="Normal 10 2 2 2 2 3 3 3" xfId="14004"/>
    <cellStyle name="Normal 10 2 2 2 2 3 3 4" xfId="8747"/>
    <cellStyle name="Normal 10 2 2 2 2 3 4" xfId="6289"/>
    <cellStyle name="Normal 10 2 2 2 2 3 4 2" xfId="15373"/>
    <cellStyle name="Normal 10 2 2 2 2 3 5" xfId="10201"/>
    <cellStyle name="Normal 10 2 2 2 2 3 5 2" xfId="19028"/>
    <cellStyle name="Normal 10 2 2 2 2 3 6" xfId="11647"/>
    <cellStyle name="Normal 10 2 2 2 2 3 7" xfId="5476"/>
    <cellStyle name="Normal 10 2 2 2 2 4" xfId="1603"/>
    <cellStyle name="Normal 10 2 2 2 2 4 2" xfId="3200"/>
    <cellStyle name="Normal 10 2 2 2 2 4 2 2" xfId="18114"/>
    <cellStyle name="Normal 10 2 2 2 2 4 2 3" xfId="14535"/>
    <cellStyle name="Normal 10 2 2 2 2 4 2 4" xfId="9278"/>
    <cellStyle name="Normal 10 2 2 2 2 4 3" xfId="10732"/>
    <cellStyle name="Normal 10 2 2 2 2 4 3 2" xfId="19559"/>
    <cellStyle name="Normal 10 2 2 2 2 4 4" xfId="12178"/>
    <cellStyle name="Normal 10 2 2 2 2 4 5" xfId="7173"/>
    <cellStyle name="Normal 10 2 2 2 2 5" xfId="2157"/>
    <cellStyle name="Normal 10 2 2 2 2 5 2" xfId="17071"/>
    <cellStyle name="Normal 10 2 2 2 2 5 3" xfId="13492"/>
    <cellStyle name="Normal 10 2 2 2 2 5 4" xfId="8235"/>
    <cellStyle name="Normal 10 2 2 2 2 6" xfId="5796"/>
    <cellStyle name="Normal 10 2 2 2 2 6 2" xfId="14882"/>
    <cellStyle name="Normal 10 2 2 2 2 7" xfId="9689"/>
    <cellStyle name="Normal 10 2 2 2 2 7 2" xfId="18516"/>
    <cellStyle name="Normal 10 2 2 2 2 8" xfId="11133"/>
    <cellStyle name="Normal 10 2 2 2 2 9" xfId="4767"/>
    <cellStyle name="Normal 10 2 2 2 2_Degree data" xfId="1274"/>
    <cellStyle name="Normal 10 2 2 2 3" xfId="590"/>
    <cellStyle name="Normal 10 2 2 2 3 2" xfId="2320"/>
    <cellStyle name="Normal 10 2 2 2 3 2 2" xfId="16087"/>
    <cellStyle name="Normal 10 2 2 2 3 2 3" xfId="12325"/>
    <cellStyle name="Normal 10 2 2 2 3 2 4" xfId="7073"/>
    <cellStyle name="Normal 10 2 2 2 3 3" xfId="3589"/>
    <cellStyle name="Normal 10 2 2 2 3 3 2" xfId="17234"/>
    <cellStyle name="Normal 10 2 2 2 3 3 3" xfId="13655"/>
    <cellStyle name="Normal 10 2 2 2 3 3 4" xfId="8398"/>
    <cellStyle name="Normal 10 2 2 2 3 4" xfId="6189"/>
    <cellStyle name="Normal 10 2 2 2 3 4 2" xfId="15273"/>
    <cellStyle name="Normal 10 2 2 2 3 5" xfId="9852"/>
    <cellStyle name="Normal 10 2 2 2 3 5 2" xfId="18679"/>
    <cellStyle name="Normal 10 2 2 2 3 6" xfId="11296"/>
    <cellStyle name="Normal 10 2 2 2 3 7" xfId="4667"/>
    <cellStyle name="Normal 10 2 2 2 4" xfId="948"/>
    <cellStyle name="Normal 10 2 2 2 4 2" xfId="2668"/>
    <cellStyle name="Normal 10 2 2 2 4 2 2" xfId="16210"/>
    <cellStyle name="Normal 10 2 2 2 4 2 3" xfId="12632"/>
    <cellStyle name="Normal 10 2 2 2 4 2 4" xfId="7341"/>
    <cellStyle name="Normal 10 2 2 2 4 3" xfId="3937"/>
    <cellStyle name="Normal 10 2 2 2 4 3 2" xfId="17582"/>
    <cellStyle name="Normal 10 2 2 2 4 3 3" xfId="14003"/>
    <cellStyle name="Normal 10 2 2 2 4 3 4" xfId="8746"/>
    <cellStyle name="Normal 10 2 2 2 4 4" xfId="6457"/>
    <cellStyle name="Normal 10 2 2 2 4 4 2" xfId="15541"/>
    <cellStyle name="Normal 10 2 2 2 4 5" xfId="10200"/>
    <cellStyle name="Normal 10 2 2 2 4 5 2" xfId="19027"/>
    <cellStyle name="Normal 10 2 2 2 4 6" xfId="11646"/>
    <cellStyle name="Normal 10 2 2 2 4 7" xfId="4935"/>
    <cellStyle name="Normal 10 2 2 2 5" xfId="1501"/>
    <cellStyle name="Normal 10 2 2 2 5 2" xfId="3100"/>
    <cellStyle name="Normal 10 2 2 2 5 2 2" xfId="16650"/>
    <cellStyle name="Normal 10 2 2 2 5 2 3" xfId="13071"/>
    <cellStyle name="Normal 10 2 2 2 5 2 4" xfId="7782"/>
    <cellStyle name="Normal 10 2 2 2 5 3" xfId="4309"/>
    <cellStyle name="Normal 10 2 2 2 5 3 2" xfId="18014"/>
    <cellStyle name="Normal 10 2 2 2 5 3 3" xfId="14435"/>
    <cellStyle name="Normal 10 2 2 2 5 3 4" xfId="9178"/>
    <cellStyle name="Normal 10 2 2 2 5 4" xfId="5970"/>
    <cellStyle name="Normal 10 2 2 2 5 4 2" xfId="15056"/>
    <cellStyle name="Normal 10 2 2 2 5 5" xfId="10632"/>
    <cellStyle name="Normal 10 2 2 2 5 5 2" xfId="19459"/>
    <cellStyle name="Normal 10 2 2 2 5 6" xfId="12078"/>
    <cellStyle name="Normal 10 2 2 2 5 7" xfId="5376"/>
    <cellStyle name="Normal 10 2 2 2 6" xfId="2057"/>
    <cellStyle name="Normal 10 2 2 2 6 2" xfId="15899"/>
    <cellStyle name="Normal 10 2 2 2 6 3" xfId="12289"/>
    <cellStyle name="Normal 10 2 2 2 6 4" xfId="6856"/>
    <cellStyle name="Normal 10 2 2 2 7" xfId="3471"/>
    <cellStyle name="Normal 10 2 2 2 7 2" xfId="16971"/>
    <cellStyle name="Normal 10 2 2 2 7 3" xfId="13392"/>
    <cellStyle name="Normal 10 2 2 2 7 4" xfId="8135"/>
    <cellStyle name="Normal 10 2 2 2 8" xfId="5696"/>
    <cellStyle name="Normal 10 2 2 2 8 2" xfId="14782"/>
    <cellStyle name="Normal 10 2 2 2 9" xfId="9589"/>
    <cellStyle name="Normal 10 2 2 2 9 2" xfId="18416"/>
    <cellStyle name="Normal 10 2 2 2_Degree data" xfId="1271"/>
    <cellStyle name="Normal 10 2 2 3" xfId="236"/>
    <cellStyle name="Normal 10 2 2 3 10" xfId="10990"/>
    <cellStyle name="Normal 10 2 2 3 11" xfId="4511"/>
    <cellStyle name="Normal 10 2 2 3 2" xfId="449"/>
    <cellStyle name="Normal 10 2 2 3 2 2" xfId="593"/>
    <cellStyle name="Normal 10 2 2 3 2 2 2" xfId="2323"/>
    <cellStyle name="Normal 10 2 2 3 2 2 2 2" xfId="16213"/>
    <cellStyle name="Normal 10 2 2 3 2 2 2 3" xfId="12635"/>
    <cellStyle name="Normal 10 2 2 3 2 2 2 4" xfId="7344"/>
    <cellStyle name="Normal 10 2 2 3 2 2 3" xfId="3592"/>
    <cellStyle name="Normal 10 2 2 3 2 2 3 2" xfId="17237"/>
    <cellStyle name="Normal 10 2 2 3 2 2 3 3" xfId="13658"/>
    <cellStyle name="Normal 10 2 2 3 2 2 3 4" xfId="8401"/>
    <cellStyle name="Normal 10 2 2 3 2 2 4" xfId="6460"/>
    <cellStyle name="Normal 10 2 2 3 2 2 4 2" xfId="15544"/>
    <cellStyle name="Normal 10 2 2 3 2 2 5" xfId="9855"/>
    <cellStyle name="Normal 10 2 2 3 2 2 5 2" xfId="18682"/>
    <cellStyle name="Normal 10 2 2 3 2 2 6" xfId="11299"/>
    <cellStyle name="Normal 10 2 2 3 2 2 7" xfId="4938"/>
    <cellStyle name="Normal 10 2 2 3 2 3" xfId="951"/>
    <cellStyle name="Normal 10 2 2 3 2 3 2" xfId="2671"/>
    <cellStyle name="Normal 10 2 2 3 2 3 2 2" xfId="16811"/>
    <cellStyle name="Normal 10 2 2 3 2 3 2 3" xfId="13232"/>
    <cellStyle name="Normal 10 2 2 3 2 3 2 4" xfId="7943"/>
    <cellStyle name="Normal 10 2 2 3 2 3 3" xfId="3940"/>
    <cellStyle name="Normal 10 2 2 3 2 3 3 2" xfId="17585"/>
    <cellStyle name="Normal 10 2 2 3 2 3 3 3" xfId="14006"/>
    <cellStyle name="Normal 10 2 2 3 2 3 3 4" xfId="8749"/>
    <cellStyle name="Normal 10 2 2 3 2 3 4" xfId="6350"/>
    <cellStyle name="Normal 10 2 2 3 2 3 4 2" xfId="15434"/>
    <cellStyle name="Normal 10 2 2 3 2 3 5" xfId="10203"/>
    <cellStyle name="Normal 10 2 2 3 2 3 5 2" xfId="19030"/>
    <cellStyle name="Normal 10 2 2 3 2 3 6" xfId="11649"/>
    <cellStyle name="Normal 10 2 2 3 2 3 7" xfId="5537"/>
    <cellStyle name="Normal 10 2 2 3 2 4" xfId="1665"/>
    <cellStyle name="Normal 10 2 2 3 2 4 2" xfId="3261"/>
    <cellStyle name="Normal 10 2 2 3 2 4 2 2" xfId="18175"/>
    <cellStyle name="Normal 10 2 2 3 2 4 2 3" xfId="14596"/>
    <cellStyle name="Normal 10 2 2 3 2 4 2 4" xfId="9339"/>
    <cellStyle name="Normal 10 2 2 3 2 4 3" xfId="10793"/>
    <cellStyle name="Normal 10 2 2 3 2 4 3 2" xfId="19620"/>
    <cellStyle name="Normal 10 2 2 3 2 4 4" xfId="12239"/>
    <cellStyle name="Normal 10 2 2 3 2 4 5" xfId="7234"/>
    <cellStyle name="Normal 10 2 2 3 2 5" xfId="2218"/>
    <cellStyle name="Normal 10 2 2 3 2 5 2" xfId="17132"/>
    <cellStyle name="Normal 10 2 2 3 2 5 3" xfId="13553"/>
    <cellStyle name="Normal 10 2 2 3 2 5 4" xfId="8296"/>
    <cellStyle name="Normal 10 2 2 3 2 6" xfId="5857"/>
    <cellStyle name="Normal 10 2 2 3 2 6 2" xfId="14943"/>
    <cellStyle name="Normal 10 2 2 3 2 7" xfId="9750"/>
    <cellStyle name="Normal 10 2 2 3 2 7 2" xfId="18577"/>
    <cellStyle name="Normal 10 2 2 3 2 8" xfId="11194"/>
    <cellStyle name="Normal 10 2 2 3 2 9" xfId="4828"/>
    <cellStyle name="Normal 10 2 2 3 2_Degree data" xfId="1385"/>
    <cellStyle name="Normal 10 2 2 3 3" xfId="592"/>
    <cellStyle name="Normal 10 2 2 3 3 2" xfId="2322"/>
    <cellStyle name="Normal 10 2 2 3 3 2 2" xfId="16044"/>
    <cellStyle name="Normal 10 2 2 3 3 2 3" xfId="12336"/>
    <cellStyle name="Normal 10 2 2 3 3 2 4" xfId="7030"/>
    <cellStyle name="Normal 10 2 2 3 3 3" xfId="3591"/>
    <cellStyle name="Normal 10 2 2 3 3 3 2" xfId="17236"/>
    <cellStyle name="Normal 10 2 2 3 3 3 3" xfId="13657"/>
    <cellStyle name="Normal 10 2 2 3 3 3 4" xfId="8400"/>
    <cellStyle name="Normal 10 2 2 3 3 4" xfId="6146"/>
    <cellStyle name="Normal 10 2 2 3 3 4 2" xfId="15230"/>
    <cellStyle name="Normal 10 2 2 3 3 5" xfId="9854"/>
    <cellStyle name="Normal 10 2 2 3 3 5 2" xfId="18681"/>
    <cellStyle name="Normal 10 2 2 3 3 6" xfId="11298"/>
    <cellStyle name="Normal 10 2 2 3 3 7" xfId="4624"/>
    <cellStyle name="Normal 10 2 2 3 4" xfId="950"/>
    <cellStyle name="Normal 10 2 2 3 4 2" xfId="2670"/>
    <cellStyle name="Normal 10 2 2 3 4 2 2" xfId="16212"/>
    <cellStyle name="Normal 10 2 2 3 4 2 3" xfId="12634"/>
    <cellStyle name="Normal 10 2 2 3 4 2 4" xfId="7343"/>
    <cellStyle name="Normal 10 2 2 3 4 3" xfId="3939"/>
    <cellStyle name="Normal 10 2 2 3 4 3 2" xfId="17584"/>
    <cellStyle name="Normal 10 2 2 3 4 3 3" xfId="14005"/>
    <cellStyle name="Normal 10 2 2 3 4 3 4" xfId="8748"/>
    <cellStyle name="Normal 10 2 2 3 4 4" xfId="6459"/>
    <cellStyle name="Normal 10 2 2 3 4 4 2" xfId="15543"/>
    <cellStyle name="Normal 10 2 2 3 4 5" xfId="10202"/>
    <cellStyle name="Normal 10 2 2 3 4 5 2" xfId="19029"/>
    <cellStyle name="Normal 10 2 2 3 4 6" xfId="11648"/>
    <cellStyle name="Normal 10 2 2 3 4 7" xfId="4937"/>
    <cellStyle name="Normal 10 2 2 3 5" xfId="1456"/>
    <cellStyle name="Normal 10 2 2 3 5 2" xfId="3057"/>
    <cellStyle name="Normal 10 2 2 3 5 2 2" xfId="16607"/>
    <cellStyle name="Normal 10 2 2 3 5 2 3" xfId="13028"/>
    <cellStyle name="Normal 10 2 2 3 5 2 4" xfId="7739"/>
    <cellStyle name="Normal 10 2 2 3 5 3" xfId="4266"/>
    <cellStyle name="Normal 10 2 2 3 5 3 2" xfId="17971"/>
    <cellStyle name="Normal 10 2 2 3 5 3 3" xfId="14392"/>
    <cellStyle name="Normal 10 2 2 3 5 3 4" xfId="9135"/>
    <cellStyle name="Normal 10 2 2 3 5 4" xfId="6031"/>
    <cellStyle name="Normal 10 2 2 3 5 4 2" xfId="15117"/>
    <cellStyle name="Normal 10 2 2 3 5 5" xfId="10589"/>
    <cellStyle name="Normal 10 2 2 3 5 5 2" xfId="19416"/>
    <cellStyle name="Normal 10 2 2 3 5 6" xfId="12035"/>
    <cellStyle name="Normal 10 2 2 3 5 7" xfId="5333"/>
    <cellStyle name="Normal 10 2 2 3 6" xfId="2014"/>
    <cellStyle name="Normal 10 2 2 3 6 2" xfId="15960"/>
    <cellStyle name="Normal 10 2 2 3 6 3" xfId="12358"/>
    <cellStyle name="Normal 10 2 2 3 6 4" xfId="6917"/>
    <cellStyle name="Normal 10 2 2 3 7" xfId="3428"/>
    <cellStyle name="Normal 10 2 2 3 7 2" xfId="16928"/>
    <cellStyle name="Normal 10 2 2 3 7 3" xfId="13349"/>
    <cellStyle name="Normal 10 2 2 3 7 4" xfId="8092"/>
    <cellStyle name="Normal 10 2 2 3 8" xfId="5653"/>
    <cellStyle name="Normal 10 2 2 3 8 2" xfId="14739"/>
    <cellStyle name="Normal 10 2 2 3 9" xfId="9546"/>
    <cellStyle name="Normal 10 2 2 3 9 2" xfId="18373"/>
    <cellStyle name="Normal 10 2 2 3_Degree data" xfId="1259"/>
    <cellStyle name="Normal 10 2 2 4" xfId="344"/>
    <cellStyle name="Normal 10 2 2 4 2" xfId="594"/>
    <cellStyle name="Normal 10 2 2 4 2 2" xfId="2324"/>
    <cellStyle name="Normal 10 2 2 4 2 2 2" xfId="16214"/>
    <cellStyle name="Normal 10 2 2 4 2 2 3" xfId="12636"/>
    <cellStyle name="Normal 10 2 2 4 2 2 4" xfId="7345"/>
    <cellStyle name="Normal 10 2 2 4 2 3" xfId="3593"/>
    <cellStyle name="Normal 10 2 2 4 2 3 2" xfId="17238"/>
    <cellStyle name="Normal 10 2 2 4 2 3 3" xfId="13659"/>
    <cellStyle name="Normal 10 2 2 4 2 3 4" xfId="8402"/>
    <cellStyle name="Normal 10 2 2 4 2 4" xfId="6461"/>
    <cellStyle name="Normal 10 2 2 4 2 4 2" xfId="15545"/>
    <cellStyle name="Normal 10 2 2 4 2 5" xfId="9856"/>
    <cellStyle name="Normal 10 2 2 4 2 5 2" xfId="18683"/>
    <cellStyle name="Normal 10 2 2 4 2 6" xfId="11300"/>
    <cellStyle name="Normal 10 2 2 4 2 7" xfId="4939"/>
    <cellStyle name="Normal 10 2 2 4 3" xfId="952"/>
    <cellStyle name="Normal 10 2 2 4 3 2" xfId="2672"/>
    <cellStyle name="Normal 10 2 2 4 3 2 2" xfId="16707"/>
    <cellStyle name="Normal 10 2 2 4 3 2 3" xfId="13128"/>
    <cellStyle name="Normal 10 2 2 4 3 2 4" xfId="7839"/>
    <cellStyle name="Normal 10 2 2 4 3 3" xfId="3941"/>
    <cellStyle name="Normal 10 2 2 4 3 3 2" xfId="17586"/>
    <cellStyle name="Normal 10 2 2 4 3 3 3" xfId="14007"/>
    <cellStyle name="Normal 10 2 2 4 3 3 4" xfId="8750"/>
    <cellStyle name="Normal 10 2 2 4 3 4" xfId="6246"/>
    <cellStyle name="Normal 10 2 2 4 3 4 2" xfId="15330"/>
    <cellStyle name="Normal 10 2 2 4 3 5" xfId="10204"/>
    <cellStyle name="Normal 10 2 2 4 3 5 2" xfId="19031"/>
    <cellStyle name="Normal 10 2 2 4 3 6" xfId="11650"/>
    <cellStyle name="Normal 10 2 2 4 3 7" xfId="5433"/>
    <cellStyle name="Normal 10 2 2 4 4" xfId="1558"/>
    <cellStyle name="Normal 10 2 2 4 4 2" xfId="3157"/>
    <cellStyle name="Normal 10 2 2 4 4 2 2" xfId="18071"/>
    <cellStyle name="Normal 10 2 2 4 4 2 3" xfId="14492"/>
    <cellStyle name="Normal 10 2 2 4 4 2 4" xfId="9235"/>
    <cellStyle name="Normal 10 2 2 4 4 3" xfId="10689"/>
    <cellStyle name="Normal 10 2 2 4 4 3 2" xfId="19516"/>
    <cellStyle name="Normal 10 2 2 4 4 4" xfId="12135"/>
    <cellStyle name="Normal 10 2 2 4 4 5" xfId="7130"/>
    <cellStyle name="Normal 10 2 2 4 5" xfId="2114"/>
    <cellStyle name="Normal 10 2 2 4 5 2" xfId="17028"/>
    <cellStyle name="Normal 10 2 2 4 5 3" xfId="13449"/>
    <cellStyle name="Normal 10 2 2 4 5 4" xfId="8192"/>
    <cellStyle name="Normal 10 2 2 4 6" xfId="5753"/>
    <cellStyle name="Normal 10 2 2 4 6 2" xfId="14839"/>
    <cellStyle name="Normal 10 2 2 4 7" xfId="9646"/>
    <cellStyle name="Normal 10 2 2 4 7 2" xfId="18473"/>
    <cellStyle name="Normal 10 2 2 4 8" xfId="11090"/>
    <cellStyle name="Normal 10 2 2 4 9" xfId="4724"/>
    <cellStyle name="Normal 10 2 2 4_Degree data" xfId="1400"/>
    <cellStyle name="Normal 10 2 2 5" xfId="589"/>
    <cellStyle name="Normal 10 2 2 5 2" xfId="2319"/>
    <cellStyle name="Normal 10 2 2 5 2 2" xfId="15994"/>
    <cellStyle name="Normal 10 2 2 5 2 3" xfId="12350"/>
    <cellStyle name="Normal 10 2 2 5 2 4" xfId="6973"/>
    <cellStyle name="Normal 10 2 2 5 3" xfId="3588"/>
    <cellStyle name="Normal 10 2 2 5 3 2" xfId="17233"/>
    <cellStyle name="Normal 10 2 2 5 3 3" xfId="13654"/>
    <cellStyle name="Normal 10 2 2 5 3 4" xfId="8397"/>
    <cellStyle name="Normal 10 2 2 5 4" xfId="6089"/>
    <cellStyle name="Normal 10 2 2 5 4 2" xfId="15173"/>
    <cellStyle name="Normal 10 2 2 5 5" xfId="9851"/>
    <cellStyle name="Normal 10 2 2 5 5 2" xfId="18678"/>
    <cellStyle name="Normal 10 2 2 5 6" xfId="11295"/>
    <cellStyle name="Normal 10 2 2 5 7" xfId="4567"/>
    <cellStyle name="Normal 10 2 2 6" xfId="947"/>
    <cellStyle name="Normal 10 2 2 6 2" xfId="2667"/>
    <cellStyle name="Normal 10 2 2 6 2 2" xfId="16209"/>
    <cellStyle name="Normal 10 2 2 6 2 3" xfId="12631"/>
    <cellStyle name="Normal 10 2 2 6 2 4" xfId="7340"/>
    <cellStyle name="Normal 10 2 2 6 3" xfId="3936"/>
    <cellStyle name="Normal 10 2 2 6 3 2" xfId="17581"/>
    <cellStyle name="Normal 10 2 2 6 3 3" xfId="14002"/>
    <cellStyle name="Normal 10 2 2 6 3 4" xfId="8745"/>
    <cellStyle name="Normal 10 2 2 6 4" xfId="6456"/>
    <cellStyle name="Normal 10 2 2 6 4 2" xfId="15540"/>
    <cellStyle name="Normal 10 2 2 6 5" xfId="10199"/>
    <cellStyle name="Normal 10 2 2 6 5 2" xfId="19026"/>
    <cellStyle name="Normal 10 2 2 6 6" xfId="11645"/>
    <cellStyle name="Normal 10 2 2 6 7" xfId="4934"/>
    <cellStyle name="Normal 10 2 2 7" xfId="1391"/>
    <cellStyle name="Normal 10 2 2 7 2" xfId="3000"/>
    <cellStyle name="Normal 10 2 2 7 2 2" xfId="16550"/>
    <cellStyle name="Normal 10 2 2 7 2 3" xfId="12971"/>
    <cellStyle name="Normal 10 2 2 7 2 4" xfId="7682"/>
    <cellStyle name="Normal 10 2 2 7 3" xfId="4216"/>
    <cellStyle name="Normal 10 2 2 7 3 2" xfId="17914"/>
    <cellStyle name="Normal 10 2 2 7 3 3" xfId="14335"/>
    <cellStyle name="Normal 10 2 2 7 3 4" xfId="9078"/>
    <cellStyle name="Normal 10 2 2 7 4" xfId="5927"/>
    <cellStyle name="Normal 10 2 2 7 4 2" xfId="15013"/>
    <cellStyle name="Normal 10 2 2 7 5" xfId="10532"/>
    <cellStyle name="Normal 10 2 2 7 5 2" xfId="19359"/>
    <cellStyle name="Normal 10 2 2 7 6" xfId="11978"/>
    <cellStyle name="Normal 10 2 2 7 7" xfId="5276"/>
    <cellStyle name="Normal 10 2 2 8" xfId="1957"/>
    <cellStyle name="Normal 10 2 2 8 2" xfId="9489"/>
    <cellStyle name="Normal 10 2 2 8 2 2" xfId="18316"/>
    <cellStyle name="Normal 10 2 2 8 3" xfId="10933"/>
    <cellStyle name="Normal 10 2 2 8 4" xfId="6813"/>
    <cellStyle name="Normal 10 2 2 9" xfId="1882"/>
    <cellStyle name="Normal 10 2 2 9 2" xfId="16869"/>
    <cellStyle name="Normal 10 2 2 9 3" xfId="13290"/>
    <cellStyle name="Normal 10 2 2 9 4" xfId="8033"/>
    <cellStyle name="Normal 10 2 2_Degree data" xfId="1217"/>
    <cellStyle name="Normal 10 2 3" xfId="254"/>
    <cellStyle name="Normal 10 2 3 10" xfId="11008"/>
    <cellStyle name="Normal 10 2 3 11" xfId="4425"/>
    <cellStyle name="Normal 10 2 3 2" xfId="362"/>
    <cellStyle name="Normal 10 2 3 2 2" xfId="596"/>
    <cellStyle name="Normal 10 2 3 2 2 2" xfId="2326"/>
    <cellStyle name="Normal 10 2 3 2 2 2 2" xfId="16216"/>
    <cellStyle name="Normal 10 2 3 2 2 2 3" xfId="12638"/>
    <cellStyle name="Normal 10 2 3 2 2 2 4" xfId="7347"/>
    <cellStyle name="Normal 10 2 3 2 2 3" xfId="3595"/>
    <cellStyle name="Normal 10 2 3 2 2 3 2" xfId="17240"/>
    <cellStyle name="Normal 10 2 3 2 2 3 3" xfId="13661"/>
    <cellStyle name="Normal 10 2 3 2 2 3 4" xfId="8404"/>
    <cellStyle name="Normal 10 2 3 2 2 4" xfId="6463"/>
    <cellStyle name="Normal 10 2 3 2 2 4 2" xfId="15547"/>
    <cellStyle name="Normal 10 2 3 2 2 5" xfId="9858"/>
    <cellStyle name="Normal 10 2 3 2 2 5 2" xfId="18685"/>
    <cellStyle name="Normal 10 2 3 2 2 6" xfId="11302"/>
    <cellStyle name="Normal 10 2 3 2 2 7" xfId="4941"/>
    <cellStyle name="Normal 10 2 3 2 3" xfId="954"/>
    <cellStyle name="Normal 10 2 3 2 3 2" xfId="2674"/>
    <cellStyle name="Normal 10 2 3 2 3 2 2" xfId="16725"/>
    <cellStyle name="Normal 10 2 3 2 3 2 3" xfId="13146"/>
    <cellStyle name="Normal 10 2 3 2 3 2 4" xfId="7857"/>
    <cellStyle name="Normal 10 2 3 2 3 3" xfId="3943"/>
    <cellStyle name="Normal 10 2 3 2 3 3 2" xfId="17588"/>
    <cellStyle name="Normal 10 2 3 2 3 3 3" xfId="14009"/>
    <cellStyle name="Normal 10 2 3 2 3 3 4" xfId="8752"/>
    <cellStyle name="Normal 10 2 3 2 3 4" xfId="6264"/>
    <cellStyle name="Normal 10 2 3 2 3 4 2" xfId="15348"/>
    <cellStyle name="Normal 10 2 3 2 3 5" xfId="10206"/>
    <cellStyle name="Normal 10 2 3 2 3 5 2" xfId="19033"/>
    <cellStyle name="Normal 10 2 3 2 3 6" xfId="11652"/>
    <cellStyle name="Normal 10 2 3 2 3 7" xfId="5451"/>
    <cellStyle name="Normal 10 2 3 2 4" xfId="1577"/>
    <cellStyle name="Normal 10 2 3 2 4 2" xfId="3175"/>
    <cellStyle name="Normal 10 2 3 2 4 2 2" xfId="18089"/>
    <cellStyle name="Normal 10 2 3 2 4 2 3" xfId="14510"/>
    <cellStyle name="Normal 10 2 3 2 4 2 4" xfId="9253"/>
    <cellStyle name="Normal 10 2 3 2 4 3" xfId="10707"/>
    <cellStyle name="Normal 10 2 3 2 4 3 2" xfId="19534"/>
    <cellStyle name="Normal 10 2 3 2 4 4" xfId="12153"/>
    <cellStyle name="Normal 10 2 3 2 4 5" xfId="7148"/>
    <cellStyle name="Normal 10 2 3 2 5" xfId="2132"/>
    <cellStyle name="Normal 10 2 3 2 5 2" xfId="17046"/>
    <cellStyle name="Normal 10 2 3 2 5 3" xfId="13467"/>
    <cellStyle name="Normal 10 2 3 2 5 4" xfId="8210"/>
    <cellStyle name="Normal 10 2 3 2 6" xfId="5771"/>
    <cellStyle name="Normal 10 2 3 2 6 2" xfId="14857"/>
    <cellStyle name="Normal 10 2 3 2 7" xfId="9664"/>
    <cellStyle name="Normal 10 2 3 2 7 2" xfId="18491"/>
    <cellStyle name="Normal 10 2 3 2 8" xfId="11108"/>
    <cellStyle name="Normal 10 2 3 2 9" xfId="4742"/>
    <cellStyle name="Normal 10 2 3 2_Degree data" xfId="1256"/>
    <cellStyle name="Normal 10 2 3 3" xfId="595"/>
    <cellStyle name="Normal 10 2 3 3 2" xfId="2325"/>
    <cellStyle name="Normal 10 2 3 3 2 2" xfId="16062"/>
    <cellStyle name="Normal 10 2 3 3 2 3" xfId="12333"/>
    <cellStyle name="Normal 10 2 3 3 2 4" xfId="7048"/>
    <cellStyle name="Normal 10 2 3 3 3" xfId="3594"/>
    <cellStyle name="Normal 10 2 3 3 3 2" xfId="17239"/>
    <cellStyle name="Normal 10 2 3 3 3 3" xfId="13660"/>
    <cellStyle name="Normal 10 2 3 3 3 4" xfId="8403"/>
    <cellStyle name="Normal 10 2 3 3 4" xfId="6164"/>
    <cellStyle name="Normal 10 2 3 3 4 2" xfId="15248"/>
    <cellStyle name="Normal 10 2 3 3 5" xfId="9857"/>
    <cellStyle name="Normal 10 2 3 3 5 2" xfId="18684"/>
    <cellStyle name="Normal 10 2 3 3 6" xfId="11301"/>
    <cellStyle name="Normal 10 2 3 3 7" xfId="4642"/>
    <cellStyle name="Normal 10 2 3 4" xfId="953"/>
    <cellStyle name="Normal 10 2 3 4 2" xfId="2673"/>
    <cellStyle name="Normal 10 2 3 4 2 2" xfId="16215"/>
    <cellStyle name="Normal 10 2 3 4 2 3" xfId="12637"/>
    <cellStyle name="Normal 10 2 3 4 2 4" xfId="7346"/>
    <cellStyle name="Normal 10 2 3 4 3" xfId="3942"/>
    <cellStyle name="Normal 10 2 3 4 3 2" xfId="17587"/>
    <cellStyle name="Normal 10 2 3 4 3 3" xfId="14008"/>
    <cellStyle name="Normal 10 2 3 4 3 4" xfId="8751"/>
    <cellStyle name="Normal 10 2 3 4 4" xfId="6462"/>
    <cellStyle name="Normal 10 2 3 4 4 2" xfId="15546"/>
    <cellStyle name="Normal 10 2 3 4 5" xfId="10205"/>
    <cellStyle name="Normal 10 2 3 4 5 2" xfId="19032"/>
    <cellStyle name="Normal 10 2 3 4 6" xfId="11651"/>
    <cellStyle name="Normal 10 2 3 4 7" xfId="4940"/>
    <cellStyle name="Normal 10 2 3 5" xfId="1475"/>
    <cellStyle name="Normal 10 2 3 5 2" xfId="3075"/>
    <cellStyle name="Normal 10 2 3 5 2 2" xfId="16625"/>
    <cellStyle name="Normal 10 2 3 5 2 3" xfId="13046"/>
    <cellStyle name="Normal 10 2 3 5 2 4" xfId="7757"/>
    <cellStyle name="Normal 10 2 3 5 3" xfId="4284"/>
    <cellStyle name="Normal 10 2 3 5 3 2" xfId="17989"/>
    <cellStyle name="Normal 10 2 3 5 3 3" xfId="14410"/>
    <cellStyle name="Normal 10 2 3 5 3 4" xfId="9153"/>
    <cellStyle name="Normal 10 2 3 5 4" xfId="5945"/>
    <cellStyle name="Normal 10 2 3 5 4 2" xfId="15031"/>
    <cellStyle name="Normal 10 2 3 5 5" xfId="10607"/>
    <cellStyle name="Normal 10 2 3 5 5 2" xfId="19434"/>
    <cellStyle name="Normal 10 2 3 5 6" xfId="12053"/>
    <cellStyle name="Normal 10 2 3 5 7" xfId="5351"/>
    <cellStyle name="Normal 10 2 3 6" xfId="2032"/>
    <cellStyle name="Normal 10 2 3 6 2" xfId="15874"/>
    <cellStyle name="Normal 10 2 3 6 3" xfId="12372"/>
    <cellStyle name="Normal 10 2 3 6 4" xfId="6831"/>
    <cellStyle name="Normal 10 2 3 7" xfId="3446"/>
    <cellStyle name="Normal 10 2 3 7 2" xfId="16946"/>
    <cellStyle name="Normal 10 2 3 7 3" xfId="13367"/>
    <cellStyle name="Normal 10 2 3 7 4" xfId="8110"/>
    <cellStyle name="Normal 10 2 3 8" xfId="5671"/>
    <cellStyle name="Normal 10 2 3 8 2" xfId="14757"/>
    <cellStyle name="Normal 10 2 3 9" xfId="9564"/>
    <cellStyle name="Normal 10 2 3 9 2" xfId="18391"/>
    <cellStyle name="Normal 10 2 3_Degree data" xfId="1328"/>
    <cellStyle name="Normal 10 2 4" xfId="196"/>
    <cellStyle name="Normal 10 2 4 10" xfId="10953"/>
    <cellStyle name="Normal 10 2 4 11" xfId="4475"/>
    <cellStyle name="Normal 10 2 4 2" xfId="413"/>
    <cellStyle name="Normal 10 2 4 2 2" xfId="598"/>
    <cellStyle name="Normal 10 2 4 2 2 2" xfId="2328"/>
    <cellStyle name="Normal 10 2 4 2 2 2 2" xfId="16218"/>
    <cellStyle name="Normal 10 2 4 2 2 2 3" xfId="12640"/>
    <cellStyle name="Normal 10 2 4 2 2 2 4" xfId="7349"/>
    <cellStyle name="Normal 10 2 4 2 2 3" xfId="3597"/>
    <cellStyle name="Normal 10 2 4 2 2 3 2" xfId="17242"/>
    <cellStyle name="Normal 10 2 4 2 2 3 3" xfId="13663"/>
    <cellStyle name="Normal 10 2 4 2 2 3 4" xfId="8406"/>
    <cellStyle name="Normal 10 2 4 2 2 4" xfId="6465"/>
    <cellStyle name="Normal 10 2 4 2 2 4 2" xfId="15549"/>
    <cellStyle name="Normal 10 2 4 2 2 5" xfId="9860"/>
    <cellStyle name="Normal 10 2 4 2 2 5 2" xfId="18687"/>
    <cellStyle name="Normal 10 2 4 2 2 6" xfId="11304"/>
    <cellStyle name="Normal 10 2 4 2 2 7" xfId="4943"/>
    <cellStyle name="Normal 10 2 4 2 3" xfId="956"/>
    <cellStyle name="Normal 10 2 4 2 3 2" xfId="2676"/>
    <cellStyle name="Normal 10 2 4 2 3 2 2" xfId="16775"/>
    <cellStyle name="Normal 10 2 4 2 3 2 3" xfId="13196"/>
    <cellStyle name="Normal 10 2 4 2 3 2 4" xfId="7907"/>
    <cellStyle name="Normal 10 2 4 2 3 3" xfId="3945"/>
    <cellStyle name="Normal 10 2 4 2 3 3 2" xfId="17590"/>
    <cellStyle name="Normal 10 2 4 2 3 3 3" xfId="14011"/>
    <cellStyle name="Normal 10 2 4 2 3 3 4" xfId="8754"/>
    <cellStyle name="Normal 10 2 4 2 3 4" xfId="6314"/>
    <cellStyle name="Normal 10 2 4 2 3 4 2" xfId="15398"/>
    <cellStyle name="Normal 10 2 4 2 3 5" xfId="10208"/>
    <cellStyle name="Normal 10 2 4 2 3 5 2" xfId="19035"/>
    <cellStyle name="Normal 10 2 4 2 3 6" xfId="11654"/>
    <cellStyle name="Normal 10 2 4 2 3 7" xfId="5501"/>
    <cellStyle name="Normal 10 2 4 2 4" xfId="1629"/>
    <cellStyle name="Normal 10 2 4 2 4 2" xfId="3225"/>
    <cellStyle name="Normal 10 2 4 2 4 2 2" xfId="18139"/>
    <cellStyle name="Normal 10 2 4 2 4 2 3" xfId="14560"/>
    <cellStyle name="Normal 10 2 4 2 4 2 4" xfId="9303"/>
    <cellStyle name="Normal 10 2 4 2 4 3" xfId="10757"/>
    <cellStyle name="Normal 10 2 4 2 4 3 2" xfId="19584"/>
    <cellStyle name="Normal 10 2 4 2 4 4" xfId="12203"/>
    <cellStyle name="Normal 10 2 4 2 4 5" xfId="7198"/>
    <cellStyle name="Normal 10 2 4 2 5" xfId="2182"/>
    <cellStyle name="Normal 10 2 4 2 5 2" xfId="17096"/>
    <cellStyle name="Normal 10 2 4 2 5 3" xfId="13517"/>
    <cellStyle name="Normal 10 2 4 2 5 4" xfId="8260"/>
    <cellStyle name="Normal 10 2 4 2 6" xfId="5821"/>
    <cellStyle name="Normal 10 2 4 2 6 2" xfId="14907"/>
    <cellStyle name="Normal 10 2 4 2 7" xfId="9714"/>
    <cellStyle name="Normal 10 2 4 2 7 2" xfId="18541"/>
    <cellStyle name="Normal 10 2 4 2 8" xfId="11158"/>
    <cellStyle name="Normal 10 2 4 2 9" xfId="4792"/>
    <cellStyle name="Normal 10 2 4 2_Degree data" xfId="1261"/>
    <cellStyle name="Normal 10 2 4 3" xfId="597"/>
    <cellStyle name="Normal 10 2 4 3 2" xfId="2327"/>
    <cellStyle name="Normal 10 2 4 3 2 2" xfId="16007"/>
    <cellStyle name="Normal 10 2 4 3 2 3" xfId="12300"/>
    <cellStyle name="Normal 10 2 4 3 2 4" xfId="6993"/>
    <cellStyle name="Normal 10 2 4 3 3" xfId="3596"/>
    <cellStyle name="Normal 10 2 4 3 3 2" xfId="17241"/>
    <cellStyle name="Normal 10 2 4 3 3 3" xfId="13662"/>
    <cellStyle name="Normal 10 2 4 3 3 4" xfId="8405"/>
    <cellStyle name="Normal 10 2 4 3 4" xfId="6109"/>
    <cellStyle name="Normal 10 2 4 3 4 2" xfId="15193"/>
    <cellStyle name="Normal 10 2 4 3 5" xfId="9859"/>
    <cellStyle name="Normal 10 2 4 3 5 2" xfId="18686"/>
    <cellStyle name="Normal 10 2 4 3 6" xfId="11303"/>
    <cellStyle name="Normal 10 2 4 3 7" xfId="4587"/>
    <cellStyle name="Normal 10 2 4 4" xfId="955"/>
    <cellStyle name="Normal 10 2 4 4 2" xfId="2675"/>
    <cellStyle name="Normal 10 2 4 4 2 2" xfId="16217"/>
    <cellStyle name="Normal 10 2 4 4 2 3" xfId="12639"/>
    <cellStyle name="Normal 10 2 4 4 2 4" xfId="7348"/>
    <cellStyle name="Normal 10 2 4 4 3" xfId="3944"/>
    <cellStyle name="Normal 10 2 4 4 3 2" xfId="17589"/>
    <cellStyle name="Normal 10 2 4 4 3 3" xfId="14010"/>
    <cellStyle name="Normal 10 2 4 4 3 4" xfId="8753"/>
    <cellStyle name="Normal 10 2 4 4 4" xfId="6464"/>
    <cellStyle name="Normal 10 2 4 4 4 2" xfId="15548"/>
    <cellStyle name="Normal 10 2 4 4 5" xfId="10207"/>
    <cellStyle name="Normal 10 2 4 4 5 2" xfId="19034"/>
    <cellStyle name="Normal 10 2 4 4 6" xfId="11653"/>
    <cellStyle name="Normal 10 2 4 4 7" xfId="4942"/>
    <cellStyle name="Normal 10 2 4 5" xfId="1415"/>
    <cellStyle name="Normal 10 2 4 5 2" xfId="3020"/>
    <cellStyle name="Normal 10 2 4 5 2 2" xfId="16570"/>
    <cellStyle name="Normal 10 2 4 5 2 3" xfId="12991"/>
    <cellStyle name="Normal 10 2 4 5 2 4" xfId="7702"/>
    <cellStyle name="Normal 10 2 4 5 3" xfId="4229"/>
    <cellStyle name="Normal 10 2 4 5 3 2" xfId="17934"/>
    <cellStyle name="Normal 10 2 4 5 3 3" xfId="14355"/>
    <cellStyle name="Normal 10 2 4 5 3 4" xfId="9098"/>
    <cellStyle name="Normal 10 2 4 5 4" xfId="5995"/>
    <cellStyle name="Normal 10 2 4 5 4 2" xfId="15081"/>
    <cellStyle name="Normal 10 2 4 5 5" xfId="10552"/>
    <cellStyle name="Normal 10 2 4 5 5 2" xfId="19379"/>
    <cellStyle name="Normal 10 2 4 5 6" xfId="11998"/>
    <cellStyle name="Normal 10 2 4 5 7" xfId="5296"/>
    <cellStyle name="Normal 10 2 4 6" xfId="1977"/>
    <cellStyle name="Normal 10 2 4 6 2" xfId="15924"/>
    <cellStyle name="Normal 10 2 4 6 3" xfId="12486"/>
    <cellStyle name="Normal 10 2 4 6 4" xfId="6881"/>
    <cellStyle name="Normal 10 2 4 7" xfId="3392"/>
    <cellStyle name="Normal 10 2 4 7 2" xfId="16891"/>
    <cellStyle name="Normal 10 2 4 7 3" xfId="13312"/>
    <cellStyle name="Normal 10 2 4 7 4" xfId="8055"/>
    <cellStyle name="Normal 10 2 4 8" xfId="5616"/>
    <cellStyle name="Normal 10 2 4 8 2" xfId="14702"/>
    <cellStyle name="Normal 10 2 4 9" xfId="9509"/>
    <cellStyle name="Normal 10 2 4 9 2" xfId="18336"/>
    <cellStyle name="Normal 10 2 4_Degree data" xfId="1216"/>
    <cellStyle name="Normal 10 2 5" xfId="307"/>
    <cellStyle name="Normal 10 2 5 2" xfId="599"/>
    <cellStyle name="Normal 10 2 5 2 2" xfId="2329"/>
    <cellStyle name="Normal 10 2 5 2 2 2" xfId="16219"/>
    <cellStyle name="Normal 10 2 5 2 2 3" xfId="12641"/>
    <cellStyle name="Normal 10 2 5 2 2 4" xfId="7350"/>
    <cellStyle name="Normal 10 2 5 2 3" xfId="3598"/>
    <cellStyle name="Normal 10 2 5 2 3 2" xfId="17243"/>
    <cellStyle name="Normal 10 2 5 2 3 3" xfId="13664"/>
    <cellStyle name="Normal 10 2 5 2 3 4" xfId="8407"/>
    <cellStyle name="Normal 10 2 5 2 4" xfId="6466"/>
    <cellStyle name="Normal 10 2 5 2 4 2" xfId="15550"/>
    <cellStyle name="Normal 10 2 5 2 5" xfId="9861"/>
    <cellStyle name="Normal 10 2 5 2 5 2" xfId="18688"/>
    <cellStyle name="Normal 10 2 5 2 6" xfId="11305"/>
    <cellStyle name="Normal 10 2 5 2 7" xfId="4944"/>
    <cellStyle name="Normal 10 2 5 3" xfId="957"/>
    <cellStyle name="Normal 10 2 5 3 2" xfId="2677"/>
    <cellStyle name="Normal 10 2 5 3 2 2" xfId="16670"/>
    <cellStyle name="Normal 10 2 5 3 2 3" xfId="13091"/>
    <cellStyle name="Normal 10 2 5 3 2 4" xfId="7802"/>
    <cellStyle name="Normal 10 2 5 3 3" xfId="3946"/>
    <cellStyle name="Normal 10 2 5 3 3 2" xfId="17591"/>
    <cellStyle name="Normal 10 2 5 3 3 3" xfId="14012"/>
    <cellStyle name="Normal 10 2 5 3 3 4" xfId="8755"/>
    <cellStyle name="Normal 10 2 5 3 4" xfId="6209"/>
    <cellStyle name="Normal 10 2 5 3 4 2" xfId="15293"/>
    <cellStyle name="Normal 10 2 5 3 5" xfId="10209"/>
    <cellStyle name="Normal 10 2 5 3 5 2" xfId="19036"/>
    <cellStyle name="Normal 10 2 5 3 6" xfId="11655"/>
    <cellStyle name="Normal 10 2 5 3 7" xfId="5396"/>
    <cellStyle name="Normal 10 2 5 4" xfId="1521"/>
    <cellStyle name="Normal 10 2 5 4 2" xfId="3120"/>
    <cellStyle name="Normal 10 2 5 4 2 2" xfId="18034"/>
    <cellStyle name="Normal 10 2 5 4 2 3" xfId="14455"/>
    <cellStyle name="Normal 10 2 5 4 2 4" xfId="9198"/>
    <cellStyle name="Normal 10 2 5 4 3" xfId="10652"/>
    <cellStyle name="Normal 10 2 5 4 3 2" xfId="19479"/>
    <cellStyle name="Normal 10 2 5 4 4" xfId="12098"/>
    <cellStyle name="Normal 10 2 5 4 5" xfId="7093"/>
    <cellStyle name="Normal 10 2 5 5" xfId="2077"/>
    <cellStyle name="Normal 10 2 5 5 2" xfId="16991"/>
    <cellStyle name="Normal 10 2 5 5 3" xfId="13412"/>
    <cellStyle name="Normal 10 2 5 5 4" xfId="8155"/>
    <cellStyle name="Normal 10 2 5 6" xfId="5716"/>
    <cellStyle name="Normal 10 2 5 6 2" xfId="14802"/>
    <cellStyle name="Normal 10 2 5 7" xfId="9609"/>
    <cellStyle name="Normal 10 2 5 7 2" xfId="18436"/>
    <cellStyle name="Normal 10 2 5 8" xfId="11053"/>
    <cellStyle name="Normal 10 2 5 9" xfId="4687"/>
    <cellStyle name="Normal 10 2 5_Degree data" xfId="1265"/>
    <cellStyle name="Normal 10 2 6" xfId="486"/>
    <cellStyle name="Normal 10 2 6 2" xfId="600"/>
    <cellStyle name="Normal 10 2 6 2 2" xfId="2330"/>
    <cellStyle name="Normal 10 2 6 2 2 2" xfId="16220"/>
    <cellStyle name="Normal 10 2 6 2 2 3" xfId="12642"/>
    <cellStyle name="Normal 10 2 6 2 2 4" xfId="7351"/>
    <cellStyle name="Normal 10 2 6 2 3" xfId="3599"/>
    <cellStyle name="Normal 10 2 6 2 3 2" xfId="17244"/>
    <cellStyle name="Normal 10 2 6 2 3 3" xfId="13665"/>
    <cellStyle name="Normal 10 2 6 2 3 4" xfId="8408"/>
    <cellStyle name="Normal 10 2 6 2 4" xfId="6467"/>
    <cellStyle name="Normal 10 2 6 2 4 2" xfId="15551"/>
    <cellStyle name="Normal 10 2 6 2 5" xfId="9862"/>
    <cellStyle name="Normal 10 2 6 2 5 2" xfId="18689"/>
    <cellStyle name="Normal 10 2 6 2 6" xfId="11306"/>
    <cellStyle name="Normal 10 2 6 2 7" xfId="4945"/>
    <cellStyle name="Normal 10 2 6 3" xfId="958"/>
    <cellStyle name="Normal 10 2 6 3 2" xfId="2678"/>
    <cellStyle name="Normal 10 2 6 3 2 2" xfId="16525"/>
    <cellStyle name="Normal 10 2 6 3 2 3" xfId="12947"/>
    <cellStyle name="Normal 10 2 6 3 2 4" xfId="7657"/>
    <cellStyle name="Normal 10 2 6 3 3" xfId="3947"/>
    <cellStyle name="Normal 10 2 6 3 3 2" xfId="17592"/>
    <cellStyle name="Normal 10 2 6 3 3 3" xfId="14013"/>
    <cellStyle name="Normal 10 2 6 3 3 4" xfId="8756"/>
    <cellStyle name="Normal 10 2 6 3 4" xfId="6745"/>
    <cellStyle name="Normal 10 2 6 3 4 2" xfId="15828"/>
    <cellStyle name="Normal 10 2 6 3 5" xfId="10210"/>
    <cellStyle name="Normal 10 2 6 3 5 2" xfId="19037"/>
    <cellStyle name="Normal 10 2 6 3 6" xfId="11656"/>
    <cellStyle name="Normal 10 2 6 3 7" xfId="5251"/>
    <cellStyle name="Normal 10 2 6 4" xfId="1362"/>
    <cellStyle name="Normal 10 2 6 4 2" xfId="2975"/>
    <cellStyle name="Normal 10 2 6 4 2 2" xfId="17889"/>
    <cellStyle name="Normal 10 2 6 4 2 3" xfId="14310"/>
    <cellStyle name="Normal 10 2 6 4 2 4" xfId="9053"/>
    <cellStyle name="Normal 10 2 6 4 3" xfId="10507"/>
    <cellStyle name="Normal 10 2 6 4 3 2" xfId="19334"/>
    <cellStyle name="Normal 10 2 6 4 4" xfId="11953"/>
    <cellStyle name="Normal 10 2 6 4 5" xfId="6948"/>
    <cellStyle name="Normal 10 2 6 5" xfId="1932"/>
    <cellStyle name="Normal 10 2 6 5 2" xfId="16844"/>
    <cellStyle name="Normal 10 2 6 5 3" xfId="13265"/>
    <cellStyle name="Normal 10 2 6 5 4" xfId="8008"/>
    <cellStyle name="Normal 10 2 6 6" xfId="6064"/>
    <cellStyle name="Normal 10 2 6 6 2" xfId="15148"/>
    <cellStyle name="Normal 10 2 6 7" xfId="9464"/>
    <cellStyle name="Normal 10 2 6 7 2" xfId="18291"/>
    <cellStyle name="Normal 10 2 6 8" xfId="10908"/>
    <cellStyle name="Normal 10 2 6 9" xfId="4542"/>
    <cellStyle name="Normal 10 2 6_Degree data" xfId="1260"/>
    <cellStyle name="Normal 10 2 7" xfId="588"/>
    <cellStyle name="Normal 10 2 7 2" xfId="2318"/>
    <cellStyle name="Normal 10 2 7 2 2" xfId="16208"/>
    <cellStyle name="Normal 10 2 7 2 3" xfId="12630"/>
    <cellStyle name="Normal 10 2 7 2 4" xfId="7339"/>
    <cellStyle name="Normal 10 2 7 3" xfId="3587"/>
    <cellStyle name="Normal 10 2 7 3 2" xfId="17232"/>
    <cellStyle name="Normal 10 2 7 3 3" xfId="13653"/>
    <cellStyle name="Normal 10 2 7 3 4" xfId="8396"/>
    <cellStyle name="Normal 10 2 7 4" xfId="6455"/>
    <cellStyle name="Normal 10 2 7 4 2" xfId="15539"/>
    <cellStyle name="Normal 10 2 7 5" xfId="9850"/>
    <cellStyle name="Normal 10 2 7 5 2" xfId="18677"/>
    <cellStyle name="Normal 10 2 7 6" xfId="11294"/>
    <cellStyle name="Normal 10 2 7 7" xfId="4933"/>
    <cellStyle name="Normal 10 2 8" xfId="946"/>
    <cellStyle name="Normal 10 2 8 2" xfId="2666"/>
    <cellStyle name="Normal 10 2 8 2 2" xfId="16505"/>
    <cellStyle name="Normal 10 2 8 2 3" xfId="12927"/>
    <cellStyle name="Normal 10 2 8 2 4" xfId="7637"/>
    <cellStyle name="Normal 10 2 8 3" xfId="3935"/>
    <cellStyle name="Normal 10 2 8 3 2" xfId="17580"/>
    <cellStyle name="Normal 10 2 8 3 3" xfId="14001"/>
    <cellStyle name="Normal 10 2 8 3 4" xfId="8744"/>
    <cellStyle name="Normal 10 2 8 4" xfId="5889"/>
    <cellStyle name="Normal 10 2 8 4 2" xfId="14975"/>
    <cellStyle name="Normal 10 2 8 5" xfId="10198"/>
    <cellStyle name="Normal 10 2 8 5 2" xfId="19025"/>
    <cellStyle name="Normal 10 2 8 6" xfId="11644"/>
    <cellStyle name="Normal 10 2 8 7" xfId="5231"/>
    <cellStyle name="Normal 10 2 9" xfId="1342"/>
    <cellStyle name="Normal 10 2 9 2" xfId="2955"/>
    <cellStyle name="Normal 10 2 9 2 2" xfId="17869"/>
    <cellStyle name="Normal 10 2 9 2 3" xfId="14290"/>
    <cellStyle name="Normal 10 2 9 2 4" xfId="9033"/>
    <cellStyle name="Normal 10 2 9 3" xfId="10487"/>
    <cellStyle name="Normal 10 2 9 3 2" xfId="19314"/>
    <cellStyle name="Normal 10 2 9 4" xfId="11933"/>
    <cellStyle name="Normal 10 2 9 5" xfId="6775"/>
    <cellStyle name="Normal 10 2_Degree data" xfId="1313"/>
    <cellStyle name="Normal 10 3" xfId="121"/>
    <cellStyle name="Normal 10 3 2" xfId="157"/>
    <cellStyle name="Normal 10 3 2 10" xfId="10924"/>
    <cellStyle name="Normal 10 3 2 2" xfId="228"/>
    <cellStyle name="Normal 10 3 2 3" xfId="397"/>
    <cellStyle name="Normal 10 3 2 3 10" xfId="4459"/>
    <cellStyle name="Normal 10 3 2 3 2" xfId="602"/>
    <cellStyle name="Normal 10 3 2 3 2 2" xfId="2332"/>
    <cellStyle name="Normal 10 3 2 3 2 2 2" xfId="16096"/>
    <cellStyle name="Normal 10 3 2 3 2 2 3" xfId="12259"/>
    <cellStyle name="Normal 10 3 2 3 2 2 4" xfId="7182"/>
    <cellStyle name="Normal 10 3 2 3 2 3" xfId="3601"/>
    <cellStyle name="Normal 10 3 2 3 2 3 2" xfId="17246"/>
    <cellStyle name="Normal 10 3 2 3 2 3 3" xfId="13667"/>
    <cellStyle name="Normal 10 3 2 3 2 3 4" xfId="8410"/>
    <cellStyle name="Normal 10 3 2 3 2 4" xfId="6298"/>
    <cellStyle name="Normal 10 3 2 3 2 4 2" xfId="15382"/>
    <cellStyle name="Normal 10 3 2 3 2 5" xfId="9864"/>
    <cellStyle name="Normal 10 3 2 3 2 5 2" xfId="18691"/>
    <cellStyle name="Normal 10 3 2 3 2 6" xfId="11308"/>
    <cellStyle name="Normal 10 3 2 3 2 7" xfId="4776"/>
    <cellStyle name="Normal 10 3 2 3 3" xfId="960"/>
    <cellStyle name="Normal 10 3 2 3 3 2" xfId="2680"/>
    <cellStyle name="Normal 10 3 2 3 3 2 2" xfId="16222"/>
    <cellStyle name="Normal 10 3 2 3 3 2 3" xfId="12644"/>
    <cellStyle name="Normal 10 3 2 3 3 2 4" xfId="7353"/>
    <cellStyle name="Normal 10 3 2 3 3 3" xfId="3949"/>
    <cellStyle name="Normal 10 3 2 3 3 3 2" xfId="17594"/>
    <cellStyle name="Normal 10 3 2 3 3 3 3" xfId="14015"/>
    <cellStyle name="Normal 10 3 2 3 3 3 4" xfId="8758"/>
    <cellStyle name="Normal 10 3 2 3 3 4" xfId="6469"/>
    <cellStyle name="Normal 10 3 2 3 3 4 2" xfId="15553"/>
    <cellStyle name="Normal 10 3 2 3 3 5" xfId="10212"/>
    <cellStyle name="Normal 10 3 2 3 3 5 2" xfId="19039"/>
    <cellStyle name="Normal 10 3 2 3 3 6" xfId="11658"/>
    <cellStyle name="Normal 10 3 2 3 3 7" xfId="4947"/>
    <cellStyle name="Normal 10 3 2 3 4" xfId="1613"/>
    <cellStyle name="Normal 10 3 2 3 4 2" xfId="3209"/>
    <cellStyle name="Normal 10 3 2 3 4 2 2" xfId="16759"/>
    <cellStyle name="Normal 10 3 2 3 4 2 3" xfId="13180"/>
    <cellStyle name="Normal 10 3 2 3 4 2 4" xfId="7891"/>
    <cellStyle name="Normal 10 3 2 3 4 3" xfId="4318"/>
    <cellStyle name="Normal 10 3 2 3 4 3 2" xfId="18123"/>
    <cellStyle name="Normal 10 3 2 3 4 3 3" xfId="14544"/>
    <cellStyle name="Normal 10 3 2 3 4 3 4" xfId="9287"/>
    <cellStyle name="Normal 10 3 2 3 4 4" xfId="5979"/>
    <cellStyle name="Normal 10 3 2 3 4 4 2" xfId="15065"/>
    <cellStyle name="Normal 10 3 2 3 4 5" xfId="10741"/>
    <cellStyle name="Normal 10 3 2 3 4 5 2" xfId="19568"/>
    <cellStyle name="Normal 10 3 2 3 4 6" xfId="12187"/>
    <cellStyle name="Normal 10 3 2 3 4 7" xfId="5485"/>
    <cellStyle name="Normal 10 3 2 3 5" xfId="2166"/>
    <cellStyle name="Normal 10 3 2 3 5 2" xfId="15908"/>
    <cellStyle name="Normal 10 3 2 3 5 3" xfId="12460"/>
    <cellStyle name="Normal 10 3 2 3 5 4" xfId="6865"/>
    <cellStyle name="Normal 10 3 2 3 6" xfId="3480"/>
    <cellStyle name="Normal 10 3 2 3 6 2" xfId="17080"/>
    <cellStyle name="Normal 10 3 2 3 6 3" xfId="13501"/>
    <cellStyle name="Normal 10 3 2 3 6 4" xfId="8244"/>
    <cellStyle name="Normal 10 3 2 3 7" xfId="5805"/>
    <cellStyle name="Normal 10 3 2 3 7 2" xfId="14891"/>
    <cellStyle name="Normal 10 3 2 3 8" xfId="9698"/>
    <cellStyle name="Normal 10 3 2 3 8 2" xfId="18525"/>
    <cellStyle name="Normal 10 3 2 3 9" xfId="11142"/>
    <cellStyle name="Normal 10 3 2 3_Degree data" xfId="1264"/>
    <cellStyle name="Normal 10 3 2 4" xfId="601"/>
    <cellStyle name="Normal 10 3 2 4 2" xfId="2331"/>
    <cellStyle name="Normal 10 3 2 4 2 2" xfId="15990"/>
    <cellStyle name="Normal 10 3 2 4 2 3" xfId="12412"/>
    <cellStyle name="Normal 10 3 2 4 2 4" xfId="6964"/>
    <cellStyle name="Normal 10 3 2 4 3" xfId="3600"/>
    <cellStyle name="Normal 10 3 2 4 3 2" xfId="17245"/>
    <cellStyle name="Normal 10 3 2 4 3 3" xfId="13666"/>
    <cellStyle name="Normal 10 3 2 4 3 4" xfId="8409"/>
    <cellStyle name="Normal 10 3 2 4 4" xfId="6080"/>
    <cellStyle name="Normal 10 3 2 4 4 2" xfId="15164"/>
    <cellStyle name="Normal 10 3 2 4 5" xfId="9863"/>
    <cellStyle name="Normal 10 3 2 4 5 2" xfId="18690"/>
    <cellStyle name="Normal 10 3 2 4 6" xfId="11307"/>
    <cellStyle name="Normal 10 3 2 4 7" xfId="4558"/>
    <cellStyle name="Normal 10 3 2 5" xfId="959"/>
    <cellStyle name="Normal 10 3 2 5 2" xfId="2679"/>
    <cellStyle name="Normal 10 3 2 5 2 2" xfId="16221"/>
    <cellStyle name="Normal 10 3 2 5 2 3" xfId="12643"/>
    <cellStyle name="Normal 10 3 2 5 2 4" xfId="7352"/>
    <cellStyle name="Normal 10 3 2 5 3" xfId="3948"/>
    <cellStyle name="Normal 10 3 2 5 3 2" xfId="17593"/>
    <cellStyle name="Normal 10 3 2 5 3 3" xfId="14014"/>
    <cellStyle name="Normal 10 3 2 5 3 4" xfId="8757"/>
    <cellStyle name="Normal 10 3 2 5 4" xfId="6468"/>
    <cellStyle name="Normal 10 3 2 5 4 2" xfId="15552"/>
    <cellStyle name="Normal 10 3 2 5 5" xfId="10211"/>
    <cellStyle name="Normal 10 3 2 5 5 2" xfId="19038"/>
    <cellStyle name="Normal 10 3 2 5 6" xfId="11657"/>
    <cellStyle name="Normal 10 3 2 5 7" xfId="4946"/>
    <cellStyle name="Normal 10 3 2 6" xfId="1381"/>
    <cellStyle name="Normal 10 3 2 6 2" xfId="2991"/>
    <cellStyle name="Normal 10 3 2 6 2 2" xfId="17905"/>
    <cellStyle name="Normal 10 3 2 6 2 3" xfId="14326"/>
    <cellStyle name="Normal 10 3 2 6 2 4" xfId="9069"/>
    <cellStyle name="Normal 10 3 2 6 3" xfId="7673"/>
    <cellStyle name="Normal 10 3 2 6 3 2" xfId="16541"/>
    <cellStyle name="Normal 10 3 2 6 4" xfId="10523"/>
    <cellStyle name="Normal 10 3 2 6 4 2" xfId="19350"/>
    <cellStyle name="Normal 10 3 2 6 5" xfId="11969"/>
    <cellStyle name="Normal 10 3 2 6 6" xfId="5267"/>
    <cellStyle name="Normal 10 3 2 7" xfId="1948"/>
    <cellStyle name="Normal 10 3 2 7 2" xfId="16860"/>
    <cellStyle name="Normal 10 3 2 7 3" xfId="13281"/>
    <cellStyle name="Normal 10 3 2 7 4" xfId="8024"/>
    <cellStyle name="Normal 10 3 2 8" xfId="5587"/>
    <cellStyle name="Normal 10 3 2 8 2" xfId="14673"/>
    <cellStyle name="Normal 10 3 2 9" xfId="9480"/>
    <cellStyle name="Normal 10 3 2 9 2" xfId="18307"/>
    <cellStyle name="Normal 10 3 2_Degree data" xfId="1215"/>
    <cellStyle name="Normal 10 3 3" xfId="192"/>
    <cellStyle name="Normal 10 3 3 10" xfId="10949"/>
    <cellStyle name="Normal 10 3 3 11" xfId="4471"/>
    <cellStyle name="Normal 10 3 3 2" xfId="409"/>
    <cellStyle name="Normal 10 3 3 2 2" xfId="604"/>
    <cellStyle name="Normal 10 3 3 2 2 2" xfId="2334"/>
    <cellStyle name="Normal 10 3 3 2 2 2 2" xfId="16224"/>
    <cellStyle name="Normal 10 3 3 2 2 2 3" xfId="12646"/>
    <cellStyle name="Normal 10 3 3 2 2 2 4" xfId="7355"/>
    <cellStyle name="Normal 10 3 3 2 2 3" xfId="3603"/>
    <cellStyle name="Normal 10 3 3 2 2 3 2" xfId="17248"/>
    <cellStyle name="Normal 10 3 3 2 2 3 3" xfId="13669"/>
    <cellStyle name="Normal 10 3 3 2 2 3 4" xfId="8412"/>
    <cellStyle name="Normal 10 3 3 2 2 4" xfId="6471"/>
    <cellStyle name="Normal 10 3 3 2 2 4 2" xfId="15555"/>
    <cellStyle name="Normal 10 3 3 2 2 5" xfId="9866"/>
    <cellStyle name="Normal 10 3 3 2 2 5 2" xfId="18693"/>
    <cellStyle name="Normal 10 3 3 2 2 6" xfId="11310"/>
    <cellStyle name="Normal 10 3 3 2 2 7" xfId="4949"/>
    <cellStyle name="Normal 10 3 3 2 3" xfId="962"/>
    <cellStyle name="Normal 10 3 3 2 3 2" xfId="2682"/>
    <cellStyle name="Normal 10 3 3 2 3 2 2" xfId="16771"/>
    <cellStyle name="Normal 10 3 3 2 3 2 3" xfId="13192"/>
    <cellStyle name="Normal 10 3 3 2 3 2 4" xfId="7903"/>
    <cellStyle name="Normal 10 3 3 2 3 3" xfId="3951"/>
    <cellStyle name="Normal 10 3 3 2 3 3 2" xfId="17596"/>
    <cellStyle name="Normal 10 3 3 2 3 3 3" xfId="14017"/>
    <cellStyle name="Normal 10 3 3 2 3 3 4" xfId="8760"/>
    <cellStyle name="Normal 10 3 3 2 3 4" xfId="6310"/>
    <cellStyle name="Normal 10 3 3 2 3 4 2" xfId="15394"/>
    <cellStyle name="Normal 10 3 3 2 3 5" xfId="10214"/>
    <cellStyle name="Normal 10 3 3 2 3 5 2" xfId="19041"/>
    <cellStyle name="Normal 10 3 3 2 3 6" xfId="11660"/>
    <cellStyle name="Normal 10 3 3 2 3 7" xfId="5497"/>
    <cellStyle name="Normal 10 3 3 2 4" xfId="1625"/>
    <cellStyle name="Normal 10 3 3 2 4 2" xfId="3221"/>
    <cellStyle name="Normal 10 3 3 2 4 2 2" xfId="18135"/>
    <cellStyle name="Normal 10 3 3 2 4 2 3" xfId="14556"/>
    <cellStyle name="Normal 10 3 3 2 4 2 4" xfId="9299"/>
    <cellStyle name="Normal 10 3 3 2 4 3" xfId="10753"/>
    <cellStyle name="Normal 10 3 3 2 4 3 2" xfId="19580"/>
    <cellStyle name="Normal 10 3 3 2 4 4" xfId="12199"/>
    <cellStyle name="Normal 10 3 3 2 4 5" xfId="7194"/>
    <cellStyle name="Normal 10 3 3 2 5" xfId="2178"/>
    <cellStyle name="Normal 10 3 3 2 5 2" xfId="17092"/>
    <cellStyle name="Normal 10 3 3 2 5 3" xfId="13513"/>
    <cellStyle name="Normal 10 3 3 2 5 4" xfId="8256"/>
    <cellStyle name="Normal 10 3 3 2 6" xfId="5817"/>
    <cellStyle name="Normal 10 3 3 2 6 2" xfId="14903"/>
    <cellStyle name="Normal 10 3 3 2 7" xfId="9710"/>
    <cellStyle name="Normal 10 3 3 2 7 2" xfId="18537"/>
    <cellStyle name="Normal 10 3 3 2 8" xfId="11154"/>
    <cellStyle name="Normal 10 3 3 2 9" xfId="4788"/>
    <cellStyle name="Normal 10 3 3 2_Degree data" xfId="1301"/>
    <cellStyle name="Normal 10 3 3 3" xfId="603"/>
    <cellStyle name="Normal 10 3 3 3 2" xfId="2333"/>
    <cellStyle name="Normal 10 3 3 3 2 2" xfId="16003"/>
    <cellStyle name="Normal 10 3 3 3 2 3" xfId="12345"/>
    <cellStyle name="Normal 10 3 3 3 2 4" xfId="6989"/>
    <cellStyle name="Normal 10 3 3 3 3" xfId="3602"/>
    <cellStyle name="Normal 10 3 3 3 3 2" xfId="17247"/>
    <cellStyle name="Normal 10 3 3 3 3 3" xfId="13668"/>
    <cellStyle name="Normal 10 3 3 3 3 4" xfId="8411"/>
    <cellStyle name="Normal 10 3 3 3 4" xfId="6105"/>
    <cellStyle name="Normal 10 3 3 3 4 2" xfId="15189"/>
    <cellStyle name="Normal 10 3 3 3 5" xfId="9865"/>
    <cellStyle name="Normal 10 3 3 3 5 2" xfId="18692"/>
    <cellStyle name="Normal 10 3 3 3 6" xfId="11309"/>
    <cellStyle name="Normal 10 3 3 3 7" xfId="4583"/>
    <cellStyle name="Normal 10 3 3 4" xfId="961"/>
    <cellStyle name="Normal 10 3 3 4 2" xfId="2681"/>
    <cellStyle name="Normal 10 3 3 4 2 2" xfId="16223"/>
    <cellStyle name="Normal 10 3 3 4 2 3" xfId="12645"/>
    <cellStyle name="Normal 10 3 3 4 2 4" xfId="7354"/>
    <cellStyle name="Normal 10 3 3 4 3" xfId="3950"/>
    <cellStyle name="Normal 10 3 3 4 3 2" xfId="17595"/>
    <cellStyle name="Normal 10 3 3 4 3 3" xfId="14016"/>
    <cellStyle name="Normal 10 3 3 4 3 4" xfId="8759"/>
    <cellStyle name="Normal 10 3 3 4 4" xfId="6470"/>
    <cellStyle name="Normal 10 3 3 4 4 2" xfId="15554"/>
    <cellStyle name="Normal 10 3 3 4 5" xfId="10213"/>
    <cellStyle name="Normal 10 3 3 4 5 2" xfId="19040"/>
    <cellStyle name="Normal 10 3 3 4 6" xfId="11659"/>
    <cellStyle name="Normal 10 3 3 4 7" xfId="4948"/>
    <cellStyle name="Normal 10 3 3 5" xfId="1411"/>
    <cellStyle name="Normal 10 3 3 5 2" xfId="3016"/>
    <cellStyle name="Normal 10 3 3 5 2 2" xfId="16566"/>
    <cellStyle name="Normal 10 3 3 5 2 3" xfId="12987"/>
    <cellStyle name="Normal 10 3 3 5 2 4" xfId="7698"/>
    <cellStyle name="Normal 10 3 3 5 3" xfId="4225"/>
    <cellStyle name="Normal 10 3 3 5 3 2" xfId="17930"/>
    <cellStyle name="Normal 10 3 3 5 3 3" xfId="14351"/>
    <cellStyle name="Normal 10 3 3 5 3 4" xfId="9094"/>
    <cellStyle name="Normal 10 3 3 5 4" xfId="5991"/>
    <cellStyle name="Normal 10 3 3 5 4 2" xfId="15077"/>
    <cellStyle name="Normal 10 3 3 5 5" xfId="10548"/>
    <cellStyle name="Normal 10 3 3 5 5 2" xfId="19375"/>
    <cellStyle name="Normal 10 3 3 5 6" xfId="11994"/>
    <cellStyle name="Normal 10 3 3 5 7" xfId="5292"/>
    <cellStyle name="Normal 10 3 3 6" xfId="1973"/>
    <cellStyle name="Normal 10 3 3 6 2" xfId="15920"/>
    <cellStyle name="Normal 10 3 3 6 3" xfId="12430"/>
    <cellStyle name="Normal 10 3 3 6 4" xfId="6877"/>
    <cellStyle name="Normal 10 3 3 7" xfId="3388"/>
    <cellStyle name="Normal 10 3 3 7 2" xfId="16887"/>
    <cellStyle name="Normal 10 3 3 7 3" xfId="13308"/>
    <cellStyle name="Normal 10 3 3 7 4" xfId="8051"/>
    <cellStyle name="Normal 10 3 3 8" xfId="5612"/>
    <cellStyle name="Normal 10 3 3 8 2" xfId="14698"/>
    <cellStyle name="Normal 10 3 3 9" xfId="9505"/>
    <cellStyle name="Normal 10 3 3 9 2" xfId="18332"/>
    <cellStyle name="Normal 10 3 3_Degree data" xfId="1214"/>
    <cellStyle name="Normal 10 3 4" xfId="303"/>
    <cellStyle name="Normal 10 3 4 2" xfId="605"/>
    <cellStyle name="Normal 10 3 4 2 2" xfId="2335"/>
    <cellStyle name="Normal 10 3 4 2 2 2" xfId="16225"/>
    <cellStyle name="Normal 10 3 4 2 2 3" xfId="12647"/>
    <cellStyle name="Normal 10 3 4 2 2 4" xfId="7356"/>
    <cellStyle name="Normal 10 3 4 2 3" xfId="3604"/>
    <cellStyle name="Normal 10 3 4 2 3 2" xfId="17249"/>
    <cellStyle name="Normal 10 3 4 2 3 3" xfId="13670"/>
    <cellStyle name="Normal 10 3 4 2 3 4" xfId="8413"/>
    <cellStyle name="Normal 10 3 4 2 4" xfId="6472"/>
    <cellStyle name="Normal 10 3 4 2 4 2" xfId="15556"/>
    <cellStyle name="Normal 10 3 4 2 5" xfId="9867"/>
    <cellStyle name="Normal 10 3 4 2 5 2" xfId="18694"/>
    <cellStyle name="Normal 10 3 4 2 6" xfId="11311"/>
    <cellStyle name="Normal 10 3 4 2 7" xfId="4950"/>
    <cellStyle name="Normal 10 3 4 3" xfId="963"/>
    <cellStyle name="Normal 10 3 4 3 2" xfId="2683"/>
    <cellStyle name="Normal 10 3 4 3 2 2" xfId="16666"/>
    <cellStyle name="Normal 10 3 4 3 2 3" xfId="13087"/>
    <cellStyle name="Normal 10 3 4 3 2 4" xfId="7798"/>
    <cellStyle name="Normal 10 3 4 3 3" xfId="3952"/>
    <cellStyle name="Normal 10 3 4 3 3 2" xfId="17597"/>
    <cellStyle name="Normal 10 3 4 3 3 3" xfId="14018"/>
    <cellStyle name="Normal 10 3 4 3 3 4" xfId="8761"/>
    <cellStyle name="Normal 10 3 4 3 4" xfId="6205"/>
    <cellStyle name="Normal 10 3 4 3 4 2" xfId="15289"/>
    <cellStyle name="Normal 10 3 4 3 5" xfId="10215"/>
    <cellStyle name="Normal 10 3 4 3 5 2" xfId="19042"/>
    <cellStyle name="Normal 10 3 4 3 6" xfId="11661"/>
    <cellStyle name="Normal 10 3 4 3 7" xfId="5392"/>
    <cellStyle name="Normal 10 3 4 4" xfId="1517"/>
    <cellStyle name="Normal 10 3 4 4 2" xfId="3116"/>
    <cellStyle name="Normal 10 3 4 4 2 2" xfId="18030"/>
    <cellStyle name="Normal 10 3 4 4 2 3" xfId="14451"/>
    <cellStyle name="Normal 10 3 4 4 2 4" xfId="9194"/>
    <cellStyle name="Normal 10 3 4 4 3" xfId="10648"/>
    <cellStyle name="Normal 10 3 4 4 3 2" xfId="19475"/>
    <cellStyle name="Normal 10 3 4 4 4" xfId="12094"/>
    <cellStyle name="Normal 10 3 4 4 5" xfId="7089"/>
    <cellStyle name="Normal 10 3 4 5" xfId="2073"/>
    <cellStyle name="Normal 10 3 4 5 2" xfId="16987"/>
    <cellStyle name="Normal 10 3 4 5 3" xfId="13408"/>
    <cellStyle name="Normal 10 3 4 5 4" xfId="8151"/>
    <cellStyle name="Normal 10 3 4 6" xfId="5712"/>
    <cellStyle name="Normal 10 3 4 6 2" xfId="14798"/>
    <cellStyle name="Normal 10 3 4 7" xfId="9605"/>
    <cellStyle name="Normal 10 3 4 7 2" xfId="18432"/>
    <cellStyle name="Normal 10 3 4 8" xfId="11049"/>
    <cellStyle name="Normal 10 3 4 9" xfId="4683"/>
    <cellStyle name="Normal 10 3 4_Degree data" xfId="1323"/>
    <cellStyle name="Normal 10 3 5" xfId="3298"/>
    <cellStyle name="Normal 10 3 5 2" xfId="14971"/>
    <cellStyle name="Normal 10 3 5 3" xfId="12516"/>
    <cellStyle name="Normal 10 3 5 4" xfId="5885"/>
    <cellStyle name="Normal 10 3 6" xfId="3292"/>
    <cellStyle name="Normal 10 3 6 2" xfId="15846"/>
    <cellStyle name="Normal 10 3 6 3" xfId="12382"/>
    <cellStyle name="Normal 10 3 6 4" xfId="6771"/>
    <cellStyle name="Normal 10 3 7" xfId="14628"/>
    <cellStyle name="Normal 10 3 8" xfId="4366"/>
    <cellStyle name="Normal 10 4" xfId="148"/>
    <cellStyle name="Normal 10 4 10" xfId="5575"/>
    <cellStyle name="Normal 10 4 10 2" xfId="14661"/>
    <cellStyle name="Normal 10 4 11" xfId="9395"/>
    <cellStyle name="Normal 10 4 11 2" xfId="18222"/>
    <cellStyle name="Normal 10 4 12" xfId="10835"/>
    <cellStyle name="Normal 10 4 13" xfId="4388"/>
    <cellStyle name="Normal 10 4 2" xfId="260"/>
    <cellStyle name="Normal 10 4 2 10" xfId="11014"/>
    <cellStyle name="Normal 10 4 2 11" xfId="4431"/>
    <cellStyle name="Normal 10 4 2 2" xfId="368"/>
    <cellStyle name="Normal 10 4 2 2 2" xfId="608"/>
    <cellStyle name="Normal 10 4 2 2 2 2" xfId="2338"/>
    <cellStyle name="Normal 10 4 2 2 2 2 2" xfId="16228"/>
    <cellStyle name="Normal 10 4 2 2 2 2 3" xfId="12650"/>
    <cellStyle name="Normal 10 4 2 2 2 2 4" xfId="7359"/>
    <cellStyle name="Normal 10 4 2 2 2 3" xfId="3607"/>
    <cellStyle name="Normal 10 4 2 2 2 3 2" xfId="17252"/>
    <cellStyle name="Normal 10 4 2 2 2 3 3" xfId="13673"/>
    <cellStyle name="Normal 10 4 2 2 2 3 4" xfId="8416"/>
    <cellStyle name="Normal 10 4 2 2 2 4" xfId="6475"/>
    <cellStyle name="Normal 10 4 2 2 2 4 2" xfId="15559"/>
    <cellStyle name="Normal 10 4 2 2 2 5" xfId="9870"/>
    <cellStyle name="Normal 10 4 2 2 2 5 2" xfId="18697"/>
    <cellStyle name="Normal 10 4 2 2 2 6" xfId="11314"/>
    <cellStyle name="Normal 10 4 2 2 2 7" xfId="4953"/>
    <cellStyle name="Normal 10 4 2 2 3" xfId="966"/>
    <cellStyle name="Normal 10 4 2 2 3 2" xfId="2686"/>
    <cellStyle name="Normal 10 4 2 2 3 2 2" xfId="16731"/>
    <cellStyle name="Normal 10 4 2 2 3 2 3" xfId="13152"/>
    <cellStyle name="Normal 10 4 2 2 3 2 4" xfId="7863"/>
    <cellStyle name="Normal 10 4 2 2 3 3" xfId="3955"/>
    <cellStyle name="Normal 10 4 2 2 3 3 2" xfId="17600"/>
    <cellStyle name="Normal 10 4 2 2 3 3 3" xfId="14021"/>
    <cellStyle name="Normal 10 4 2 2 3 3 4" xfId="8764"/>
    <cellStyle name="Normal 10 4 2 2 3 4" xfId="6270"/>
    <cellStyle name="Normal 10 4 2 2 3 4 2" xfId="15354"/>
    <cellStyle name="Normal 10 4 2 2 3 5" xfId="10218"/>
    <cellStyle name="Normal 10 4 2 2 3 5 2" xfId="19045"/>
    <cellStyle name="Normal 10 4 2 2 3 6" xfId="11664"/>
    <cellStyle name="Normal 10 4 2 2 3 7" xfId="5457"/>
    <cellStyle name="Normal 10 4 2 2 4" xfId="1583"/>
    <cellStyle name="Normal 10 4 2 2 4 2" xfId="3181"/>
    <cellStyle name="Normal 10 4 2 2 4 2 2" xfId="18095"/>
    <cellStyle name="Normal 10 4 2 2 4 2 3" xfId="14516"/>
    <cellStyle name="Normal 10 4 2 2 4 2 4" xfId="9259"/>
    <cellStyle name="Normal 10 4 2 2 4 3" xfId="10713"/>
    <cellStyle name="Normal 10 4 2 2 4 3 2" xfId="19540"/>
    <cellStyle name="Normal 10 4 2 2 4 4" xfId="12159"/>
    <cellStyle name="Normal 10 4 2 2 4 5" xfId="7154"/>
    <cellStyle name="Normal 10 4 2 2 5" xfId="2138"/>
    <cellStyle name="Normal 10 4 2 2 5 2" xfId="17052"/>
    <cellStyle name="Normal 10 4 2 2 5 3" xfId="13473"/>
    <cellStyle name="Normal 10 4 2 2 5 4" xfId="8216"/>
    <cellStyle name="Normal 10 4 2 2 6" xfId="5777"/>
    <cellStyle name="Normal 10 4 2 2 6 2" xfId="14863"/>
    <cellStyle name="Normal 10 4 2 2 7" xfId="9670"/>
    <cellStyle name="Normal 10 4 2 2 7 2" xfId="18497"/>
    <cellStyle name="Normal 10 4 2 2 8" xfId="11114"/>
    <cellStyle name="Normal 10 4 2 2 9" xfId="4748"/>
    <cellStyle name="Normal 10 4 2 2_Degree data" xfId="1298"/>
    <cellStyle name="Normal 10 4 2 3" xfId="607"/>
    <cellStyle name="Normal 10 4 2 3 2" xfId="2337"/>
    <cellStyle name="Normal 10 4 2 3 2 2" xfId="16068"/>
    <cellStyle name="Normal 10 4 2 3 2 3" xfId="12469"/>
    <cellStyle name="Normal 10 4 2 3 2 4" xfId="7054"/>
    <cellStyle name="Normal 10 4 2 3 3" xfId="3606"/>
    <cellStyle name="Normal 10 4 2 3 3 2" xfId="17251"/>
    <cellStyle name="Normal 10 4 2 3 3 3" xfId="13672"/>
    <cellStyle name="Normal 10 4 2 3 3 4" xfId="8415"/>
    <cellStyle name="Normal 10 4 2 3 4" xfId="6170"/>
    <cellStyle name="Normal 10 4 2 3 4 2" xfId="15254"/>
    <cellStyle name="Normal 10 4 2 3 5" xfId="9869"/>
    <cellStyle name="Normal 10 4 2 3 5 2" xfId="18696"/>
    <cellStyle name="Normal 10 4 2 3 6" xfId="11313"/>
    <cellStyle name="Normal 10 4 2 3 7" xfId="4648"/>
    <cellStyle name="Normal 10 4 2 4" xfId="965"/>
    <cellStyle name="Normal 10 4 2 4 2" xfId="2685"/>
    <cellStyle name="Normal 10 4 2 4 2 2" xfId="16227"/>
    <cellStyle name="Normal 10 4 2 4 2 3" xfId="12649"/>
    <cellStyle name="Normal 10 4 2 4 2 4" xfId="7358"/>
    <cellStyle name="Normal 10 4 2 4 3" xfId="3954"/>
    <cellStyle name="Normal 10 4 2 4 3 2" xfId="17599"/>
    <cellStyle name="Normal 10 4 2 4 3 3" xfId="14020"/>
    <cellStyle name="Normal 10 4 2 4 3 4" xfId="8763"/>
    <cellStyle name="Normal 10 4 2 4 4" xfId="6474"/>
    <cellStyle name="Normal 10 4 2 4 4 2" xfId="15558"/>
    <cellStyle name="Normal 10 4 2 4 5" xfId="10217"/>
    <cellStyle name="Normal 10 4 2 4 5 2" xfId="19044"/>
    <cellStyle name="Normal 10 4 2 4 6" xfId="11663"/>
    <cellStyle name="Normal 10 4 2 4 7" xfId="4952"/>
    <cellStyle name="Normal 10 4 2 5" xfId="1481"/>
    <cellStyle name="Normal 10 4 2 5 2" xfId="3081"/>
    <cellStyle name="Normal 10 4 2 5 2 2" xfId="16631"/>
    <cellStyle name="Normal 10 4 2 5 2 3" xfId="13052"/>
    <cellStyle name="Normal 10 4 2 5 2 4" xfId="7763"/>
    <cellStyle name="Normal 10 4 2 5 3" xfId="4290"/>
    <cellStyle name="Normal 10 4 2 5 3 2" xfId="17995"/>
    <cellStyle name="Normal 10 4 2 5 3 3" xfId="14416"/>
    <cellStyle name="Normal 10 4 2 5 3 4" xfId="9159"/>
    <cellStyle name="Normal 10 4 2 5 4" xfId="5951"/>
    <cellStyle name="Normal 10 4 2 5 4 2" xfId="15037"/>
    <cellStyle name="Normal 10 4 2 5 5" xfId="10613"/>
    <cellStyle name="Normal 10 4 2 5 5 2" xfId="19440"/>
    <cellStyle name="Normal 10 4 2 5 6" xfId="12059"/>
    <cellStyle name="Normal 10 4 2 5 7" xfId="5357"/>
    <cellStyle name="Normal 10 4 2 6" xfId="2038"/>
    <cellStyle name="Normal 10 4 2 6 2" xfId="15880"/>
    <cellStyle name="Normal 10 4 2 6 3" xfId="12449"/>
    <cellStyle name="Normal 10 4 2 6 4" xfId="6837"/>
    <cellStyle name="Normal 10 4 2 7" xfId="3452"/>
    <cellStyle name="Normal 10 4 2 7 2" xfId="16952"/>
    <cellStyle name="Normal 10 4 2 7 3" xfId="13373"/>
    <cellStyle name="Normal 10 4 2 7 4" xfId="8116"/>
    <cellStyle name="Normal 10 4 2 8" xfId="5677"/>
    <cellStyle name="Normal 10 4 2 8 2" xfId="14763"/>
    <cellStyle name="Normal 10 4 2 9" xfId="9570"/>
    <cellStyle name="Normal 10 4 2 9 2" xfId="18397"/>
    <cellStyle name="Normal 10 4 2_Degree data" xfId="1299"/>
    <cellStyle name="Normal 10 4 3" xfId="217"/>
    <cellStyle name="Normal 10 4 3 10" xfId="10971"/>
    <cellStyle name="Normal 10 4 3 11" xfId="4493"/>
    <cellStyle name="Normal 10 4 3 2" xfId="431"/>
    <cellStyle name="Normal 10 4 3 2 2" xfId="610"/>
    <cellStyle name="Normal 10 4 3 2 2 2" xfId="2340"/>
    <cellStyle name="Normal 10 4 3 2 2 2 2" xfId="16230"/>
    <cellStyle name="Normal 10 4 3 2 2 2 3" xfId="12652"/>
    <cellStyle name="Normal 10 4 3 2 2 2 4" xfId="7361"/>
    <cellStyle name="Normal 10 4 3 2 2 3" xfId="3609"/>
    <cellStyle name="Normal 10 4 3 2 2 3 2" xfId="17254"/>
    <cellStyle name="Normal 10 4 3 2 2 3 3" xfId="13675"/>
    <cellStyle name="Normal 10 4 3 2 2 3 4" xfId="8418"/>
    <cellStyle name="Normal 10 4 3 2 2 4" xfId="6477"/>
    <cellStyle name="Normal 10 4 3 2 2 4 2" xfId="15561"/>
    <cellStyle name="Normal 10 4 3 2 2 5" xfId="9872"/>
    <cellStyle name="Normal 10 4 3 2 2 5 2" xfId="18699"/>
    <cellStyle name="Normal 10 4 3 2 2 6" xfId="11316"/>
    <cellStyle name="Normal 10 4 3 2 2 7" xfId="4955"/>
    <cellStyle name="Normal 10 4 3 2 3" xfId="968"/>
    <cellStyle name="Normal 10 4 3 2 3 2" xfId="2688"/>
    <cellStyle name="Normal 10 4 3 2 3 2 2" xfId="16793"/>
    <cellStyle name="Normal 10 4 3 2 3 2 3" xfId="13214"/>
    <cellStyle name="Normal 10 4 3 2 3 2 4" xfId="7925"/>
    <cellStyle name="Normal 10 4 3 2 3 3" xfId="3957"/>
    <cellStyle name="Normal 10 4 3 2 3 3 2" xfId="17602"/>
    <cellStyle name="Normal 10 4 3 2 3 3 3" xfId="14023"/>
    <cellStyle name="Normal 10 4 3 2 3 3 4" xfId="8766"/>
    <cellStyle name="Normal 10 4 3 2 3 4" xfId="6332"/>
    <cellStyle name="Normal 10 4 3 2 3 4 2" xfId="15416"/>
    <cellStyle name="Normal 10 4 3 2 3 5" xfId="10220"/>
    <cellStyle name="Normal 10 4 3 2 3 5 2" xfId="19047"/>
    <cellStyle name="Normal 10 4 3 2 3 6" xfId="11666"/>
    <cellStyle name="Normal 10 4 3 2 3 7" xfId="5519"/>
    <cellStyle name="Normal 10 4 3 2 4" xfId="1647"/>
    <cellStyle name="Normal 10 4 3 2 4 2" xfId="3243"/>
    <cellStyle name="Normal 10 4 3 2 4 2 2" xfId="18157"/>
    <cellStyle name="Normal 10 4 3 2 4 2 3" xfId="14578"/>
    <cellStyle name="Normal 10 4 3 2 4 2 4" xfId="9321"/>
    <cellStyle name="Normal 10 4 3 2 4 3" xfId="10775"/>
    <cellStyle name="Normal 10 4 3 2 4 3 2" xfId="19602"/>
    <cellStyle name="Normal 10 4 3 2 4 4" xfId="12221"/>
    <cellStyle name="Normal 10 4 3 2 4 5" xfId="7216"/>
    <cellStyle name="Normal 10 4 3 2 5" xfId="2200"/>
    <cellStyle name="Normal 10 4 3 2 5 2" xfId="17114"/>
    <cellStyle name="Normal 10 4 3 2 5 3" xfId="13535"/>
    <cellStyle name="Normal 10 4 3 2 5 4" xfId="8278"/>
    <cellStyle name="Normal 10 4 3 2 6" xfId="5839"/>
    <cellStyle name="Normal 10 4 3 2 6 2" xfId="14925"/>
    <cellStyle name="Normal 10 4 3 2 7" xfId="9732"/>
    <cellStyle name="Normal 10 4 3 2 7 2" xfId="18559"/>
    <cellStyle name="Normal 10 4 3 2 8" xfId="11176"/>
    <cellStyle name="Normal 10 4 3 2 9" xfId="4810"/>
    <cellStyle name="Normal 10 4 3 2_Degree data" xfId="1331"/>
    <cellStyle name="Normal 10 4 3 3" xfId="609"/>
    <cellStyle name="Normal 10 4 3 3 2" xfId="2339"/>
    <cellStyle name="Normal 10 4 3 3 2 2" xfId="16025"/>
    <cellStyle name="Normal 10 4 3 3 2 3" xfId="12294"/>
    <cellStyle name="Normal 10 4 3 3 2 4" xfId="7011"/>
    <cellStyle name="Normal 10 4 3 3 3" xfId="3608"/>
    <cellStyle name="Normal 10 4 3 3 3 2" xfId="17253"/>
    <cellStyle name="Normal 10 4 3 3 3 3" xfId="13674"/>
    <cellStyle name="Normal 10 4 3 3 3 4" xfId="8417"/>
    <cellStyle name="Normal 10 4 3 3 4" xfId="6127"/>
    <cellStyle name="Normal 10 4 3 3 4 2" xfId="15211"/>
    <cellStyle name="Normal 10 4 3 3 5" xfId="9871"/>
    <cellStyle name="Normal 10 4 3 3 5 2" xfId="18698"/>
    <cellStyle name="Normal 10 4 3 3 6" xfId="11315"/>
    <cellStyle name="Normal 10 4 3 3 7" xfId="4605"/>
    <cellStyle name="Normal 10 4 3 4" xfId="967"/>
    <cellStyle name="Normal 10 4 3 4 2" xfId="2687"/>
    <cellStyle name="Normal 10 4 3 4 2 2" xfId="16229"/>
    <cellStyle name="Normal 10 4 3 4 2 3" xfId="12651"/>
    <cellStyle name="Normal 10 4 3 4 2 4" xfId="7360"/>
    <cellStyle name="Normal 10 4 3 4 3" xfId="3956"/>
    <cellStyle name="Normal 10 4 3 4 3 2" xfId="17601"/>
    <cellStyle name="Normal 10 4 3 4 3 3" xfId="14022"/>
    <cellStyle name="Normal 10 4 3 4 3 4" xfId="8765"/>
    <cellStyle name="Normal 10 4 3 4 4" xfId="6476"/>
    <cellStyle name="Normal 10 4 3 4 4 2" xfId="15560"/>
    <cellStyle name="Normal 10 4 3 4 5" xfId="10219"/>
    <cellStyle name="Normal 10 4 3 4 5 2" xfId="19046"/>
    <cellStyle name="Normal 10 4 3 4 6" xfId="11665"/>
    <cellStyle name="Normal 10 4 3 4 7" xfId="4954"/>
    <cellStyle name="Normal 10 4 3 5" xfId="1436"/>
    <cellStyle name="Normal 10 4 3 5 2" xfId="3038"/>
    <cellStyle name="Normal 10 4 3 5 2 2" xfId="16588"/>
    <cellStyle name="Normal 10 4 3 5 2 3" xfId="13009"/>
    <cellStyle name="Normal 10 4 3 5 2 4" xfId="7720"/>
    <cellStyle name="Normal 10 4 3 5 3" xfId="4247"/>
    <cellStyle name="Normal 10 4 3 5 3 2" xfId="17952"/>
    <cellStyle name="Normal 10 4 3 5 3 3" xfId="14373"/>
    <cellStyle name="Normal 10 4 3 5 3 4" xfId="9116"/>
    <cellStyle name="Normal 10 4 3 5 4" xfId="6013"/>
    <cellStyle name="Normal 10 4 3 5 4 2" xfId="15099"/>
    <cellStyle name="Normal 10 4 3 5 5" xfId="10570"/>
    <cellStyle name="Normal 10 4 3 5 5 2" xfId="19397"/>
    <cellStyle name="Normal 10 4 3 5 6" xfId="12016"/>
    <cellStyle name="Normal 10 4 3 5 7" xfId="5314"/>
    <cellStyle name="Normal 10 4 3 6" xfId="1995"/>
    <cellStyle name="Normal 10 4 3 6 2" xfId="15942"/>
    <cellStyle name="Normal 10 4 3 6 3" xfId="12309"/>
    <cellStyle name="Normal 10 4 3 6 4" xfId="6899"/>
    <cellStyle name="Normal 10 4 3 7" xfId="3410"/>
    <cellStyle name="Normal 10 4 3 7 2" xfId="16909"/>
    <cellStyle name="Normal 10 4 3 7 3" xfId="13330"/>
    <cellStyle name="Normal 10 4 3 7 4" xfId="8073"/>
    <cellStyle name="Normal 10 4 3 8" xfId="5634"/>
    <cellStyle name="Normal 10 4 3 8 2" xfId="14720"/>
    <cellStyle name="Normal 10 4 3 9" xfId="9527"/>
    <cellStyle name="Normal 10 4 3 9 2" xfId="18354"/>
    <cellStyle name="Normal 10 4 3_Degree data" xfId="1322"/>
    <cellStyle name="Normal 10 4 4" xfId="325"/>
    <cellStyle name="Normal 10 4 4 2" xfId="611"/>
    <cellStyle name="Normal 10 4 4 2 2" xfId="2341"/>
    <cellStyle name="Normal 10 4 4 2 2 2" xfId="16231"/>
    <cellStyle name="Normal 10 4 4 2 2 3" xfId="12653"/>
    <cellStyle name="Normal 10 4 4 2 2 4" xfId="7362"/>
    <cellStyle name="Normal 10 4 4 2 3" xfId="3610"/>
    <cellStyle name="Normal 10 4 4 2 3 2" xfId="17255"/>
    <cellStyle name="Normal 10 4 4 2 3 3" xfId="13676"/>
    <cellStyle name="Normal 10 4 4 2 3 4" xfId="8419"/>
    <cellStyle name="Normal 10 4 4 2 4" xfId="6478"/>
    <cellStyle name="Normal 10 4 4 2 4 2" xfId="15562"/>
    <cellStyle name="Normal 10 4 4 2 5" xfId="9873"/>
    <cellStyle name="Normal 10 4 4 2 5 2" xfId="18700"/>
    <cellStyle name="Normal 10 4 4 2 6" xfId="11317"/>
    <cellStyle name="Normal 10 4 4 2 7" xfId="4956"/>
    <cellStyle name="Normal 10 4 4 3" xfId="969"/>
    <cellStyle name="Normal 10 4 4 3 2" xfId="2689"/>
    <cellStyle name="Normal 10 4 4 3 2 2" xfId="16688"/>
    <cellStyle name="Normal 10 4 4 3 2 3" xfId="13109"/>
    <cellStyle name="Normal 10 4 4 3 2 4" xfId="7820"/>
    <cellStyle name="Normal 10 4 4 3 3" xfId="3958"/>
    <cellStyle name="Normal 10 4 4 3 3 2" xfId="17603"/>
    <cellStyle name="Normal 10 4 4 3 3 3" xfId="14024"/>
    <cellStyle name="Normal 10 4 4 3 3 4" xfId="8767"/>
    <cellStyle name="Normal 10 4 4 3 4" xfId="6227"/>
    <cellStyle name="Normal 10 4 4 3 4 2" xfId="15311"/>
    <cellStyle name="Normal 10 4 4 3 5" xfId="10221"/>
    <cellStyle name="Normal 10 4 4 3 5 2" xfId="19048"/>
    <cellStyle name="Normal 10 4 4 3 6" xfId="11667"/>
    <cellStyle name="Normal 10 4 4 3 7" xfId="5414"/>
    <cellStyle name="Normal 10 4 4 4" xfId="1539"/>
    <cellStyle name="Normal 10 4 4 4 2" xfId="3138"/>
    <cellStyle name="Normal 10 4 4 4 2 2" xfId="18052"/>
    <cellStyle name="Normal 10 4 4 4 2 3" xfId="14473"/>
    <cellStyle name="Normal 10 4 4 4 2 4" xfId="9216"/>
    <cellStyle name="Normal 10 4 4 4 3" xfId="10670"/>
    <cellStyle name="Normal 10 4 4 4 3 2" xfId="19497"/>
    <cellStyle name="Normal 10 4 4 4 4" xfId="12116"/>
    <cellStyle name="Normal 10 4 4 4 5" xfId="7111"/>
    <cellStyle name="Normal 10 4 4 5" xfId="2095"/>
    <cellStyle name="Normal 10 4 4 5 2" xfId="17009"/>
    <cellStyle name="Normal 10 4 4 5 3" xfId="13430"/>
    <cellStyle name="Normal 10 4 4 5 4" xfId="8173"/>
    <cellStyle name="Normal 10 4 4 6" xfId="5734"/>
    <cellStyle name="Normal 10 4 4 6 2" xfId="14820"/>
    <cellStyle name="Normal 10 4 4 7" xfId="9627"/>
    <cellStyle name="Normal 10 4 4 7 2" xfId="18454"/>
    <cellStyle name="Normal 10 4 4 8" xfId="11071"/>
    <cellStyle name="Normal 10 4 4 9" xfId="4705"/>
    <cellStyle name="Normal 10 4 4_Degree data" xfId="1276"/>
    <cellStyle name="Normal 10 4 5" xfId="606"/>
    <cellStyle name="Normal 10 4 5 2" xfId="2336"/>
    <cellStyle name="Normal 10 4 5 2 2" xfId="15982"/>
    <cellStyle name="Normal 10 4 5 2 3" xfId="12413"/>
    <cellStyle name="Normal 10 4 5 2 4" xfId="6952"/>
    <cellStyle name="Normal 10 4 5 3" xfId="3605"/>
    <cellStyle name="Normal 10 4 5 3 2" xfId="17250"/>
    <cellStyle name="Normal 10 4 5 3 3" xfId="13671"/>
    <cellStyle name="Normal 10 4 5 3 4" xfId="8414"/>
    <cellStyle name="Normal 10 4 5 4" xfId="6068"/>
    <cellStyle name="Normal 10 4 5 4 2" xfId="15152"/>
    <cellStyle name="Normal 10 4 5 5" xfId="9868"/>
    <cellStyle name="Normal 10 4 5 5 2" xfId="18695"/>
    <cellStyle name="Normal 10 4 5 6" xfId="11312"/>
    <cellStyle name="Normal 10 4 5 7" xfId="4546"/>
    <cellStyle name="Normal 10 4 6" xfId="964"/>
    <cellStyle name="Normal 10 4 6 2" xfId="2684"/>
    <cellStyle name="Normal 10 4 6 2 2" xfId="16226"/>
    <cellStyle name="Normal 10 4 6 2 3" xfId="12648"/>
    <cellStyle name="Normal 10 4 6 2 4" xfId="7357"/>
    <cellStyle name="Normal 10 4 6 3" xfId="3953"/>
    <cellStyle name="Normal 10 4 6 3 2" xfId="17598"/>
    <cellStyle name="Normal 10 4 6 3 3" xfId="14019"/>
    <cellStyle name="Normal 10 4 6 3 4" xfId="8762"/>
    <cellStyle name="Normal 10 4 6 4" xfId="6473"/>
    <cellStyle name="Normal 10 4 6 4 2" xfId="15557"/>
    <cellStyle name="Normal 10 4 6 5" xfId="10216"/>
    <cellStyle name="Normal 10 4 6 5 2" xfId="19043"/>
    <cellStyle name="Normal 10 4 6 6" xfId="11662"/>
    <cellStyle name="Normal 10 4 6 7" xfId="4951"/>
    <cellStyle name="Normal 10 4 7" xfId="1368"/>
    <cellStyle name="Normal 10 4 7 2" xfId="2979"/>
    <cellStyle name="Normal 10 4 7 2 2" xfId="16529"/>
    <cellStyle name="Normal 10 4 7 2 3" xfId="12951"/>
    <cellStyle name="Normal 10 4 7 2 4" xfId="7661"/>
    <cellStyle name="Normal 10 4 7 3" xfId="4205"/>
    <cellStyle name="Normal 10 4 7 3 2" xfId="17893"/>
    <cellStyle name="Normal 10 4 7 3 3" xfId="14314"/>
    <cellStyle name="Normal 10 4 7 3 4" xfId="9057"/>
    <cellStyle name="Normal 10 4 7 4" xfId="5907"/>
    <cellStyle name="Normal 10 4 7 4 2" xfId="14993"/>
    <cellStyle name="Normal 10 4 7 5" xfId="10511"/>
    <cellStyle name="Normal 10 4 7 5 2" xfId="19338"/>
    <cellStyle name="Normal 10 4 7 6" xfId="11957"/>
    <cellStyle name="Normal 10 4 7 7" xfId="5255"/>
    <cellStyle name="Normal 10 4 8" xfId="1936"/>
    <cellStyle name="Normal 10 4 8 2" xfId="9468"/>
    <cellStyle name="Normal 10 4 8 2 2" xfId="18295"/>
    <cellStyle name="Normal 10 4 8 3" xfId="10912"/>
    <cellStyle name="Normal 10 4 8 4" xfId="6794"/>
    <cellStyle name="Normal 10 4 9" xfId="1860"/>
    <cellStyle name="Normal 10 4 9 2" xfId="16848"/>
    <cellStyle name="Normal 10 4 9 3" xfId="13269"/>
    <cellStyle name="Normal 10 4 9 4" xfId="8012"/>
    <cellStyle name="Normal 10 4_Degree data" xfId="1300"/>
    <cellStyle name="Normal 10 5" xfId="251"/>
    <cellStyle name="Normal 10 5 10" xfId="11005"/>
    <cellStyle name="Normal 10 5 11" xfId="4422"/>
    <cellStyle name="Normal 10 5 2" xfId="359"/>
    <cellStyle name="Normal 10 5 2 2" xfId="613"/>
    <cellStyle name="Normal 10 5 2 2 2" xfId="2343"/>
    <cellStyle name="Normal 10 5 2 2 2 2" xfId="16233"/>
    <cellStyle name="Normal 10 5 2 2 2 3" xfId="12655"/>
    <cellStyle name="Normal 10 5 2 2 2 4" xfId="7364"/>
    <cellStyle name="Normal 10 5 2 2 3" xfId="3612"/>
    <cellStyle name="Normal 10 5 2 2 3 2" xfId="17257"/>
    <cellStyle name="Normal 10 5 2 2 3 3" xfId="13678"/>
    <cellStyle name="Normal 10 5 2 2 3 4" xfId="8421"/>
    <cellStyle name="Normal 10 5 2 2 4" xfId="6480"/>
    <cellStyle name="Normal 10 5 2 2 4 2" xfId="15564"/>
    <cellStyle name="Normal 10 5 2 2 5" xfId="9875"/>
    <cellStyle name="Normal 10 5 2 2 5 2" xfId="18702"/>
    <cellStyle name="Normal 10 5 2 2 6" xfId="11319"/>
    <cellStyle name="Normal 10 5 2 2 7" xfId="4958"/>
    <cellStyle name="Normal 10 5 2 3" xfId="971"/>
    <cellStyle name="Normal 10 5 2 3 2" xfId="2691"/>
    <cellStyle name="Normal 10 5 2 3 2 2" xfId="16722"/>
    <cellStyle name="Normal 10 5 2 3 2 3" xfId="13143"/>
    <cellStyle name="Normal 10 5 2 3 2 4" xfId="7854"/>
    <cellStyle name="Normal 10 5 2 3 3" xfId="3960"/>
    <cellStyle name="Normal 10 5 2 3 3 2" xfId="17605"/>
    <cellStyle name="Normal 10 5 2 3 3 3" xfId="14026"/>
    <cellStyle name="Normal 10 5 2 3 3 4" xfId="8769"/>
    <cellStyle name="Normal 10 5 2 3 4" xfId="6261"/>
    <cellStyle name="Normal 10 5 2 3 4 2" xfId="15345"/>
    <cellStyle name="Normal 10 5 2 3 5" xfId="10223"/>
    <cellStyle name="Normal 10 5 2 3 5 2" xfId="19050"/>
    <cellStyle name="Normal 10 5 2 3 6" xfId="11669"/>
    <cellStyle name="Normal 10 5 2 3 7" xfId="5448"/>
    <cellStyle name="Normal 10 5 2 4" xfId="1574"/>
    <cellStyle name="Normal 10 5 2 4 2" xfId="3172"/>
    <cellStyle name="Normal 10 5 2 4 2 2" xfId="18086"/>
    <cellStyle name="Normal 10 5 2 4 2 3" xfId="14507"/>
    <cellStyle name="Normal 10 5 2 4 2 4" xfId="9250"/>
    <cellStyle name="Normal 10 5 2 4 3" xfId="10704"/>
    <cellStyle name="Normal 10 5 2 4 3 2" xfId="19531"/>
    <cellStyle name="Normal 10 5 2 4 4" xfId="12150"/>
    <cellStyle name="Normal 10 5 2 4 5" xfId="7145"/>
    <cellStyle name="Normal 10 5 2 5" xfId="2129"/>
    <cellStyle name="Normal 10 5 2 5 2" xfId="17043"/>
    <cellStyle name="Normal 10 5 2 5 3" xfId="13464"/>
    <cellStyle name="Normal 10 5 2 5 4" xfId="8207"/>
    <cellStyle name="Normal 10 5 2 6" xfId="5768"/>
    <cellStyle name="Normal 10 5 2 6 2" xfId="14854"/>
    <cellStyle name="Normal 10 5 2 7" xfId="9661"/>
    <cellStyle name="Normal 10 5 2 7 2" xfId="18488"/>
    <cellStyle name="Normal 10 5 2 8" xfId="11105"/>
    <cellStyle name="Normal 10 5 2 9" xfId="4739"/>
    <cellStyle name="Normal 10 5 2_Degree data" xfId="1296"/>
    <cellStyle name="Normal 10 5 3" xfId="612"/>
    <cellStyle name="Normal 10 5 3 2" xfId="2342"/>
    <cellStyle name="Normal 10 5 3 2 2" xfId="16059"/>
    <cellStyle name="Normal 10 5 3 2 3" xfId="12265"/>
    <cellStyle name="Normal 10 5 3 2 4" xfId="7045"/>
    <cellStyle name="Normal 10 5 3 3" xfId="3611"/>
    <cellStyle name="Normal 10 5 3 3 2" xfId="17256"/>
    <cellStyle name="Normal 10 5 3 3 3" xfId="13677"/>
    <cellStyle name="Normal 10 5 3 3 4" xfId="8420"/>
    <cellStyle name="Normal 10 5 3 4" xfId="6161"/>
    <cellStyle name="Normal 10 5 3 4 2" xfId="15245"/>
    <cellStyle name="Normal 10 5 3 5" xfId="9874"/>
    <cellStyle name="Normal 10 5 3 5 2" xfId="18701"/>
    <cellStyle name="Normal 10 5 3 6" xfId="11318"/>
    <cellStyle name="Normal 10 5 3 7" xfId="4639"/>
    <cellStyle name="Normal 10 5 4" xfId="970"/>
    <cellStyle name="Normal 10 5 4 2" xfId="2690"/>
    <cellStyle name="Normal 10 5 4 2 2" xfId="16232"/>
    <cellStyle name="Normal 10 5 4 2 3" xfId="12654"/>
    <cellStyle name="Normal 10 5 4 2 4" xfId="7363"/>
    <cellStyle name="Normal 10 5 4 3" xfId="3959"/>
    <cellStyle name="Normal 10 5 4 3 2" xfId="17604"/>
    <cellStyle name="Normal 10 5 4 3 3" xfId="14025"/>
    <cellStyle name="Normal 10 5 4 3 4" xfId="8768"/>
    <cellStyle name="Normal 10 5 4 4" xfId="6479"/>
    <cellStyle name="Normal 10 5 4 4 2" xfId="15563"/>
    <cellStyle name="Normal 10 5 4 5" xfId="10222"/>
    <cellStyle name="Normal 10 5 4 5 2" xfId="19049"/>
    <cellStyle name="Normal 10 5 4 6" xfId="11668"/>
    <cellStyle name="Normal 10 5 4 7" xfId="4957"/>
    <cellStyle name="Normal 10 5 5" xfId="1472"/>
    <cellStyle name="Normal 10 5 5 2" xfId="3072"/>
    <cellStyle name="Normal 10 5 5 2 2" xfId="16622"/>
    <cellStyle name="Normal 10 5 5 2 3" xfId="13043"/>
    <cellStyle name="Normal 10 5 5 2 4" xfId="7754"/>
    <cellStyle name="Normal 10 5 5 3" xfId="4281"/>
    <cellStyle name="Normal 10 5 5 3 2" xfId="17986"/>
    <cellStyle name="Normal 10 5 5 3 3" xfId="14407"/>
    <cellStyle name="Normal 10 5 5 3 4" xfId="9150"/>
    <cellStyle name="Normal 10 5 5 4" xfId="5942"/>
    <cellStyle name="Normal 10 5 5 4 2" xfId="15028"/>
    <cellStyle name="Normal 10 5 5 5" xfId="10604"/>
    <cellStyle name="Normal 10 5 5 5 2" xfId="19431"/>
    <cellStyle name="Normal 10 5 5 6" xfId="12050"/>
    <cellStyle name="Normal 10 5 5 7" xfId="5348"/>
    <cellStyle name="Normal 10 5 6" xfId="2029"/>
    <cellStyle name="Normal 10 5 6 2" xfId="15871"/>
    <cellStyle name="Normal 10 5 6 3" xfId="12271"/>
    <cellStyle name="Normal 10 5 6 4" xfId="6828"/>
    <cellStyle name="Normal 10 5 7" xfId="3443"/>
    <cellStyle name="Normal 10 5 7 2" xfId="16943"/>
    <cellStyle name="Normal 10 5 7 3" xfId="13364"/>
    <cellStyle name="Normal 10 5 7 4" xfId="8107"/>
    <cellStyle name="Normal 10 5 8" xfId="5668"/>
    <cellStyle name="Normal 10 5 8 2" xfId="14754"/>
    <cellStyle name="Normal 10 5 9" xfId="9561"/>
    <cellStyle name="Normal 10 5 9 2" xfId="18388"/>
    <cellStyle name="Normal 10 5_Degree data" xfId="1297"/>
    <cellStyle name="Normal 10 6" xfId="587"/>
    <cellStyle name="Normal 10 6 2" xfId="2317"/>
    <cellStyle name="Normal 10 6 2 2" xfId="16207"/>
    <cellStyle name="Normal 10 6 2 3" xfId="12629"/>
    <cellStyle name="Normal 10 6 2 4" xfId="7338"/>
    <cellStyle name="Normal 10 6 3" xfId="3586"/>
    <cellStyle name="Normal 10 6 3 2" xfId="17231"/>
    <cellStyle name="Normal 10 6 3 3" xfId="13652"/>
    <cellStyle name="Normal 10 6 3 4" xfId="8395"/>
    <cellStyle name="Normal 10 6 4" xfId="6454"/>
    <cellStyle name="Normal 10 6 4 2" xfId="15538"/>
    <cellStyle name="Normal 10 6 5" xfId="9849"/>
    <cellStyle name="Normal 10 6 5 2" xfId="18676"/>
    <cellStyle name="Normal 10 6 6" xfId="11293"/>
    <cellStyle name="Normal 10 6 7" xfId="4932"/>
    <cellStyle name="Normal 10 7" xfId="945"/>
    <cellStyle name="Normal 10 7 2" xfId="2665"/>
    <cellStyle name="Normal 10 7 2 2" xfId="16486"/>
    <cellStyle name="Normal 10 7 2 3" xfId="12908"/>
    <cellStyle name="Normal 10 7 2 4" xfId="7618"/>
    <cellStyle name="Normal 10 7 3" xfId="3934"/>
    <cellStyle name="Normal 10 7 3 2" xfId="17579"/>
    <cellStyle name="Normal 10 7 3 3" xfId="14000"/>
    <cellStyle name="Normal 10 7 3 4" xfId="8743"/>
    <cellStyle name="Normal 10 7 4" xfId="6744"/>
    <cellStyle name="Normal 10 7 4 2" xfId="15827"/>
    <cellStyle name="Normal 10 7 5" xfId="10197"/>
    <cellStyle name="Normal 10 7 5 2" xfId="19024"/>
    <cellStyle name="Normal 10 7 6" xfId="11643"/>
    <cellStyle name="Normal 10 7 7" xfId="5212"/>
    <cellStyle name="Normal 10 8" xfId="1269"/>
    <cellStyle name="Normal 10 8 2" xfId="2936"/>
    <cellStyle name="Normal 10 8 2 2" xfId="17850"/>
    <cellStyle name="Normal 10 8 2 3" xfId="14271"/>
    <cellStyle name="Normal 10 8 2 4" xfId="9014"/>
    <cellStyle name="Normal 10 8 3" xfId="10468"/>
    <cellStyle name="Normal 10 8 3 2" xfId="19295"/>
    <cellStyle name="Normal 10 8 4" xfId="11914"/>
    <cellStyle name="Normal 10 8 5" xfId="7964"/>
    <cellStyle name="Normal 10 9" xfId="1893"/>
    <cellStyle name="Normal 10 9 2" xfId="9425"/>
    <cellStyle name="Normal 10 9 2 2" xfId="18252"/>
    <cellStyle name="Normal 10 9 3" xfId="10869"/>
    <cellStyle name="Normal 10 9 4" xfId="7968"/>
    <cellStyle name="Normal 10_Degree data" xfId="1218"/>
    <cellStyle name="Normal 100" xfId="9377"/>
    <cellStyle name="Normal 100 2" xfId="19652"/>
    <cellStyle name="Normal 101" xfId="10813"/>
    <cellStyle name="Normal 101 2" xfId="14627"/>
    <cellStyle name="Normal 102" xfId="10815"/>
    <cellStyle name="Normal 102 2" xfId="14644"/>
    <cellStyle name="Normal 103" xfId="19640"/>
    <cellStyle name="Normal 104" xfId="10814"/>
    <cellStyle name="Normal 105" xfId="10850"/>
    <cellStyle name="Normal 106" xfId="4356"/>
    <cellStyle name="Normal 107" xfId="473"/>
    <cellStyle name="Normal 108" xfId="19641"/>
    <cellStyle name="Normal 109" xfId="19643"/>
    <cellStyle name="Normal 11" xfId="122"/>
    <cellStyle name="Normal 110" xfId="19644"/>
    <cellStyle name="Normal 12" xfId="32"/>
    <cellStyle name="Normal 12 2" xfId="130"/>
    <cellStyle name="Normal 12 3" xfId="113"/>
    <cellStyle name="Normal 13" xfId="57"/>
    <cellStyle name="Normal 13 2" xfId="33"/>
    <cellStyle name="Normal 13 3" xfId="124"/>
    <cellStyle name="Normal 13 3 2" xfId="144"/>
    <cellStyle name="Normal 13 3 3" xfId="171"/>
    <cellStyle name="Normal 14" xfId="31"/>
    <cellStyle name="Normal 14 2" xfId="129"/>
    <cellStyle name="Normal 14 3" xfId="111"/>
    <cellStyle name="Normal 15" xfId="112"/>
    <cellStyle name="Normal 15 2" xfId="614"/>
    <cellStyle name="Normal 15 2 2" xfId="972"/>
    <cellStyle name="Normal 15 2 2 2" xfId="2692"/>
    <cellStyle name="Normal 15 2 2 2 2" xfId="16830"/>
    <cellStyle name="Normal 15 2 2 2 3" xfId="13251"/>
    <cellStyle name="Normal 15 2 2 2 4" xfId="7962"/>
    <cellStyle name="Normal 15 2 2 3" xfId="3961"/>
    <cellStyle name="Normal 15 2 2 3 2" xfId="17606"/>
    <cellStyle name="Normal 15 2 2 3 3" xfId="14027"/>
    <cellStyle name="Normal 15 2 2 3 4" xfId="8770"/>
    <cellStyle name="Normal 15 2 2 4" xfId="6741"/>
    <cellStyle name="Normal 15 2 2 4 2" xfId="15824"/>
    <cellStyle name="Normal 15 2 2 5" xfId="10224"/>
    <cellStyle name="Normal 15 2 2 5 2" xfId="19051"/>
    <cellStyle name="Normal 15 2 2 6" xfId="11670"/>
    <cellStyle name="Normal 15 2 2 7" xfId="5556"/>
    <cellStyle name="Normal 15 2 3" xfId="1687"/>
    <cellStyle name="Normal 15 2 3 2" xfId="3280"/>
    <cellStyle name="Normal 15 2 3 2 2" xfId="18194"/>
    <cellStyle name="Normal 15 2 3 2 3" xfId="14615"/>
    <cellStyle name="Normal 15 2 3 2 4" xfId="9358"/>
    <cellStyle name="Normal 15 2 3 3" xfId="10812"/>
    <cellStyle name="Normal 15 2 3 3 2" xfId="19639"/>
    <cellStyle name="Normal 15 2 3 4" xfId="12258"/>
    <cellStyle name="Normal 15 2 3 5" xfId="7365"/>
    <cellStyle name="Normal 15 2 4" xfId="2344"/>
    <cellStyle name="Normal 15 2 4 2" xfId="17258"/>
    <cellStyle name="Normal 15 2 4 3" xfId="13679"/>
    <cellStyle name="Normal 15 2 4 4" xfId="8422"/>
    <cellStyle name="Normal 15 2 5" xfId="6481"/>
    <cellStyle name="Normal 15 2 5 2" xfId="15565"/>
    <cellStyle name="Normal 15 2 6" xfId="9876"/>
    <cellStyle name="Normal 15 2 6 2" xfId="18703"/>
    <cellStyle name="Normal 15 2 7" xfId="11320"/>
    <cellStyle name="Normal 15 2 8" xfId="4959"/>
    <cellStyle name="Normal 15 2_Degree data" xfId="1595"/>
    <cellStyle name="Normal 16" xfId="58"/>
    <cellStyle name="Normal 17" xfId="20"/>
    <cellStyle name="Normal 17 2" xfId="59"/>
    <cellStyle name="Normal 18" xfId="19"/>
    <cellStyle name="Normal 18 2" xfId="60"/>
    <cellStyle name="Normal 19" xfId="83"/>
    <cellStyle name="Normal 19 2" xfId="137"/>
    <cellStyle name="Normal 19 3" xfId="106"/>
    <cellStyle name="Normal 2" xfId="10"/>
    <cellStyle name="Normal 2 2" xfId="25"/>
    <cellStyle name="Normal 2 2 2" xfId="44"/>
    <cellStyle name="Normal 2 3" xfId="43"/>
    <cellStyle name="Normal 2 3 2" xfId="45"/>
    <cellStyle name="Normal 2 4" xfId="99"/>
    <cellStyle name="Normal 2 4 2" xfId="288"/>
    <cellStyle name="Normal 2 5" xfId="46"/>
    <cellStyle name="Normal 2 5 10" xfId="477"/>
    <cellStyle name="Normal 2 5 10 2" xfId="616"/>
    <cellStyle name="Normal 2 5 10 2 2" xfId="2346"/>
    <cellStyle name="Normal 2 5 10 2 2 2" xfId="16235"/>
    <cellStyle name="Normal 2 5 10 2 2 3" xfId="12657"/>
    <cellStyle name="Normal 2 5 10 2 2 4" xfId="7367"/>
    <cellStyle name="Normal 2 5 10 2 3" xfId="3614"/>
    <cellStyle name="Normal 2 5 10 2 3 2" xfId="17260"/>
    <cellStyle name="Normal 2 5 10 2 3 3" xfId="13681"/>
    <cellStyle name="Normal 2 5 10 2 3 4" xfId="8424"/>
    <cellStyle name="Normal 2 5 10 2 4" xfId="6483"/>
    <cellStyle name="Normal 2 5 10 2 4 2" xfId="15567"/>
    <cellStyle name="Normal 2 5 10 2 5" xfId="9878"/>
    <cellStyle name="Normal 2 5 10 2 5 2" xfId="18705"/>
    <cellStyle name="Normal 2 5 10 2 6" xfId="11322"/>
    <cellStyle name="Normal 2 5 10 2 7" xfId="4961"/>
    <cellStyle name="Normal 2 5 10 3" xfId="974"/>
    <cellStyle name="Normal 2 5 10 3 2" xfId="2694"/>
    <cellStyle name="Normal 2 5 10 3 2 2" xfId="16516"/>
    <cellStyle name="Normal 2 5 10 3 2 3" xfId="12938"/>
    <cellStyle name="Normal 2 5 10 3 2 4" xfId="7648"/>
    <cellStyle name="Normal 2 5 10 3 3" xfId="3963"/>
    <cellStyle name="Normal 2 5 10 3 3 2" xfId="17608"/>
    <cellStyle name="Normal 2 5 10 3 3 3" xfId="14029"/>
    <cellStyle name="Normal 2 5 10 3 3 4" xfId="8772"/>
    <cellStyle name="Normal 2 5 10 3 4" xfId="6735"/>
    <cellStyle name="Normal 2 5 10 3 4 2" xfId="15818"/>
    <cellStyle name="Normal 2 5 10 3 5" xfId="10226"/>
    <cellStyle name="Normal 2 5 10 3 5 2" xfId="19053"/>
    <cellStyle name="Normal 2 5 10 3 6" xfId="11672"/>
    <cellStyle name="Normal 2 5 10 3 7" xfId="5242"/>
    <cellStyle name="Normal 2 5 10 4" xfId="1353"/>
    <cellStyle name="Normal 2 5 10 4 2" xfId="2966"/>
    <cellStyle name="Normal 2 5 10 4 2 2" xfId="17880"/>
    <cellStyle name="Normal 2 5 10 4 2 3" xfId="14301"/>
    <cellStyle name="Normal 2 5 10 4 2 4" xfId="9044"/>
    <cellStyle name="Normal 2 5 10 4 3" xfId="10498"/>
    <cellStyle name="Normal 2 5 10 4 3 2" xfId="19325"/>
    <cellStyle name="Normal 2 5 10 4 4" xfId="11944"/>
    <cellStyle name="Normal 2 5 10 4 5" xfId="6939"/>
    <cellStyle name="Normal 2 5 10 5" xfId="1923"/>
    <cellStyle name="Normal 2 5 10 5 2" xfId="16835"/>
    <cellStyle name="Normal 2 5 10 5 3" xfId="13256"/>
    <cellStyle name="Normal 2 5 10 5 4" xfId="7999"/>
    <cellStyle name="Normal 2 5 10 6" xfId="6055"/>
    <cellStyle name="Normal 2 5 10 6 2" xfId="15139"/>
    <cellStyle name="Normal 2 5 10 7" xfId="9455"/>
    <cellStyle name="Normal 2 5 10 7 2" xfId="18282"/>
    <cellStyle name="Normal 2 5 10 8" xfId="10899"/>
    <cellStyle name="Normal 2 5 10 9" xfId="4533"/>
    <cellStyle name="Normal 2 5 10_Degree data" xfId="1464"/>
    <cellStyle name="Normal 2 5 11" xfId="615"/>
    <cellStyle name="Normal 2 5 11 2" xfId="2345"/>
    <cellStyle name="Normal 2 5 11 2 2" xfId="16234"/>
    <cellStyle name="Normal 2 5 11 2 3" xfId="12656"/>
    <cellStyle name="Normal 2 5 11 2 4" xfId="7366"/>
    <cellStyle name="Normal 2 5 11 3" xfId="3613"/>
    <cellStyle name="Normal 2 5 11 3 2" xfId="17259"/>
    <cellStyle name="Normal 2 5 11 3 3" xfId="13680"/>
    <cellStyle name="Normal 2 5 11 3 4" xfId="8423"/>
    <cellStyle name="Normal 2 5 11 4" xfId="6482"/>
    <cellStyle name="Normal 2 5 11 4 2" xfId="15566"/>
    <cellStyle name="Normal 2 5 11 5" xfId="9877"/>
    <cellStyle name="Normal 2 5 11 5 2" xfId="18704"/>
    <cellStyle name="Normal 2 5 11 6" xfId="11321"/>
    <cellStyle name="Normal 2 5 11 7" xfId="4960"/>
    <cellStyle name="Normal 2 5 12" xfId="973"/>
    <cellStyle name="Normal 2 5 12 2" xfId="2693"/>
    <cellStyle name="Normal 2 5 12 2 2" xfId="16484"/>
    <cellStyle name="Normal 2 5 12 2 3" xfId="12906"/>
    <cellStyle name="Normal 2 5 12 2 4" xfId="7616"/>
    <cellStyle name="Normal 2 5 12 3" xfId="3962"/>
    <cellStyle name="Normal 2 5 12 3 2" xfId="17607"/>
    <cellStyle name="Normal 2 5 12 3 3" xfId="14028"/>
    <cellStyle name="Normal 2 5 12 3 4" xfId="8771"/>
    <cellStyle name="Normal 2 5 12 4" xfId="5882"/>
    <cellStyle name="Normal 2 5 12 4 2" xfId="14968"/>
    <cellStyle name="Normal 2 5 12 5" xfId="10225"/>
    <cellStyle name="Normal 2 5 12 5 2" xfId="19052"/>
    <cellStyle name="Normal 2 5 12 6" xfId="11671"/>
    <cellStyle name="Normal 2 5 12 7" xfId="5210"/>
    <cellStyle name="Normal 2 5 13" xfId="1266"/>
    <cellStyle name="Normal 2 5 13 2" xfId="2934"/>
    <cellStyle name="Normal 2 5 13 2 2" xfId="17848"/>
    <cellStyle name="Normal 2 5 13 2 3" xfId="14269"/>
    <cellStyle name="Normal 2 5 13 2 4" xfId="9012"/>
    <cellStyle name="Normal 2 5 13 3" xfId="10466"/>
    <cellStyle name="Normal 2 5 13 3 2" xfId="19293"/>
    <cellStyle name="Normal 2 5 13 4" xfId="11912"/>
    <cellStyle name="Normal 2 5 13 5" xfId="6768"/>
    <cellStyle name="Normal 2 5 14" xfId="1891"/>
    <cellStyle name="Normal 2 5 14 2" xfId="9423"/>
    <cellStyle name="Normal 2 5 14 2 2" xfId="18250"/>
    <cellStyle name="Normal 2 5 14 3" xfId="10867"/>
    <cellStyle name="Normal 2 5 14 4" xfId="7966"/>
    <cellStyle name="Normal 2 5 15" xfId="1846"/>
    <cellStyle name="Normal 2 5 15 2" xfId="14648"/>
    <cellStyle name="Normal 2 5 15 3" xfId="5562"/>
    <cellStyle name="Normal 2 5 16" xfId="9383"/>
    <cellStyle name="Normal 2 5 16 2" xfId="18210"/>
    <cellStyle name="Normal 2 5 17" xfId="10822"/>
    <cellStyle name="Normal 2 5 18" xfId="4363"/>
    <cellStyle name="Normal 2 5 2" xfId="98"/>
    <cellStyle name="Normal 2 5 2 10" xfId="1295"/>
    <cellStyle name="Normal 2 5 2 10 2" xfId="2942"/>
    <cellStyle name="Normal 2 5 2 10 2 2" xfId="17856"/>
    <cellStyle name="Normal 2 5 2 10 2 3" xfId="14277"/>
    <cellStyle name="Normal 2 5 2 10 2 4" xfId="9020"/>
    <cellStyle name="Normal 2 5 2 10 3" xfId="10474"/>
    <cellStyle name="Normal 2 5 2 10 3 2" xfId="19301"/>
    <cellStyle name="Normal 2 5 2 10 4" xfId="11920"/>
    <cellStyle name="Normal 2 5 2 10 5" xfId="6781"/>
    <cellStyle name="Normal 2 5 2 11" xfId="1899"/>
    <cellStyle name="Normal 2 5 2 11 2" xfId="9431"/>
    <cellStyle name="Normal 2 5 2 11 2 2" xfId="18258"/>
    <cellStyle name="Normal 2 5 2 11 3" xfId="10875"/>
    <cellStyle name="Normal 2 5 2 11 4" xfId="7975"/>
    <cellStyle name="Normal 2 5 2 12" xfId="1856"/>
    <cellStyle name="Normal 2 5 2 12 2" xfId="14656"/>
    <cellStyle name="Normal 2 5 2 12 3" xfId="5570"/>
    <cellStyle name="Normal 2 5 2 13" xfId="9391"/>
    <cellStyle name="Normal 2 5 2 13 2" xfId="18218"/>
    <cellStyle name="Normal 2 5 2 14" xfId="10831"/>
    <cellStyle name="Normal 2 5 2 15" xfId="4376"/>
    <cellStyle name="Normal 2 5 2 2" xfId="135"/>
    <cellStyle name="Normal 2 5 2 2 10" xfId="1881"/>
    <cellStyle name="Normal 2 5 2 2 10 2" xfId="14681"/>
    <cellStyle name="Normal 2 5 2 2 10 3" xfId="5595"/>
    <cellStyle name="Normal 2 5 2 2 11" xfId="9413"/>
    <cellStyle name="Normal 2 5 2 2 11 2" xfId="18240"/>
    <cellStyle name="Normal 2 5 2 2 12" xfId="10857"/>
    <cellStyle name="Normal 2 5 2 2 13" xfId="4406"/>
    <cellStyle name="Normal 2 5 2 2 2" xfId="278"/>
    <cellStyle name="Normal 2 5 2 2 2 10" xfId="11032"/>
    <cellStyle name="Normal 2 5 2 2 2 11" xfId="4449"/>
    <cellStyle name="Normal 2 5 2 2 2 2" xfId="386"/>
    <cellStyle name="Normal 2 5 2 2 2 2 2" xfId="620"/>
    <cellStyle name="Normal 2 5 2 2 2 2 2 2" xfId="2350"/>
    <cellStyle name="Normal 2 5 2 2 2 2 2 2 2" xfId="16239"/>
    <cellStyle name="Normal 2 5 2 2 2 2 2 2 3" xfId="12661"/>
    <cellStyle name="Normal 2 5 2 2 2 2 2 2 4" xfId="7371"/>
    <cellStyle name="Normal 2 5 2 2 2 2 2 3" xfId="3618"/>
    <cellStyle name="Normal 2 5 2 2 2 2 2 3 2" xfId="17264"/>
    <cellStyle name="Normal 2 5 2 2 2 2 2 3 3" xfId="13685"/>
    <cellStyle name="Normal 2 5 2 2 2 2 2 3 4" xfId="8428"/>
    <cellStyle name="Normal 2 5 2 2 2 2 2 4" xfId="6487"/>
    <cellStyle name="Normal 2 5 2 2 2 2 2 4 2" xfId="15571"/>
    <cellStyle name="Normal 2 5 2 2 2 2 2 5" xfId="9882"/>
    <cellStyle name="Normal 2 5 2 2 2 2 2 5 2" xfId="18709"/>
    <cellStyle name="Normal 2 5 2 2 2 2 2 6" xfId="11326"/>
    <cellStyle name="Normal 2 5 2 2 2 2 2 7" xfId="4965"/>
    <cellStyle name="Normal 2 5 2 2 2 2 3" xfId="978"/>
    <cellStyle name="Normal 2 5 2 2 2 2 3 2" xfId="2698"/>
    <cellStyle name="Normal 2 5 2 2 2 2 3 2 2" xfId="16749"/>
    <cellStyle name="Normal 2 5 2 2 2 2 3 2 3" xfId="13170"/>
    <cellStyle name="Normal 2 5 2 2 2 2 3 2 4" xfId="7881"/>
    <cellStyle name="Normal 2 5 2 2 2 2 3 3" xfId="3967"/>
    <cellStyle name="Normal 2 5 2 2 2 2 3 3 2" xfId="17612"/>
    <cellStyle name="Normal 2 5 2 2 2 2 3 3 3" xfId="14033"/>
    <cellStyle name="Normal 2 5 2 2 2 2 3 3 4" xfId="8776"/>
    <cellStyle name="Normal 2 5 2 2 2 2 3 4" xfId="6288"/>
    <cellStyle name="Normal 2 5 2 2 2 2 3 4 2" xfId="15372"/>
    <cellStyle name="Normal 2 5 2 2 2 2 3 5" xfId="10230"/>
    <cellStyle name="Normal 2 5 2 2 2 2 3 5 2" xfId="19057"/>
    <cellStyle name="Normal 2 5 2 2 2 2 3 6" xfId="11676"/>
    <cellStyle name="Normal 2 5 2 2 2 2 3 7" xfId="5475"/>
    <cellStyle name="Normal 2 5 2 2 2 2 4" xfId="1602"/>
    <cellStyle name="Normal 2 5 2 2 2 2 4 2" xfId="3199"/>
    <cellStyle name="Normal 2 5 2 2 2 2 4 2 2" xfId="18113"/>
    <cellStyle name="Normal 2 5 2 2 2 2 4 2 3" xfId="14534"/>
    <cellStyle name="Normal 2 5 2 2 2 2 4 2 4" xfId="9277"/>
    <cellStyle name="Normal 2 5 2 2 2 2 4 3" xfId="10731"/>
    <cellStyle name="Normal 2 5 2 2 2 2 4 3 2" xfId="19558"/>
    <cellStyle name="Normal 2 5 2 2 2 2 4 4" xfId="12177"/>
    <cellStyle name="Normal 2 5 2 2 2 2 4 5" xfId="7172"/>
    <cellStyle name="Normal 2 5 2 2 2 2 5" xfId="2156"/>
    <cellStyle name="Normal 2 5 2 2 2 2 5 2" xfId="17070"/>
    <cellStyle name="Normal 2 5 2 2 2 2 5 3" xfId="13491"/>
    <cellStyle name="Normal 2 5 2 2 2 2 5 4" xfId="8234"/>
    <cellStyle name="Normal 2 5 2 2 2 2 6" xfId="5795"/>
    <cellStyle name="Normal 2 5 2 2 2 2 6 2" xfId="14881"/>
    <cellStyle name="Normal 2 5 2 2 2 2 7" xfId="9688"/>
    <cellStyle name="Normal 2 5 2 2 2 2 7 2" xfId="18515"/>
    <cellStyle name="Normal 2 5 2 2 2 2 8" xfId="11132"/>
    <cellStyle name="Normal 2 5 2 2 2 2 9" xfId="4766"/>
    <cellStyle name="Normal 2 5 2 2 2 2_Degree data" xfId="1363"/>
    <cellStyle name="Normal 2 5 2 2 2 3" xfId="619"/>
    <cellStyle name="Normal 2 5 2 2 2 3 2" xfId="2349"/>
    <cellStyle name="Normal 2 5 2 2 2 3 2 2" xfId="16086"/>
    <cellStyle name="Normal 2 5 2 2 2 3 2 3" xfId="12387"/>
    <cellStyle name="Normal 2 5 2 2 2 3 2 4" xfId="7072"/>
    <cellStyle name="Normal 2 5 2 2 2 3 3" xfId="3617"/>
    <cellStyle name="Normal 2 5 2 2 2 3 3 2" xfId="17263"/>
    <cellStyle name="Normal 2 5 2 2 2 3 3 3" xfId="13684"/>
    <cellStyle name="Normal 2 5 2 2 2 3 3 4" xfId="8427"/>
    <cellStyle name="Normal 2 5 2 2 2 3 4" xfId="6188"/>
    <cellStyle name="Normal 2 5 2 2 2 3 4 2" xfId="15272"/>
    <cellStyle name="Normal 2 5 2 2 2 3 5" xfId="9881"/>
    <cellStyle name="Normal 2 5 2 2 2 3 5 2" xfId="18708"/>
    <cellStyle name="Normal 2 5 2 2 2 3 6" xfId="11325"/>
    <cellStyle name="Normal 2 5 2 2 2 3 7" xfId="4666"/>
    <cellStyle name="Normal 2 5 2 2 2 4" xfId="977"/>
    <cellStyle name="Normal 2 5 2 2 2 4 2" xfId="2697"/>
    <cellStyle name="Normal 2 5 2 2 2 4 2 2" xfId="16238"/>
    <cellStyle name="Normal 2 5 2 2 2 4 2 3" xfId="12660"/>
    <cellStyle name="Normal 2 5 2 2 2 4 2 4" xfId="7370"/>
    <cellStyle name="Normal 2 5 2 2 2 4 3" xfId="3966"/>
    <cellStyle name="Normal 2 5 2 2 2 4 3 2" xfId="17611"/>
    <cellStyle name="Normal 2 5 2 2 2 4 3 3" xfId="14032"/>
    <cellStyle name="Normal 2 5 2 2 2 4 3 4" xfId="8775"/>
    <cellStyle name="Normal 2 5 2 2 2 4 4" xfId="6486"/>
    <cellStyle name="Normal 2 5 2 2 2 4 4 2" xfId="15570"/>
    <cellStyle name="Normal 2 5 2 2 2 4 5" xfId="10229"/>
    <cellStyle name="Normal 2 5 2 2 2 4 5 2" xfId="19056"/>
    <cellStyle name="Normal 2 5 2 2 2 4 6" xfId="11675"/>
    <cellStyle name="Normal 2 5 2 2 2 4 7" xfId="4964"/>
    <cellStyle name="Normal 2 5 2 2 2 5" xfId="1500"/>
    <cellStyle name="Normal 2 5 2 2 2 5 2" xfId="3099"/>
    <cellStyle name="Normal 2 5 2 2 2 5 2 2" xfId="16649"/>
    <cellStyle name="Normal 2 5 2 2 2 5 2 3" xfId="13070"/>
    <cellStyle name="Normal 2 5 2 2 2 5 2 4" xfId="7781"/>
    <cellStyle name="Normal 2 5 2 2 2 5 3" xfId="4308"/>
    <cellStyle name="Normal 2 5 2 2 2 5 3 2" xfId="18013"/>
    <cellStyle name="Normal 2 5 2 2 2 5 3 3" xfId="14434"/>
    <cellStyle name="Normal 2 5 2 2 2 5 3 4" xfId="9177"/>
    <cellStyle name="Normal 2 5 2 2 2 5 4" xfId="5969"/>
    <cellStyle name="Normal 2 5 2 2 2 5 4 2" xfId="15055"/>
    <cellStyle name="Normal 2 5 2 2 2 5 5" xfId="10631"/>
    <cellStyle name="Normal 2 5 2 2 2 5 5 2" xfId="19458"/>
    <cellStyle name="Normal 2 5 2 2 2 5 6" xfId="12077"/>
    <cellStyle name="Normal 2 5 2 2 2 5 7" xfId="5375"/>
    <cellStyle name="Normal 2 5 2 2 2 6" xfId="2056"/>
    <cellStyle name="Normal 2 5 2 2 2 6 2" xfId="15898"/>
    <cellStyle name="Normal 2 5 2 2 2 6 3" xfId="12307"/>
    <cellStyle name="Normal 2 5 2 2 2 6 4" xfId="6855"/>
    <cellStyle name="Normal 2 5 2 2 2 7" xfId="3470"/>
    <cellStyle name="Normal 2 5 2 2 2 7 2" xfId="16970"/>
    <cellStyle name="Normal 2 5 2 2 2 7 3" xfId="13391"/>
    <cellStyle name="Normal 2 5 2 2 2 7 4" xfId="8134"/>
    <cellStyle name="Normal 2 5 2 2 2 8" xfId="5695"/>
    <cellStyle name="Normal 2 5 2 2 2 8 2" xfId="14781"/>
    <cellStyle name="Normal 2 5 2 2 2 9" xfId="9588"/>
    <cellStyle name="Normal 2 5 2 2 2 9 2" xfId="18415"/>
    <cellStyle name="Normal 2 5 2 2 2_Degree data" xfId="1430"/>
    <cellStyle name="Normal 2 5 2 2 3" xfId="235"/>
    <cellStyle name="Normal 2 5 2 2 3 10" xfId="10989"/>
    <cellStyle name="Normal 2 5 2 2 3 11" xfId="4510"/>
    <cellStyle name="Normal 2 5 2 2 3 2" xfId="448"/>
    <cellStyle name="Normal 2 5 2 2 3 2 2" xfId="622"/>
    <cellStyle name="Normal 2 5 2 2 3 2 2 2" xfId="2352"/>
    <cellStyle name="Normal 2 5 2 2 3 2 2 2 2" xfId="16241"/>
    <cellStyle name="Normal 2 5 2 2 3 2 2 2 3" xfId="12663"/>
    <cellStyle name="Normal 2 5 2 2 3 2 2 2 4" xfId="7373"/>
    <cellStyle name="Normal 2 5 2 2 3 2 2 3" xfId="3620"/>
    <cellStyle name="Normal 2 5 2 2 3 2 2 3 2" xfId="17266"/>
    <cellStyle name="Normal 2 5 2 2 3 2 2 3 3" xfId="13687"/>
    <cellStyle name="Normal 2 5 2 2 3 2 2 3 4" xfId="8430"/>
    <cellStyle name="Normal 2 5 2 2 3 2 2 4" xfId="6489"/>
    <cellStyle name="Normal 2 5 2 2 3 2 2 4 2" xfId="15573"/>
    <cellStyle name="Normal 2 5 2 2 3 2 2 5" xfId="9884"/>
    <cellStyle name="Normal 2 5 2 2 3 2 2 5 2" xfId="18711"/>
    <cellStyle name="Normal 2 5 2 2 3 2 2 6" xfId="11328"/>
    <cellStyle name="Normal 2 5 2 2 3 2 2 7" xfId="4967"/>
    <cellStyle name="Normal 2 5 2 2 3 2 3" xfId="980"/>
    <cellStyle name="Normal 2 5 2 2 3 2 3 2" xfId="2700"/>
    <cellStyle name="Normal 2 5 2 2 3 2 3 2 2" xfId="16810"/>
    <cellStyle name="Normal 2 5 2 2 3 2 3 2 3" xfId="13231"/>
    <cellStyle name="Normal 2 5 2 2 3 2 3 2 4" xfId="7942"/>
    <cellStyle name="Normal 2 5 2 2 3 2 3 3" xfId="3969"/>
    <cellStyle name="Normal 2 5 2 2 3 2 3 3 2" xfId="17614"/>
    <cellStyle name="Normal 2 5 2 2 3 2 3 3 3" xfId="14035"/>
    <cellStyle name="Normal 2 5 2 2 3 2 3 3 4" xfId="8778"/>
    <cellStyle name="Normal 2 5 2 2 3 2 3 4" xfId="6349"/>
    <cellStyle name="Normal 2 5 2 2 3 2 3 4 2" xfId="15433"/>
    <cellStyle name="Normal 2 5 2 2 3 2 3 5" xfId="10232"/>
    <cellStyle name="Normal 2 5 2 2 3 2 3 5 2" xfId="19059"/>
    <cellStyle name="Normal 2 5 2 2 3 2 3 6" xfId="11678"/>
    <cellStyle name="Normal 2 5 2 2 3 2 3 7" xfId="5536"/>
    <cellStyle name="Normal 2 5 2 2 3 2 4" xfId="1664"/>
    <cellStyle name="Normal 2 5 2 2 3 2 4 2" xfId="3260"/>
    <cellStyle name="Normal 2 5 2 2 3 2 4 2 2" xfId="18174"/>
    <cellStyle name="Normal 2 5 2 2 3 2 4 2 3" xfId="14595"/>
    <cellStyle name="Normal 2 5 2 2 3 2 4 2 4" xfId="9338"/>
    <cellStyle name="Normal 2 5 2 2 3 2 4 3" xfId="10792"/>
    <cellStyle name="Normal 2 5 2 2 3 2 4 3 2" xfId="19619"/>
    <cellStyle name="Normal 2 5 2 2 3 2 4 4" xfId="12238"/>
    <cellStyle name="Normal 2 5 2 2 3 2 4 5" xfId="7233"/>
    <cellStyle name="Normal 2 5 2 2 3 2 5" xfId="2217"/>
    <cellStyle name="Normal 2 5 2 2 3 2 5 2" xfId="17131"/>
    <cellStyle name="Normal 2 5 2 2 3 2 5 3" xfId="13552"/>
    <cellStyle name="Normal 2 5 2 2 3 2 5 4" xfId="8295"/>
    <cellStyle name="Normal 2 5 2 2 3 2 6" xfId="5856"/>
    <cellStyle name="Normal 2 5 2 2 3 2 6 2" xfId="14942"/>
    <cellStyle name="Normal 2 5 2 2 3 2 7" xfId="9749"/>
    <cellStyle name="Normal 2 5 2 2 3 2 7 2" xfId="18576"/>
    <cellStyle name="Normal 2 5 2 2 3 2 8" xfId="11193"/>
    <cellStyle name="Normal 2 5 2 2 3 2 9" xfId="4827"/>
    <cellStyle name="Normal 2 5 2 2 3 2_Degree data" xfId="1401"/>
    <cellStyle name="Normal 2 5 2 2 3 3" xfId="621"/>
    <cellStyle name="Normal 2 5 2 2 3 3 2" xfId="2351"/>
    <cellStyle name="Normal 2 5 2 2 3 3 2 2" xfId="16043"/>
    <cellStyle name="Normal 2 5 2 2 3 3 2 3" xfId="12398"/>
    <cellStyle name="Normal 2 5 2 2 3 3 2 4" xfId="7029"/>
    <cellStyle name="Normal 2 5 2 2 3 3 3" xfId="3619"/>
    <cellStyle name="Normal 2 5 2 2 3 3 3 2" xfId="17265"/>
    <cellStyle name="Normal 2 5 2 2 3 3 3 3" xfId="13686"/>
    <cellStyle name="Normal 2 5 2 2 3 3 3 4" xfId="8429"/>
    <cellStyle name="Normal 2 5 2 2 3 3 4" xfId="6145"/>
    <cellStyle name="Normal 2 5 2 2 3 3 4 2" xfId="15229"/>
    <cellStyle name="Normal 2 5 2 2 3 3 5" xfId="9883"/>
    <cellStyle name="Normal 2 5 2 2 3 3 5 2" xfId="18710"/>
    <cellStyle name="Normal 2 5 2 2 3 3 6" xfId="11327"/>
    <cellStyle name="Normal 2 5 2 2 3 3 7" xfId="4623"/>
    <cellStyle name="Normal 2 5 2 2 3 4" xfId="979"/>
    <cellStyle name="Normal 2 5 2 2 3 4 2" xfId="2699"/>
    <cellStyle name="Normal 2 5 2 2 3 4 2 2" xfId="16240"/>
    <cellStyle name="Normal 2 5 2 2 3 4 2 3" xfId="12662"/>
    <cellStyle name="Normal 2 5 2 2 3 4 2 4" xfId="7372"/>
    <cellStyle name="Normal 2 5 2 2 3 4 3" xfId="3968"/>
    <cellStyle name="Normal 2 5 2 2 3 4 3 2" xfId="17613"/>
    <cellStyle name="Normal 2 5 2 2 3 4 3 3" xfId="14034"/>
    <cellStyle name="Normal 2 5 2 2 3 4 3 4" xfId="8777"/>
    <cellStyle name="Normal 2 5 2 2 3 4 4" xfId="6488"/>
    <cellStyle name="Normal 2 5 2 2 3 4 4 2" xfId="15572"/>
    <cellStyle name="Normal 2 5 2 2 3 4 5" xfId="10231"/>
    <cellStyle name="Normal 2 5 2 2 3 4 5 2" xfId="19058"/>
    <cellStyle name="Normal 2 5 2 2 3 4 6" xfId="11677"/>
    <cellStyle name="Normal 2 5 2 2 3 4 7" xfId="4966"/>
    <cellStyle name="Normal 2 5 2 2 3 5" xfId="1455"/>
    <cellStyle name="Normal 2 5 2 2 3 5 2" xfId="3056"/>
    <cellStyle name="Normal 2 5 2 2 3 5 2 2" xfId="16606"/>
    <cellStyle name="Normal 2 5 2 2 3 5 2 3" xfId="13027"/>
    <cellStyle name="Normal 2 5 2 2 3 5 2 4" xfId="7738"/>
    <cellStyle name="Normal 2 5 2 2 3 5 3" xfId="4265"/>
    <cellStyle name="Normal 2 5 2 2 3 5 3 2" xfId="17970"/>
    <cellStyle name="Normal 2 5 2 2 3 5 3 3" xfId="14391"/>
    <cellStyle name="Normal 2 5 2 2 3 5 3 4" xfId="9134"/>
    <cellStyle name="Normal 2 5 2 2 3 5 4" xfId="6030"/>
    <cellStyle name="Normal 2 5 2 2 3 5 4 2" xfId="15116"/>
    <cellStyle name="Normal 2 5 2 2 3 5 5" xfId="10588"/>
    <cellStyle name="Normal 2 5 2 2 3 5 5 2" xfId="19415"/>
    <cellStyle name="Normal 2 5 2 2 3 5 6" xfId="12034"/>
    <cellStyle name="Normal 2 5 2 2 3 5 7" xfId="5332"/>
    <cellStyle name="Normal 2 5 2 2 3 6" xfId="2013"/>
    <cellStyle name="Normal 2 5 2 2 3 6 2" xfId="15959"/>
    <cellStyle name="Normal 2 5 2 2 3 6 3" xfId="12419"/>
    <cellStyle name="Normal 2 5 2 2 3 6 4" xfId="6916"/>
    <cellStyle name="Normal 2 5 2 2 3 7" xfId="3427"/>
    <cellStyle name="Normal 2 5 2 2 3 7 2" xfId="16927"/>
    <cellStyle name="Normal 2 5 2 2 3 7 3" xfId="13348"/>
    <cellStyle name="Normal 2 5 2 2 3 7 4" xfId="8091"/>
    <cellStyle name="Normal 2 5 2 2 3 8" xfId="5652"/>
    <cellStyle name="Normal 2 5 2 2 3 8 2" xfId="14738"/>
    <cellStyle name="Normal 2 5 2 2 3 9" xfId="9545"/>
    <cellStyle name="Normal 2 5 2 2 3 9 2" xfId="18372"/>
    <cellStyle name="Normal 2 5 2 2 3_Degree data" xfId="1399"/>
    <cellStyle name="Normal 2 5 2 2 4" xfId="343"/>
    <cellStyle name="Normal 2 5 2 2 4 2" xfId="623"/>
    <cellStyle name="Normal 2 5 2 2 4 2 2" xfId="2353"/>
    <cellStyle name="Normal 2 5 2 2 4 2 2 2" xfId="16242"/>
    <cellStyle name="Normal 2 5 2 2 4 2 2 3" xfId="12664"/>
    <cellStyle name="Normal 2 5 2 2 4 2 2 4" xfId="7374"/>
    <cellStyle name="Normal 2 5 2 2 4 2 3" xfId="3621"/>
    <cellStyle name="Normal 2 5 2 2 4 2 3 2" xfId="17267"/>
    <cellStyle name="Normal 2 5 2 2 4 2 3 3" xfId="13688"/>
    <cellStyle name="Normal 2 5 2 2 4 2 3 4" xfId="8431"/>
    <cellStyle name="Normal 2 5 2 2 4 2 4" xfId="6490"/>
    <cellStyle name="Normal 2 5 2 2 4 2 4 2" xfId="15574"/>
    <cellStyle name="Normal 2 5 2 2 4 2 5" xfId="9885"/>
    <cellStyle name="Normal 2 5 2 2 4 2 5 2" xfId="18712"/>
    <cellStyle name="Normal 2 5 2 2 4 2 6" xfId="11329"/>
    <cellStyle name="Normal 2 5 2 2 4 2 7" xfId="4968"/>
    <cellStyle name="Normal 2 5 2 2 4 3" xfId="981"/>
    <cellStyle name="Normal 2 5 2 2 4 3 2" xfId="2701"/>
    <cellStyle name="Normal 2 5 2 2 4 3 2 2" xfId="16706"/>
    <cellStyle name="Normal 2 5 2 2 4 3 2 3" xfId="13127"/>
    <cellStyle name="Normal 2 5 2 2 4 3 2 4" xfId="7838"/>
    <cellStyle name="Normal 2 5 2 2 4 3 3" xfId="3970"/>
    <cellStyle name="Normal 2 5 2 2 4 3 3 2" xfId="17615"/>
    <cellStyle name="Normal 2 5 2 2 4 3 3 3" xfId="14036"/>
    <cellStyle name="Normal 2 5 2 2 4 3 3 4" xfId="8779"/>
    <cellStyle name="Normal 2 5 2 2 4 3 4" xfId="6245"/>
    <cellStyle name="Normal 2 5 2 2 4 3 4 2" xfId="15329"/>
    <cellStyle name="Normal 2 5 2 2 4 3 5" xfId="10233"/>
    <cellStyle name="Normal 2 5 2 2 4 3 5 2" xfId="19060"/>
    <cellStyle name="Normal 2 5 2 2 4 3 6" xfId="11679"/>
    <cellStyle name="Normal 2 5 2 2 4 3 7" xfId="5432"/>
    <cellStyle name="Normal 2 5 2 2 4 4" xfId="1557"/>
    <cellStyle name="Normal 2 5 2 2 4 4 2" xfId="3156"/>
    <cellStyle name="Normal 2 5 2 2 4 4 2 2" xfId="18070"/>
    <cellStyle name="Normal 2 5 2 2 4 4 2 3" xfId="14491"/>
    <cellStyle name="Normal 2 5 2 2 4 4 2 4" xfId="9234"/>
    <cellStyle name="Normal 2 5 2 2 4 4 3" xfId="10688"/>
    <cellStyle name="Normal 2 5 2 2 4 4 3 2" xfId="19515"/>
    <cellStyle name="Normal 2 5 2 2 4 4 4" xfId="12134"/>
    <cellStyle name="Normal 2 5 2 2 4 4 5" xfId="7129"/>
    <cellStyle name="Normal 2 5 2 2 4 5" xfId="2113"/>
    <cellStyle name="Normal 2 5 2 2 4 5 2" xfId="17027"/>
    <cellStyle name="Normal 2 5 2 2 4 5 3" xfId="13448"/>
    <cellStyle name="Normal 2 5 2 2 4 5 4" xfId="8191"/>
    <cellStyle name="Normal 2 5 2 2 4 6" xfId="5752"/>
    <cellStyle name="Normal 2 5 2 2 4 6 2" xfId="14838"/>
    <cellStyle name="Normal 2 5 2 2 4 7" xfId="9645"/>
    <cellStyle name="Normal 2 5 2 2 4 7 2" xfId="18472"/>
    <cellStyle name="Normal 2 5 2 2 4 8" xfId="11089"/>
    <cellStyle name="Normal 2 5 2 2 4 9" xfId="4723"/>
    <cellStyle name="Normal 2 5 2 2 4_Degree data" xfId="1280"/>
    <cellStyle name="Normal 2 5 2 2 5" xfId="495"/>
    <cellStyle name="Normal 2 5 2 2 5 2" xfId="624"/>
    <cellStyle name="Normal 2 5 2 2 5 2 2" xfId="2354"/>
    <cellStyle name="Normal 2 5 2 2 5 2 2 2" xfId="16243"/>
    <cellStyle name="Normal 2 5 2 2 5 2 2 3" xfId="12665"/>
    <cellStyle name="Normal 2 5 2 2 5 2 2 4" xfId="7375"/>
    <cellStyle name="Normal 2 5 2 2 5 2 3" xfId="3622"/>
    <cellStyle name="Normal 2 5 2 2 5 2 3 2" xfId="17268"/>
    <cellStyle name="Normal 2 5 2 2 5 2 3 3" xfId="13689"/>
    <cellStyle name="Normal 2 5 2 2 5 2 3 4" xfId="8432"/>
    <cellStyle name="Normal 2 5 2 2 5 2 4" xfId="6491"/>
    <cellStyle name="Normal 2 5 2 2 5 2 4 2" xfId="15575"/>
    <cellStyle name="Normal 2 5 2 2 5 2 5" xfId="9886"/>
    <cellStyle name="Normal 2 5 2 2 5 2 5 2" xfId="18713"/>
    <cellStyle name="Normal 2 5 2 2 5 2 6" xfId="11330"/>
    <cellStyle name="Normal 2 5 2 2 5 2 7" xfId="4969"/>
    <cellStyle name="Normal 2 5 2 2 5 3" xfId="982"/>
    <cellStyle name="Normal 2 5 2 2 5 3 2" xfId="2702"/>
    <cellStyle name="Normal 2 5 2 2 5 3 2 2" xfId="16549"/>
    <cellStyle name="Normal 2 5 2 2 5 3 2 3" xfId="12970"/>
    <cellStyle name="Normal 2 5 2 2 5 3 2 4" xfId="7681"/>
    <cellStyle name="Normal 2 5 2 2 5 3 3" xfId="3971"/>
    <cellStyle name="Normal 2 5 2 2 5 3 3 2" xfId="17616"/>
    <cellStyle name="Normal 2 5 2 2 5 3 3 3" xfId="14037"/>
    <cellStyle name="Normal 2 5 2 2 5 3 3 4" xfId="8780"/>
    <cellStyle name="Normal 2 5 2 2 5 3 4" xfId="6746"/>
    <cellStyle name="Normal 2 5 2 2 5 3 4 2" xfId="15829"/>
    <cellStyle name="Normal 2 5 2 2 5 3 5" xfId="10234"/>
    <cellStyle name="Normal 2 5 2 2 5 3 5 2" xfId="19061"/>
    <cellStyle name="Normal 2 5 2 2 5 3 6" xfId="11680"/>
    <cellStyle name="Normal 2 5 2 2 5 3 7" xfId="5275"/>
    <cellStyle name="Normal 2 5 2 2 5 4" xfId="1390"/>
    <cellStyle name="Normal 2 5 2 2 5 4 2" xfId="2999"/>
    <cellStyle name="Normal 2 5 2 2 5 4 2 2" xfId="17913"/>
    <cellStyle name="Normal 2 5 2 2 5 4 2 3" xfId="14334"/>
    <cellStyle name="Normal 2 5 2 2 5 4 2 4" xfId="9077"/>
    <cellStyle name="Normal 2 5 2 2 5 4 3" xfId="10531"/>
    <cellStyle name="Normal 2 5 2 2 5 4 3 2" xfId="19358"/>
    <cellStyle name="Normal 2 5 2 2 5 4 4" xfId="11977"/>
    <cellStyle name="Normal 2 5 2 2 5 4 5" xfId="6972"/>
    <cellStyle name="Normal 2 5 2 2 5 5" xfId="1956"/>
    <cellStyle name="Normal 2 5 2 2 5 5 2" xfId="16868"/>
    <cellStyle name="Normal 2 5 2 2 5 5 3" xfId="13289"/>
    <cellStyle name="Normal 2 5 2 2 5 5 4" xfId="8032"/>
    <cellStyle name="Normal 2 5 2 2 5 6" xfId="6088"/>
    <cellStyle name="Normal 2 5 2 2 5 6 2" xfId="15172"/>
    <cellStyle name="Normal 2 5 2 2 5 7" xfId="9488"/>
    <cellStyle name="Normal 2 5 2 2 5 7 2" xfId="18315"/>
    <cellStyle name="Normal 2 5 2 2 5 8" xfId="10932"/>
    <cellStyle name="Normal 2 5 2 2 5 9" xfId="4566"/>
    <cellStyle name="Normal 2 5 2 2 5_Degree data" xfId="1291"/>
    <cellStyle name="Normal 2 5 2 2 6" xfId="618"/>
    <cellStyle name="Normal 2 5 2 2 6 2" xfId="2348"/>
    <cellStyle name="Normal 2 5 2 2 6 2 2" xfId="16237"/>
    <cellStyle name="Normal 2 5 2 2 6 2 3" xfId="12659"/>
    <cellStyle name="Normal 2 5 2 2 6 2 4" xfId="7369"/>
    <cellStyle name="Normal 2 5 2 2 6 3" xfId="3616"/>
    <cellStyle name="Normal 2 5 2 2 6 3 2" xfId="17262"/>
    <cellStyle name="Normal 2 5 2 2 6 3 3" xfId="13683"/>
    <cellStyle name="Normal 2 5 2 2 6 3 4" xfId="8426"/>
    <cellStyle name="Normal 2 5 2 2 6 4" xfId="6485"/>
    <cellStyle name="Normal 2 5 2 2 6 4 2" xfId="15569"/>
    <cellStyle name="Normal 2 5 2 2 6 5" xfId="9880"/>
    <cellStyle name="Normal 2 5 2 2 6 5 2" xfId="18707"/>
    <cellStyle name="Normal 2 5 2 2 6 6" xfId="11324"/>
    <cellStyle name="Normal 2 5 2 2 6 7" xfId="4963"/>
    <cellStyle name="Normal 2 5 2 2 7" xfId="976"/>
    <cellStyle name="Normal 2 5 2 2 7 2" xfId="2696"/>
    <cellStyle name="Normal 2 5 2 2 7 2 2" xfId="16504"/>
    <cellStyle name="Normal 2 5 2 2 7 2 3" xfId="12926"/>
    <cellStyle name="Normal 2 5 2 2 7 2 4" xfId="7636"/>
    <cellStyle name="Normal 2 5 2 2 7 3" xfId="3965"/>
    <cellStyle name="Normal 2 5 2 2 7 3 2" xfId="17610"/>
    <cellStyle name="Normal 2 5 2 2 7 3 3" xfId="14031"/>
    <cellStyle name="Normal 2 5 2 2 7 3 4" xfId="8774"/>
    <cellStyle name="Normal 2 5 2 2 7 4" xfId="5926"/>
    <cellStyle name="Normal 2 5 2 2 7 4 2" xfId="15012"/>
    <cellStyle name="Normal 2 5 2 2 7 5" xfId="10228"/>
    <cellStyle name="Normal 2 5 2 2 7 5 2" xfId="19055"/>
    <cellStyle name="Normal 2 5 2 2 7 6" xfId="11674"/>
    <cellStyle name="Normal 2 5 2 2 7 7" xfId="5230"/>
    <cellStyle name="Normal 2 5 2 2 8" xfId="1339"/>
    <cellStyle name="Normal 2 5 2 2 8 2" xfId="2954"/>
    <cellStyle name="Normal 2 5 2 2 8 2 2" xfId="17868"/>
    <cellStyle name="Normal 2 5 2 2 8 2 3" xfId="14289"/>
    <cellStyle name="Normal 2 5 2 2 8 2 4" xfId="9032"/>
    <cellStyle name="Normal 2 5 2 2 8 3" xfId="10486"/>
    <cellStyle name="Normal 2 5 2 2 8 3 2" xfId="19313"/>
    <cellStyle name="Normal 2 5 2 2 8 4" xfId="11932"/>
    <cellStyle name="Normal 2 5 2 2 8 5" xfId="6812"/>
    <cellStyle name="Normal 2 5 2 2 9" xfId="1911"/>
    <cellStyle name="Normal 2 5 2 2 9 2" xfId="9443"/>
    <cellStyle name="Normal 2 5 2 2 9 2 2" xfId="18270"/>
    <cellStyle name="Normal 2 5 2 2 9 3" xfId="10887"/>
    <cellStyle name="Normal 2 5 2 2 9 4" xfId="7987"/>
    <cellStyle name="Normal 2 5 2 2_Degree data" xfId="1432"/>
    <cellStyle name="Normal 2 5 2 3" xfId="154"/>
    <cellStyle name="Normal 2 5 2 3 10" xfId="5581"/>
    <cellStyle name="Normal 2 5 2 3 10 2" xfId="14667"/>
    <cellStyle name="Normal 2 5 2 3 11" xfId="9401"/>
    <cellStyle name="Normal 2 5 2 3 11 2" xfId="18228"/>
    <cellStyle name="Normal 2 5 2 3 12" xfId="10841"/>
    <cellStyle name="Normal 2 5 2 3 13" xfId="4394"/>
    <cellStyle name="Normal 2 5 2 3 2" xfId="266"/>
    <cellStyle name="Normal 2 5 2 3 2 10" xfId="11020"/>
    <cellStyle name="Normal 2 5 2 3 2 11" xfId="4437"/>
    <cellStyle name="Normal 2 5 2 3 2 2" xfId="374"/>
    <cellStyle name="Normal 2 5 2 3 2 2 2" xfId="627"/>
    <cellStyle name="Normal 2 5 2 3 2 2 2 2" xfId="2357"/>
    <cellStyle name="Normal 2 5 2 3 2 2 2 2 2" xfId="16246"/>
    <cellStyle name="Normal 2 5 2 3 2 2 2 2 3" xfId="12668"/>
    <cellStyle name="Normal 2 5 2 3 2 2 2 2 4" xfId="7378"/>
    <cellStyle name="Normal 2 5 2 3 2 2 2 3" xfId="3625"/>
    <cellStyle name="Normal 2 5 2 3 2 2 2 3 2" xfId="17271"/>
    <cellStyle name="Normal 2 5 2 3 2 2 2 3 3" xfId="13692"/>
    <cellStyle name="Normal 2 5 2 3 2 2 2 3 4" xfId="8435"/>
    <cellStyle name="Normal 2 5 2 3 2 2 2 4" xfId="6494"/>
    <cellStyle name="Normal 2 5 2 3 2 2 2 4 2" xfId="15578"/>
    <cellStyle name="Normal 2 5 2 3 2 2 2 5" xfId="9889"/>
    <cellStyle name="Normal 2 5 2 3 2 2 2 5 2" xfId="18716"/>
    <cellStyle name="Normal 2 5 2 3 2 2 2 6" xfId="11333"/>
    <cellStyle name="Normal 2 5 2 3 2 2 2 7" xfId="4972"/>
    <cellStyle name="Normal 2 5 2 3 2 2 3" xfId="985"/>
    <cellStyle name="Normal 2 5 2 3 2 2 3 2" xfId="2705"/>
    <cellStyle name="Normal 2 5 2 3 2 2 3 2 2" xfId="16737"/>
    <cellStyle name="Normal 2 5 2 3 2 2 3 2 3" xfId="13158"/>
    <cellStyle name="Normal 2 5 2 3 2 2 3 2 4" xfId="7869"/>
    <cellStyle name="Normal 2 5 2 3 2 2 3 3" xfId="3974"/>
    <cellStyle name="Normal 2 5 2 3 2 2 3 3 2" xfId="17619"/>
    <cellStyle name="Normal 2 5 2 3 2 2 3 3 3" xfId="14040"/>
    <cellStyle name="Normal 2 5 2 3 2 2 3 3 4" xfId="8783"/>
    <cellStyle name="Normal 2 5 2 3 2 2 3 4" xfId="6276"/>
    <cellStyle name="Normal 2 5 2 3 2 2 3 4 2" xfId="15360"/>
    <cellStyle name="Normal 2 5 2 3 2 2 3 5" xfId="10237"/>
    <cellStyle name="Normal 2 5 2 3 2 2 3 5 2" xfId="19064"/>
    <cellStyle name="Normal 2 5 2 3 2 2 3 6" xfId="11683"/>
    <cellStyle name="Normal 2 5 2 3 2 2 3 7" xfId="5463"/>
    <cellStyle name="Normal 2 5 2 3 2 2 4" xfId="1589"/>
    <cellStyle name="Normal 2 5 2 3 2 2 4 2" xfId="3187"/>
    <cellStyle name="Normal 2 5 2 3 2 2 4 2 2" xfId="18101"/>
    <cellStyle name="Normal 2 5 2 3 2 2 4 2 3" xfId="14522"/>
    <cellStyle name="Normal 2 5 2 3 2 2 4 2 4" xfId="9265"/>
    <cellStyle name="Normal 2 5 2 3 2 2 4 3" xfId="10719"/>
    <cellStyle name="Normal 2 5 2 3 2 2 4 3 2" xfId="19546"/>
    <cellStyle name="Normal 2 5 2 3 2 2 4 4" xfId="12165"/>
    <cellStyle name="Normal 2 5 2 3 2 2 4 5" xfId="7160"/>
    <cellStyle name="Normal 2 5 2 3 2 2 5" xfId="2144"/>
    <cellStyle name="Normal 2 5 2 3 2 2 5 2" xfId="17058"/>
    <cellStyle name="Normal 2 5 2 3 2 2 5 3" xfId="13479"/>
    <cellStyle name="Normal 2 5 2 3 2 2 5 4" xfId="8222"/>
    <cellStyle name="Normal 2 5 2 3 2 2 6" xfId="5783"/>
    <cellStyle name="Normal 2 5 2 3 2 2 6 2" xfId="14869"/>
    <cellStyle name="Normal 2 5 2 3 2 2 7" xfId="9676"/>
    <cellStyle name="Normal 2 5 2 3 2 2 7 2" xfId="18503"/>
    <cellStyle name="Normal 2 5 2 3 2 2 8" xfId="11120"/>
    <cellStyle name="Normal 2 5 2 3 2 2 9" xfId="4754"/>
    <cellStyle name="Normal 2 5 2 3 2 2_Degree data" xfId="1283"/>
    <cellStyle name="Normal 2 5 2 3 2 3" xfId="626"/>
    <cellStyle name="Normal 2 5 2 3 2 3 2" xfId="2356"/>
    <cellStyle name="Normal 2 5 2 3 2 3 2 2" xfId="16074"/>
    <cellStyle name="Normal 2 5 2 3 2 3 2 3" xfId="12311"/>
    <cellStyle name="Normal 2 5 2 3 2 3 2 4" xfId="7060"/>
    <cellStyle name="Normal 2 5 2 3 2 3 3" xfId="3624"/>
    <cellStyle name="Normal 2 5 2 3 2 3 3 2" xfId="17270"/>
    <cellStyle name="Normal 2 5 2 3 2 3 3 3" xfId="13691"/>
    <cellStyle name="Normal 2 5 2 3 2 3 3 4" xfId="8434"/>
    <cellStyle name="Normal 2 5 2 3 2 3 4" xfId="6176"/>
    <cellStyle name="Normal 2 5 2 3 2 3 4 2" xfId="15260"/>
    <cellStyle name="Normal 2 5 2 3 2 3 5" xfId="9888"/>
    <cellStyle name="Normal 2 5 2 3 2 3 5 2" xfId="18715"/>
    <cellStyle name="Normal 2 5 2 3 2 3 6" xfId="11332"/>
    <cellStyle name="Normal 2 5 2 3 2 3 7" xfId="4654"/>
    <cellStyle name="Normal 2 5 2 3 2 4" xfId="984"/>
    <cellStyle name="Normal 2 5 2 3 2 4 2" xfId="2704"/>
    <cellStyle name="Normal 2 5 2 3 2 4 2 2" xfId="16245"/>
    <cellStyle name="Normal 2 5 2 3 2 4 2 3" xfId="12667"/>
    <cellStyle name="Normal 2 5 2 3 2 4 2 4" xfId="7377"/>
    <cellStyle name="Normal 2 5 2 3 2 4 3" xfId="3973"/>
    <cellStyle name="Normal 2 5 2 3 2 4 3 2" xfId="17618"/>
    <cellStyle name="Normal 2 5 2 3 2 4 3 3" xfId="14039"/>
    <cellStyle name="Normal 2 5 2 3 2 4 3 4" xfId="8782"/>
    <cellStyle name="Normal 2 5 2 3 2 4 4" xfId="6493"/>
    <cellStyle name="Normal 2 5 2 3 2 4 4 2" xfId="15577"/>
    <cellStyle name="Normal 2 5 2 3 2 4 5" xfId="10236"/>
    <cellStyle name="Normal 2 5 2 3 2 4 5 2" xfId="19063"/>
    <cellStyle name="Normal 2 5 2 3 2 4 6" xfId="11682"/>
    <cellStyle name="Normal 2 5 2 3 2 4 7" xfId="4971"/>
    <cellStyle name="Normal 2 5 2 3 2 5" xfId="1487"/>
    <cellStyle name="Normal 2 5 2 3 2 5 2" xfId="3087"/>
    <cellStyle name="Normal 2 5 2 3 2 5 2 2" xfId="16637"/>
    <cellStyle name="Normal 2 5 2 3 2 5 2 3" xfId="13058"/>
    <cellStyle name="Normal 2 5 2 3 2 5 2 4" xfId="7769"/>
    <cellStyle name="Normal 2 5 2 3 2 5 3" xfId="4296"/>
    <cellStyle name="Normal 2 5 2 3 2 5 3 2" xfId="18001"/>
    <cellStyle name="Normal 2 5 2 3 2 5 3 3" xfId="14422"/>
    <cellStyle name="Normal 2 5 2 3 2 5 3 4" xfId="9165"/>
    <cellStyle name="Normal 2 5 2 3 2 5 4" xfId="5957"/>
    <cellStyle name="Normal 2 5 2 3 2 5 4 2" xfId="15043"/>
    <cellStyle name="Normal 2 5 2 3 2 5 5" xfId="10619"/>
    <cellStyle name="Normal 2 5 2 3 2 5 5 2" xfId="19446"/>
    <cellStyle name="Normal 2 5 2 3 2 5 6" xfId="12065"/>
    <cellStyle name="Normal 2 5 2 3 2 5 7" xfId="5363"/>
    <cellStyle name="Normal 2 5 2 3 2 6" xfId="2044"/>
    <cellStyle name="Normal 2 5 2 3 2 6 2" xfId="15886"/>
    <cellStyle name="Normal 2 5 2 3 2 6 3" xfId="12437"/>
    <cellStyle name="Normal 2 5 2 3 2 6 4" xfId="6843"/>
    <cellStyle name="Normal 2 5 2 3 2 7" xfId="3458"/>
    <cellStyle name="Normal 2 5 2 3 2 7 2" xfId="16958"/>
    <cellStyle name="Normal 2 5 2 3 2 7 3" xfId="13379"/>
    <cellStyle name="Normal 2 5 2 3 2 7 4" xfId="8122"/>
    <cellStyle name="Normal 2 5 2 3 2 8" xfId="5683"/>
    <cellStyle name="Normal 2 5 2 3 2 8 2" xfId="14769"/>
    <cellStyle name="Normal 2 5 2 3 2 9" xfId="9576"/>
    <cellStyle name="Normal 2 5 2 3 2 9 2" xfId="18403"/>
    <cellStyle name="Normal 2 5 2 3 2_Degree data" xfId="1292"/>
    <cellStyle name="Normal 2 5 2 3 3" xfId="223"/>
    <cellStyle name="Normal 2 5 2 3 3 10" xfId="10977"/>
    <cellStyle name="Normal 2 5 2 3 3 11" xfId="4499"/>
    <cellStyle name="Normal 2 5 2 3 3 2" xfId="437"/>
    <cellStyle name="Normal 2 5 2 3 3 2 2" xfId="629"/>
    <cellStyle name="Normal 2 5 2 3 3 2 2 2" xfId="2359"/>
    <cellStyle name="Normal 2 5 2 3 3 2 2 2 2" xfId="16248"/>
    <cellStyle name="Normal 2 5 2 3 3 2 2 2 3" xfId="12670"/>
    <cellStyle name="Normal 2 5 2 3 3 2 2 2 4" xfId="7380"/>
    <cellStyle name="Normal 2 5 2 3 3 2 2 3" xfId="3627"/>
    <cellStyle name="Normal 2 5 2 3 3 2 2 3 2" xfId="17273"/>
    <cellStyle name="Normal 2 5 2 3 3 2 2 3 3" xfId="13694"/>
    <cellStyle name="Normal 2 5 2 3 3 2 2 3 4" xfId="8437"/>
    <cellStyle name="Normal 2 5 2 3 3 2 2 4" xfId="6496"/>
    <cellStyle name="Normal 2 5 2 3 3 2 2 4 2" xfId="15580"/>
    <cellStyle name="Normal 2 5 2 3 3 2 2 5" xfId="9891"/>
    <cellStyle name="Normal 2 5 2 3 3 2 2 5 2" xfId="18718"/>
    <cellStyle name="Normal 2 5 2 3 3 2 2 6" xfId="11335"/>
    <cellStyle name="Normal 2 5 2 3 3 2 2 7" xfId="4974"/>
    <cellStyle name="Normal 2 5 2 3 3 2 3" xfId="987"/>
    <cellStyle name="Normal 2 5 2 3 3 2 3 2" xfId="2707"/>
    <cellStyle name="Normal 2 5 2 3 3 2 3 2 2" xfId="16799"/>
    <cellStyle name="Normal 2 5 2 3 3 2 3 2 3" xfId="13220"/>
    <cellStyle name="Normal 2 5 2 3 3 2 3 2 4" xfId="7931"/>
    <cellStyle name="Normal 2 5 2 3 3 2 3 3" xfId="3976"/>
    <cellStyle name="Normal 2 5 2 3 3 2 3 3 2" xfId="17621"/>
    <cellStyle name="Normal 2 5 2 3 3 2 3 3 3" xfId="14042"/>
    <cellStyle name="Normal 2 5 2 3 3 2 3 3 4" xfId="8785"/>
    <cellStyle name="Normal 2 5 2 3 3 2 3 4" xfId="6338"/>
    <cellStyle name="Normal 2 5 2 3 3 2 3 4 2" xfId="15422"/>
    <cellStyle name="Normal 2 5 2 3 3 2 3 5" xfId="10239"/>
    <cellStyle name="Normal 2 5 2 3 3 2 3 5 2" xfId="19066"/>
    <cellStyle name="Normal 2 5 2 3 3 2 3 6" xfId="11685"/>
    <cellStyle name="Normal 2 5 2 3 3 2 3 7" xfId="5525"/>
    <cellStyle name="Normal 2 5 2 3 3 2 4" xfId="1653"/>
    <cellStyle name="Normal 2 5 2 3 3 2 4 2" xfId="3249"/>
    <cellStyle name="Normal 2 5 2 3 3 2 4 2 2" xfId="18163"/>
    <cellStyle name="Normal 2 5 2 3 3 2 4 2 3" xfId="14584"/>
    <cellStyle name="Normal 2 5 2 3 3 2 4 2 4" xfId="9327"/>
    <cellStyle name="Normal 2 5 2 3 3 2 4 3" xfId="10781"/>
    <cellStyle name="Normal 2 5 2 3 3 2 4 3 2" xfId="19608"/>
    <cellStyle name="Normal 2 5 2 3 3 2 4 4" xfId="12227"/>
    <cellStyle name="Normal 2 5 2 3 3 2 4 5" xfId="7222"/>
    <cellStyle name="Normal 2 5 2 3 3 2 5" xfId="2206"/>
    <cellStyle name="Normal 2 5 2 3 3 2 5 2" xfId="17120"/>
    <cellStyle name="Normal 2 5 2 3 3 2 5 3" xfId="13541"/>
    <cellStyle name="Normal 2 5 2 3 3 2 5 4" xfId="8284"/>
    <cellStyle name="Normal 2 5 2 3 3 2 6" xfId="5845"/>
    <cellStyle name="Normal 2 5 2 3 3 2 6 2" xfId="14931"/>
    <cellStyle name="Normal 2 5 2 3 3 2 7" xfId="9738"/>
    <cellStyle name="Normal 2 5 2 3 3 2 7 2" xfId="18565"/>
    <cellStyle name="Normal 2 5 2 3 3 2 8" xfId="11182"/>
    <cellStyle name="Normal 2 5 2 3 3 2 9" xfId="4816"/>
    <cellStyle name="Normal 2 5 2 3 3 2_Degree data" xfId="1290"/>
    <cellStyle name="Normal 2 5 2 3 3 3" xfId="628"/>
    <cellStyle name="Normal 2 5 2 3 3 3 2" xfId="2358"/>
    <cellStyle name="Normal 2 5 2 3 3 3 2 2" xfId="16031"/>
    <cellStyle name="Normal 2 5 2 3 3 3 2 3" xfId="12342"/>
    <cellStyle name="Normal 2 5 2 3 3 3 2 4" xfId="7017"/>
    <cellStyle name="Normal 2 5 2 3 3 3 3" xfId="3626"/>
    <cellStyle name="Normal 2 5 2 3 3 3 3 2" xfId="17272"/>
    <cellStyle name="Normal 2 5 2 3 3 3 3 3" xfId="13693"/>
    <cellStyle name="Normal 2 5 2 3 3 3 3 4" xfId="8436"/>
    <cellStyle name="Normal 2 5 2 3 3 3 4" xfId="6133"/>
    <cellStyle name="Normal 2 5 2 3 3 3 4 2" xfId="15217"/>
    <cellStyle name="Normal 2 5 2 3 3 3 5" xfId="9890"/>
    <cellStyle name="Normal 2 5 2 3 3 3 5 2" xfId="18717"/>
    <cellStyle name="Normal 2 5 2 3 3 3 6" xfId="11334"/>
    <cellStyle name="Normal 2 5 2 3 3 3 7" xfId="4611"/>
    <cellStyle name="Normal 2 5 2 3 3 4" xfId="986"/>
    <cellStyle name="Normal 2 5 2 3 3 4 2" xfId="2706"/>
    <cellStyle name="Normal 2 5 2 3 3 4 2 2" xfId="16247"/>
    <cellStyle name="Normal 2 5 2 3 3 4 2 3" xfId="12669"/>
    <cellStyle name="Normal 2 5 2 3 3 4 2 4" xfId="7379"/>
    <cellStyle name="Normal 2 5 2 3 3 4 3" xfId="3975"/>
    <cellStyle name="Normal 2 5 2 3 3 4 3 2" xfId="17620"/>
    <cellStyle name="Normal 2 5 2 3 3 4 3 3" xfId="14041"/>
    <cellStyle name="Normal 2 5 2 3 3 4 3 4" xfId="8784"/>
    <cellStyle name="Normal 2 5 2 3 3 4 4" xfId="6495"/>
    <cellStyle name="Normal 2 5 2 3 3 4 4 2" xfId="15579"/>
    <cellStyle name="Normal 2 5 2 3 3 4 5" xfId="10238"/>
    <cellStyle name="Normal 2 5 2 3 3 4 5 2" xfId="19065"/>
    <cellStyle name="Normal 2 5 2 3 3 4 6" xfId="11684"/>
    <cellStyle name="Normal 2 5 2 3 3 4 7" xfId="4973"/>
    <cellStyle name="Normal 2 5 2 3 3 5" xfId="1442"/>
    <cellStyle name="Normal 2 5 2 3 3 5 2" xfId="3044"/>
    <cellStyle name="Normal 2 5 2 3 3 5 2 2" xfId="16594"/>
    <cellStyle name="Normal 2 5 2 3 3 5 2 3" xfId="13015"/>
    <cellStyle name="Normal 2 5 2 3 3 5 2 4" xfId="7726"/>
    <cellStyle name="Normal 2 5 2 3 3 5 3" xfId="4253"/>
    <cellStyle name="Normal 2 5 2 3 3 5 3 2" xfId="17958"/>
    <cellStyle name="Normal 2 5 2 3 3 5 3 3" xfId="14379"/>
    <cellStyle name="Normal 2 5 2 3 3 5 3 4" xfId="9122"/>
    <cellStyle name="Normal 2 5 2 3 3 5 4" xfId="6019"/>
    <cellStyle name="Normal 2 5 2 3 3 5 4 2" xfId="15105"/>
    <cellStyle name="Normal 2 5 2 3 3 5 5" xfId="10576"/>
    <cellStyle name="Normal 2 5 2 3 3 5 5 2" xfId="19403"/>
    <cellStyle name="Normal 2 5 2 3 3 5 6" xfId="12022"/>
    <cellStyle name="Normal 2 5 2 3 3 5 7" xfId="5320"/>
    <cellStyle name="Normal 2 5 2 3 3 6" xfId="2001"/>
    <cellStyle name="Normal 2 5 2 3 3 6 2" xfId="15948"/>
    <cellStyle name="Normal 2 5 2 3 3 6 3" xfId="12363"/>
    <cellStyle name="Normal 2 5 2 3 3 6 4" xfId="6905"/>
    <cellStyle name="Normal 2 5 2 3 3 7" xfId="3416"/>
    <cellStyle name="Normal 2 5 2 3 3 7 2" xfId="16915"/>
    <cellStyle name="Normal 2 5 2 3 3 7 3" xfId="13336"/>
    <cellStyle name="Normal 2 5 2 3 3 7 4" xfId="8079"/>
    <cellStyle name="Normal 2 5 2 3 3 8" xfId="5640"/>
    <cellStyle name="Normal 2 5 2 3 3 8 2" xfId="14726"/>
    <cellStyle name="Normal 2 5 2 3 3 9" xfId="9533"/>
    <cellStyle name="Normal 2 5 2 3 3 9 2" xfId="18360"/>
    <cellStyle name="Normal 2 5 2 3 3_Degree data" xfId="1282"/>
    <cellStyle name="Normal 2 5 2 3 4" xfId="331"/>
    <cellStyle name="Normal 2 5 2 3 4 2" xfId="630"/>
    <cellStyle name="Normal 2 5 2 3 4 2 2" xfId="2360"/>
    <cellStyle name="Normal 2 5 2 3 4 2 2 2" xfId="16249"/>
    <cellStyle name="Normal 2 5 2 3 4 2 2 3" xfId="12671"/>
    <cellStyle name="Normal 2 5 2 3 4 2 2 4" xfId="7381"/>
    <cellStyle name="Normal 2 5 2 3 4 2 3" xfId="3628"/>
    <cellStyle name="Normal 2 5 2 3 4 2 3 2" xfId="17274"/>
    <cellStyle name="Normal 2 5 2 3 4 2 3 3" xfId="13695"/>
    <cellStyle name="Normal 2 5 2 3 4 2 3 4" xfId="8438"/>
    <cellStyle name="Normal 2 5 2 3 4 2 4" xfId="6497"/>
    <cellStyle name="Normal 2 5 2 3 4 2 4 2" xfId="15581"/>
    <cellStyle name="Normal 2 5 2 3 4 2 5" xfId="9892"/>
    <cellStyle name="Normal 2 5 2 3 4 2 5 2" xfId="18719"/>
    <cellStyle name="Normal 2 5 2 3 4 2 6" xfId="11336"/>
    <cellStyle name="Normal 2 5 2 3 4 2 7" xfId="4975"/>
    <cellStyle name="Normal 2 5 2 3 4 3" xfId="988"/>
    <cellStyle name="Normal 2 5 2 3 4 3 2" xfId="2708"/>
    <cellStyle name="Normal 2 5 2 3 4 3 2 2" xfId="16694"/>
    <cellStyle name="Normal 2 5 2 3 4 3 2 3" xfId="13115"/>
    <cellStyle name="Normal 2 5 2 3 4 3 2 4" xfId="7826"/>
    <cellStyle name="Normal 2 5 2 3 4 3 3" xfId="3977"/>
    <cellStyle name="Normal 2 5 2 3 4 3 3 2" xfId="17622"/>
    <cellStyle name="Normal 2 5 2 3 4 3 3 3" xfId="14043"/>
    <cellStyle name="Normal 2 5 2 3 4 3 3 4" xfId="8786"/>
    <cellStyle name="Normal 2 5 2 3 4 3 4" xfId="6233"/>
    <cellStyle name="Normal 2 5 2 3 4 3 4 2" xfId="15317"/>
    <cellStyle name="Normal 2 5 2 3 4 3 5" xfId="10240"/>
    <cellStyle name="Normal 2 5 2 3 4 3 5 2" xfId="19067"/>
    <cellStyle name="Normal 2 5 2 3 4 3 6" xfId="11686"/>
    <cellStyle name="Normal 2 5 2 3 4 3 7" xfId="5420"/>
    <cellStyle name="Normal 2 5 2 3 4 4" xfId="1545"/>
    <cellStyle name="Normal 2 5 2 3 4 4 2" xfId="3144"/>
    <cellStyle name="Normal 2 5 2 3 4 4 2 2" xfId="18058"/>
    <cellStyle name="Normal 2 5 2 3 4 4 2 3" xfId="14479"/>
    <cellStyle name="Normal 2 5 2 3 4 4 2 4" xfId="9222"/>
    <cellStyle name="Normal 2 5 2 3 4 4 3" xfId="10676"/>
    <cellStyle name="Normal 2 5 2 3 4 4 3 2" xfId="19503"/>
    <cellStyle name="Normal 2 5 2 3 4 4 4" xfId="12122"/>
    <cellStyle name="Normal 2 5 2 3 4 4 5" xfId="7117"/>
    <cellStyle name="Normal 2 5 2 3 4 5" xfId="2101"/>
    <cellStyle name="Normal 2 5 2 3 4 5 2" xfId="17015"/>
    <cellStyle name="Normal 2 5 2 3 4 5 3" xfId="13436"/>
    <cellStyle name="Normal 2 5 2 3 4 5 4" xfId="8179"/>
    <cellStyle name="Normal 2 5 2 3 4 6" xfId="5740"/>
    <cellStyle name="Normal 2 5 2 3 4 6 2" xfId="14826"/>
    <cellStyle name="Normal 2 5 2 3 4 7" xfId="9633"/>
    <cellStyle name="Normal 2 5 2 3 4 7 2" xfId="18460"/>
    <cellStyle name="Normal 2 5 2 3 4 8" xfId="11077"/>
    <cellStyle name="Normal 2 5 2 3 4 9" xfId="4711"/>
    <cellStyle name="Normal 2 5 2 3 4_Degree data" xfId="1319"/>
    <cellStyle name="Normal 2 5 2 3 5" xfId="625"/>
    <cellStyle name="Normal 2 5 2 3 5 2" xfId="2355"/>
    <cellStyle name="Normal 2 5 2 3 5 2 2" xfId="15988"/>
    <cellStyle name="Normal 2 5 2 3 5 2 3" xfId="12286"/>
    <cellStyle name="Normal 2 5 2 3 5 2 4" xfId="6958"/>
    <cellStyle name="Normal 2 5 2 3 5 3" xfId="3623"/>
    <cellStyle name="Normal 2 5 2 3 5 3 2" xfId="17269"/>
    <cellStyle name="Normal 2 5 2 3 5 3 3" xfId="13690"/>
    <cellStyle name="Normal 2 5 2 3 5 3 4" xfId="8433"/>
    <cellStyle name="Normal 2 5 2 3 5 4" xfId="6074"/>
    <cellStyle name="Normal 2 5 2 3 5 4 2" xfId="15158"/>
    <cellStyle name="Normal 2 5 2 3 5 5" xfId="9887"/>
    <cellStyle name="Normal 2 5 2 3 5 5 2" xfId="18714"/>
    <cellStyle name="Normal 2 5 2 3 5 6" xfId="11331"/>
    <cellStyle name="Normal 2 5 2 3 5 7" xfId="4552"/>
    <cellStyle name="Normal 2 5 2 3 6" xfId="983"/>
    <cellStyle name="Normal 2 5 2 3 6 2" xfId="2703"/>
    <cellStyle name="Normal 2 5 2 3 6 2 2" xfId="16244"/>
    <cellStyle name="Normal 2 5 2 3 6 2 3" xfId="12666"/>
    <cellStyle name="Normal 2 5 2 3 6 2 4" xfId="7376"/>
    <cellStyle name="Normal 2 5 2 3 6 3" xfId="3972"/>
    <cellStyle name="Normal 2 5 2 3 6 3 2" xfId="17617"/>
    <cellStyle name="Normal 2 5 2 3 6 3 3" xfId="14038"/>
    <cellStyle name="Normal 2 5 2 3 6 3 4" xfId="8781"/>
    <cellStyle name="Normal 2 5 2 3 6 4" xfId="6492"/>
    <cellStyle name="Normal 2 5 2 3 6 4 2" xfId="15576"/>
    <cellStyle name="Normal 2 5 2 3 6 5" xfId="10235"/>
    <cellStyle name="Normal 2 5 2 3 6 5 2" xfId="19062"/>
    <cellStyle name="Normal 2 5 2 3 6 6" xfId="11681"/>
    <cellStyle name="Normal 2 5 2 3 6 7" xfId="4970"/>
    <cellStyle name="Normal 2 5 2 3 7" xfId="1374"/>
    <cellStyle name="Normal 2 5 2 3 7 2" xfId="2985"/>
    <cellStyle name="Normal 2 5 2 3 7 2 2" xfId="16535"/>
    <cellStyle name="Normal 2 5 2 3 7 2 3" xfId="12957"/>
    <cellStyle name="Normal 2 5 2 3 7 2 4" xfId="7667"/>
    <cellStyle name="Normal 2 5 2 3 7 3" xfId="4211"/>
    <cellStyle name="Normal 2 5 2 3 7 3 2" xfId="17899"/>
    <cellStyle name="Normal 2 5 2 3 7 3 3" xfId="14320"/>
    <cellStyle name="Normal 2 5 2 3 7 3 4" xfId="9063"/>
    <cellStyle name="Normal 2 5 2 3 7 4" xfId="5913"/>
    <cellStyle name="Normal 2 5 2 3 7 4 2" xfId="14999"/>
    <cellStyle name="Normal 2 5 2 3 7 5" xfId="10517"/>
    <cellStyle name="Normal 2 5 2 3 7 5 2" xfId="19344"/>
    <cellStyle name="Normal 2 5 2 3 7 6" xfId="11963"/>
    <cellStyle name="Normal 2 5 2 3 7 7" xfId="5261"/>
    <cellStyle name="Normal 2 5 2 3 8" xfId="1942"/>
    <cellStyle name="Normal 2 5 2 3 8 2" xfId="9474"/>
    <cellStyle name="Normal 2 5 2 3 8 2 2" xfId="18301"/>
    <cellStyle name="Normal 2 5 2 3 8 3" xfId="10918"/>
    <cellStyle name="Normal 2 5 2 3 8 4" xfId="6800"/>
    <cellStyle name="Normal 2 5 2 3 9" xfId="1866"/>
    <cellStyle name="Normal 2 5 2 3 9 2" xfId="16854"/>
    <cellStyle name="Normal 2 5 2 3 9 3" xfId="13275"/>
    <cellStyle name="Normal 2 5 2 3 9 4" xfId="8018"/>
    <cellStyle name="Normal 2 5 2 3_Degree data" xfId="1273"/>
    <cellStyle name="Normal 2 5 2 4" xfId="256"/>
    <cellStyle name="Normal 2 5 2 4 10" xfId="11010"/>
    <cellStyle name="Normal 2 5 2 4 11" xfId="4427"/>
    <cellStyle name="Normal 2 5 2 4 2" xfId="364"/>
    <cellStyle name="Normal 2 5 2 4 2 2" xfId="632"/>
    <cellStyle name="Normal 2 5 2 4 2 2 2" xfId="2362"/>
    <cellStyle name="Normal 2 5 2 4 2 2 2 2" xfId="16251"/>
    <cellStyle name="Normal 2 5 2 4 2 2 2 3" xfId="12673"/>
    <cellStyle name="Normal 2 5 2 4 2 2 2 4" xfId="7383"/>
    <cellStyle name="Normal 2 5 2 4 2 2 3" xfId="3630"/>
    <cellStyle name="Normal 2 5 2 4 2 2 3 2" xfId="17276"/>
    <cellStyle name="Normal 2 5 2 4 2 2 3 3" xfId="13697"/>
    <cellStyle name="Normal 2 5 2 4 2 2 3 4" xfId="8440"/>
    <cellStyle name="Normal 2 5 2 4 2 2 4" xfId="6499"/>
    <cellStyle name="Normal 2 5 2 4 2 2 4 2" xfId="15583"/>
    <cellStyle name="Normal 2 5 2 4 2 2 5" xfId="9894"/>
    <cellStyle name="Normal 2 5 2 4 2 2 5 2" xfId="18721"/>
    <cellStyle name="Normal 2 5 2 4 2 2 6" xfId="11338"/>
    <cellStyle name="Normal 2 5 2 4 2 2 7" xfId="4977"/>
    <cellStyle name="Normal 2 5 2 4 2 3" xfId="990"/>
    <cellStyle name="Normal 2 5 2 4 2 3 2" xfId="2710"/>
    <cellStyle name="Normal 2 5 2 4 2 3 2 2" xfId="16727"/>
    <cellStyle name="Normal 2 5 2 4 2 3 2 3" xfId="13148"/>
    <cellStyle name="Normal 2 5 2 4 2 3 2 4" xfId="7859"/>
    <cellStyle name="Normal 2 5 2 4 2 3 3" xfId="3979"/>
    <cellStyle name="Normal 2 5 2 4 2 3 3 2" xfId="17624"/>
    <cellStyle name="Normal 2 5 2 4 2 3 3 3" xfId="14045"/>
    <cellStyle name="Normal 2 5 2 4 2 3 3 4" xfId="8788"/>
    <cellStyle name="Normal 2 5 2 4 2 3 4" xfId="6266"/>
    <cellStyle name="Normal 2 5 2 4 2 3 4 2" xfId="15350"/>
    <cellStyle name="Normal 2 5 2 4 2 3 5" xfId="10242"/>
    <cellStyle name="Normal 2 5 2 4 2 3 5 2" xfId="19069"/>
    <cellStyle name="Normal 2 5 2 4 2 3 6" xfId="11688"/>
    <cellStyle name="Normal 2 5 2 4 2 3 7" xfId="5453"/>
    <cellStyle name="Normal 2 5 2 4 2 4" xfId="1579"/>
    <cellStyle name="Normal 2 5 2 4 2 4 2" xfId="3177"/>
    <cellStyle name="Normal 2 5 2 4 2 4 2 2" xfId="18091"/>
    <cellStyle name="Normal 2 5 2 4 2 4 2 3" xfId="14512"/>
    <cellStyle name="Normal 2 5 2 4 2 4 2 4" xfId="9255"/>
    <cellStyle name="Normal 2 5 2 4 2 4 3" xfId="10709"/>
    <cellStyle name="Normal 2 5 2 4 2 4 3 2" xfId="19536"/>
    <cellStyle name="Normal 2 5 2 4 2 4 4" xfId="12155"/>
    <cellStyle name="Normal 2 5 2 4 2 4 5" xfId="7150"/>
    <cellStyle name="Normal 2 5 2 4 2 5" xfId="2134"/>
    <cellStyle name="Normal 2 5 2 4 2 5 2" xfId="17048"/>
    <cellStyle name="Normal 2 5 2 4 2 5 3" xfId="13469"/>
    <cellStyle name="Normal 2 5 2 4 2 5 4" xfId="8212"/>
    <cellStyle name="Normal 2 5 2 4 2 6" xfId="5773"/>
    <cellStyle name="Normal 2 5 2 4 2 6 2" xfId="14859"/>
    <cellStyle name="Normal 2 5 2 4 2 7" xfId="9666"/>
    <cellStyle name="Normal 2 5 2 4 2 7 2" xfId="18493"/>
    <cellStyle name="Normal 2 5 2 4 2 8" xfId="11110"/>
    <cellStyle name="Normal 2 5 2 4 2 9" xfId="4744"/>
    <cellStyle name="Normal 2 5 2 4 2_Degree data" xfId="1317"/>
    <cellStyle name="Normal 2 5 2 4 3" xfId="631"/>
    <cellStyle name="Normal 2 5 2 4 3 2" xfId="2361"/>
    <cellStyle name="Normal 2 5 2 4 3 2 2" xfId="16064"/>
    <cellStyle name="Normal 2 5 2 4 3 2 3" xfId="12521"/>
    <cellStyle name="Normal 2 5 2 4 3 2 4" xfId="7050"/>
    <cellStyle name="Normal 2 5 2 4 3 3" xfId="3629"/>
    <cellStyle name="Normal 2 5 2 4 3 3 2" xfId="17275"/>
    <cellStyle name="Normal 2 5 2 4 3 3 3" xfId="13696"/>
    <cellStyle name="Normal 2 5 2 4 3 3 4" xfId="8439"/>
    <cellStyle name="Normal 2 5 2 4 3 4" xfId="6166"/>
    <cellStyle name="Normal 2 5 2 4 3 4 2" xfId="15250"/>
    <cellStyle name="Normal 2 5 2 4 3 5" xfId="9893"/>
    <cellStyle name="Normal 2 5 2 4 3 5 2" xfId="18720"/>
    <cellStyle name="Normal 2 5 2 4 3 6" xfId="11337"/>
    <cellStyle name="Normal 2 5 2 4 3 7" xfId="4644"/>
    <cellStyle name="Normal 2 5 2 4 4" xfId="989"/>
    <cellStyle name="Normal 2 5 2 4 4 2" xfId="2709"/>
    <cellStyle name="Normal 2 5 2 4 4 2 2" xfId="16250"/>
    <cellStyle name="Normal 2 5 2 4 4 2 3" xfId="12672"/>
    <cellStyle name="Normal 2 5 2 4 4 2 4" xfId="7382"/>
    <cellStyle name="Normal 2 5 2 4 4 3" xfId="3978"/>
    <cellStyle name="Normal 2 5 2 4 4 3 2" xfId="17623"/>
    <cellStyle name="Normal 2 5 2 4 4 3 3" xfId="14044"/>
    <cellStyle name="Normal 2 5 2 4 4 3 4" xfId="8787"/>
    <cellStyle name="Normal 2 5 2 4 4 4" xfId="6498"/>
    <cellStyle name="Normal 2 5 2 4 4 4 2" xfId="15582"/>
    <cellStyle name="Normal 2 5 2 4 4 5" xfId="10241"/>
    <cellStyle name="Normal 2 5 2 4 4 5 2" xfId="19068"/>
    <cellStyle name="Normal 2 5 2 4 4 6" xfId="11687"/>
    <cellStyle name="Normal 2 5 2 4 4 7" xfId="4976"/>
    <cellStyle name="Normal 2 5 2 4 5" xfId="1477"/>
    <cellStyle name="Normal 2 5 2 4 5 2" xfId="3077"/>
    <cellStyle name="Normal 2 5 2 4 5 2 2" xfId="16627"/>
    <cellStyle name="Normal 2 5 2 4 5 2 3" xfId="13048"/>
    <cellStyle name="Normal 2 5 2 4 5 2 4" xfId="7759"/>
    <cellStyle name="Normal 2 5 2 4 5 3" xfId="4286"/>
    <cellStyle name="Normal 2 5 2 4 5 3 2" xfId="17991"/>
    <cellStyle name="Normal 2 5 2 4 5 3 3" xfId="14412"/>
    <cellStyle name="Normal 2 5 2 4 5 3 4" xfId="9155"/>
    <cellStyle name="Normal 2 5 2 4 5 4" xfId="5947"/>
    <cellStyle name="Normal 2 5 2 4 5 4 2" xfId="15033"/>
    <cellStyle name="Normal 2 5 2 4 5 5" xfId="10609"/>
    <cellStyle name="Normal 2 5 2 4 5 5 2" xfId="19436"/>
    <cellStyle name="Normal 2 5 2 4 5 6" xfId="12055"/>
    <cellStyle name="Normal 2 5 2 4 5 7" xfId="5353"/>
    <cellStyle name="Normal 2 5 2 4 6" xfId="2034"/>
    <cellStyle name="Normal 2 5 2 4 6 2" xfId="15876"/>
    <cellStyle name="Normal 2 5 2 4 6 3" xfId="12498"/>
    <cellStyle name="Normal 2 5 2 4 6 4" xfId="6833"/>
    <cellStyle name="Normal 2 5 2 4 7" xfId="3448"/>
    <cellStyle name="Normal 2 5 2 4 7 2" xfId="16948"/>
    <cellStyle name="Normal 2 5 2 4 7 3" xfId="13369"/>
    <cellStyle name="Normal 2 5 2 4 7 4" xfId="8112"/>
    <cellStyle name="Normal 2 5 2 4 8" xfId="5673"/>
    <cellStyle name="Normal 2 5 2 4 8 2" xfId="14759"/>
    <cellStyle name="Normal 2 5 2 4 9" xfId="9566"/>
    <cellStyle name="Normal 2 5 2 4 9 2" xfId="18393"/>
    <cellStyle name="Normal 2 5 2 4_Degree data" xfId="1318"/>
    <cellStyle name="Normal 2 5 2 5" xfId="202"/>
    <cellStyle name="Normal 2 5 2 5 10" xfId="10959"/>
    <cellStyle name="Normal 2 5 2 5 11" xfId="4481"/>
    <cellStyle name="Normal 2 5 2 5 2" xfId="419"/>
    <cellStyle name="Normal 2 5 2 5 2 2" xfId="634"/>
    <cellStyle name="Normal 2 5 2 5 2 2 2" xfId="2364"/>
    <cellStyle name="Normal 2 5 2 5 2 2 2 2" xfId="16253"/>
    <cellStyle name="Normal 2 5 2 5 2 2 2 3" xfId="12675"/>
    <cellStyle name="Normal 2 5 2 5 2 2 2 4" xfId="7385"/>
    <cellStyle name="Normal 2 5 2 5 2 2 3" xfId="3632"/>
    <cellStyle name="Normal 2 5 2 5 2 2 3 2" xfId="17278"/>
    <cellStyle name="Normal 2 5 2 5 2 2 3 3" xfId="13699"/>
    <cellStyle name="Normal 2 5 2 5 2 2 3 4" xfId="8442"/>
    <cellStyle name="Normal 2 5 2 5 2 2 4" xfId="6501"/>
    <cellStyle name="Normal 2 5 2 5 2 2 4 2" xfId="15585"/>
    <cellStyle name="Normal 2 5 2 5 2 2 5" xfId="9896"/>
    <cellStyle name="Normal 2 5 2 5 2 2 5 2" xfId="18723"/>
    <cellStyle name="Normal 2 5 2 5 2 2 6" xfId="11340"/>
    <cellStyle name="Normal 2 5 2 5 2 2 7" xfId="4979"/>
    <cellStyle name="Normal 2 5 2 5 2 3" xfId="992"/>
    <cellStyle name="Normal 2 5 2 5 2 3 2" xfId="2712"/>
    <cellStyle name="Normal 2 5 2 5 2 3 2 2" xfId="16781"/>
    <cellStyle name="Normal 2 5 2 5 2 3 2 3" xfId="13202"/>
    <cellStyle name="Normal 2 5 2 5 2 3 2 4" xfId="7913"/>
    <cellStyle name="Normal 2 5 2 5 2 3 3" xfId="3981"/>
    <cellStyle name="Normal 2 5 2 5 2 3 3 2" xfId="17626"/>
    <cellStyle name="Normal 2 5 2 5 2 3 3 3" xfId="14047"/>
    <cellStyle name="Normal 2 5 2 5 2 3 3 4" xfId="8790"/>
    <cellStyle name="Normal 2 5 2 5 2 3 4" xfId="6320"/>
    <cellStyle name="Normal 2 5 2 5 2 3 4 2" xfId="15404"/>
    <cellStyle name="Normal 2 5 2 5 2 3 5" xfId="10244"/>
    <cellStyle name="Normal 2 5 2 5 2 3 5 2" xfId="19071"/>
    <cellStyle name="Normal 2 5 2 5 2 3 6" xfId="11690"/>
    <cellStyle name="Normal 2 5 2 5 2 3 7" xfId="5507"/>
    <cellStyle name="Normal 2 5 2 5 2 4" xfId="1635"/>
    <cellStyle name="Normal 2 5 2 5 2 4 2" xfId="3231"/>
    <cellStyle name="Normal 2 5 2 5 2 4 2 2" xfId="18145"/>
    <cellStyle name="Normal 2 5 2 5 2 4 2 3" xfId="14566"/>
    <cellStyle name="Normal 2 5 2 5 2 4 2 4" xfId="9309"/>
    <cellStyle name="Normal 2 5 2 5 2 4 3" xfId="10763"/>
    <cellStyle name="Normal 2 5 2 5 2 4 3 2" xfId="19590"/>
    <cellStyle name="Normal 2 5 2 5 2 4 4" xfId="12209"/>
    <cellStyle name="Normal 2 5 2 5 2 4 5" xfId="7204"/>
    <cellStyle name="Normal 2 5 2 5 2 5" xfId="2188"/>
    <cellStyle name="Normal 2 5 2 5 2 5 2" xfId="17102"/>
    <cellStyle name="Normal 2 5 2 5 2 5 3" xfId="13523"/>
    <cellStyle name="Normal 2 5 2 5 2 5 4" xfId="8266"/>
    <cellStyle name="Normal 2 5 2 5 2 6" xfId="5827"/>
    <cellStyle name="Normal 2 5 2 5 2 6 2" xfId="14913"/>
    <cellStyle name="Normal 2 5 2 5 2 7" xfId="9720"/>
    <cellStyle name="Normal 2 5 2 5 2 7 2" xfId="18547"/>
    <cellStyle name="Normal 2 5 2 5 2 8" xfId="11164"/>
    <cellStyle name="Normal 2 5 2 5 2 9" xfId="4798"/>
    <cellStyle name="Normal 2 5 2 5 2_Degree data" xfId="1254"/>
    <cellStyle name="Normal 2 5 2 5 3" xfId="633"/>
    <cellStyle name="Normal 2 5 2 5 3 2" xfId="2363"/>
    <cellStyle name="Normal 2 5 2 5 3 2 2" xfId="16013"/>
    <cellStyle name="Normal 2 5 2 5 3 2 3" xfId="12263"/>
    <cellStyle name="Normal 2 5 2 5 3 2 4" xfId="6999"/>
    <cellStyle name="Normal 2 5 2 5 3 3" xfId="3631"/>
    <cellStyle name="Normal 2 5 2 5 3 3 2" xfId="17277"/>
    <cellStyle name="Normal 2 5 2 5 3 3 3" xfId="13698"/>
    <cellStyle name="Normal 2 5 2 5 3 3 4" xfId="8441"/>
    <cellStyle name="Normal 2 5 2 5 3 4" xfId="6115"/>
    <cellStyle name="Normal 2 5 2 5 3 4 2" xfId="15199"/>
    <cellStyle name="Normal 2 5 2 5 3 5" xfId="9895"/>
    <cellStyle name="Normal 2 5 2 5 3 5 2" xfId="18722"/>
    <cellStyle name="Normal 2 5 2 5 3 6" xfId="11339"/>
    <cellStyle name="Normal 2 5 2 5 3 7" xfId="4593"/>
    <cellStyle name="Normal 2 5 2 5 4" xfId="991"/>
    <cellStyle name="Normal 2 5 2 5 4 2" xfId="2711"/>
    <cellStyle name="Normal 2 5 2 5 4 2 2" xfId="16252"/>
    <cellStyle name="Normal 2 5 2 5 4 2 3" xfId="12674"/>
    <cellStyle name="Normal 2 5 2 5 4 2 4" xfId="7384"/>
    <cellStyle name="Normal 2 5 2 5 4 3" xfId="3980"/>
    <cellStyle name="Normal 2 5 2 5 4 3 2" xfId="17625"/>
    <cellStyle name="Normal 2 5 2 5 4 3 3" xfId="14046"/>
    <cellStyle name="Normal 2 5 2 5 4 3 4" xfId="8789"/>
    <cellStyle name="Normal 2 5 2 5 4 4" xfId="6500"/>
    <cellStyle name="Normal 2 5 2 5 4 4 2" xfId="15584"/>
    <cellStyle name="Normal 2 5 2 5 4 5" xfId="10243"/>
    <cellStyle name="Normal 2 5 2 5 4 5 2" xfId="19070"/>
    <cellStyle name="Normal 2 5 2 5 4 6" xfId="11689"/>
    <cellStyle name="Normal 2 5 2 5 4 7" xfId="4978"/>
    <cellStyle name="Normal 2 5 2 5 5" xfId="1421"/>
    <cellStyle name="Normal 2 5 2 5 5 2" xfId="3026"/>
    <cellStyle name="Normal 2 5 2 5 5 2 2" xfId="16576"/>
    <cellStyle name="Normal 2 5 2 5 5 2 3" xfId="12997"/>
    <cellStyle name="Normal 2 5 2 5 5 2 4" xfId="7708"/>
    <cellStyle name="Normal 2 5 2 5 5 3" xfId="4235"/>
    <cellStyle name="Normal 2 5 2 5 5 3 2" xfId="17940"/>
    <cellStyle name="Normal 2 5 2 5 5 3 3" xfId="14361"/>
    <cellStyle name="Normal 2 5 2 5 5 3 4" xfId="9104"/>
    <cellStyle name="Normal 2 5 2 5 5 4" xfId="6001"/>
    <cellStyle name="Normal 2 5 2 5 5 4 2" xfId="15087"/>
    <cellStyle name="Normal 2 5 2 5 5 5" xfId="10558"/>
    <cellStyle name="Normal 2 5 2 5 5 5 2" xfId="19385"/>
    <cellStyle name="Normal 2 5 2 5 5 6" xfId="12004"/>
    <cellStyle name="Normal 2 5 2 5 5 7" xfId="5302"/>
    <cellStyle name="Normal 2 5 2 5 6" xfId="1983"/>
    <cellStyle name="Normal 2 5 2 5 6 2" xfId="15930"/>
    <cellStyle name="Normal 2 5 2 5 6 3" xfId="12305"/>
    <cellStyle name="Normal 2 5 2 5 6 4" xfId="6887"/>
    <cellStyle name="Normal 2 5 2 5 7" xfId="3398"/>
    <cellStyle name="Normal 2 5 2 5 7 2" xfId="16897"/>
    <cellStyle name="Normal 2 5 2 5 7 3" xfId="13318"/>
    <cellStyle name="Normal 2 5 2 5 7 4" xfId="8061"/>
    <cellStyle name="Normal 2 5 2 5 8" xfId="5622"/>
    <cellStyle name="Normal 2 5 2 5 8 2" xfId="14708"/>
    <cellStyle name="Normal 2 5 2 5 9" xfId="9515"/>
    <cellStyle name="Normal 2 5 2 5 9 2" xfId="18342"/>
    <cellStyle name="Normal 2 5 2 5_Degree data" xfId="1244"/>
    <cellStyle name="Normal 2 5 2 6" xfId="313"/>
    <cellStyle name="Normal 2 5 2 6 2" xfId="635"/>
    <cellStyle name="Normal 2 5 2 6 2 2" xfId="2365"/>
    <cellStyle name="Normal 2 5 2 6 2 2 2" xfId="16254"/>
    <cellStyle name="Normal 2 5 2 6 2 2 3" xfId="12676"/>
    <cellStyle name="Normal 2 5 2 6 2 2 4" xfId="7386"/>
    <cellStyle name="Normal 2 5 2 6 2 3" xfId="3633"/>
    <cellStyle name="Normal 2 5 2 6 2 3 2" xfId="17279"/>
    <cellStyle name="Normal 2 5 2 6 2 3 3" xfId="13700"/>
    <cellStyle name="Normal 2 5 2 6 2 3 4" xfId="8443"/>
    <cellStyle name="Normal 2 5 2 6 2 4" xfId="6502"/>
    <cellStyle name="Normal 2 5 2 6 2 4 2" xfId="15586"/>
    <cellStyle name="Normal 2 5 2 6 2 5" xfId="9897"/>
    <cellStyle name="Normal 2 5 2 6 2 5 2" xfId="18724"/>
    <cellStyle name="Normal 2 5 2 6 2 6" xfId="11341"/>
    <cellStyle name="Normal 2 5 2 6 2 7" xfId="4980"/>
    <cellStyle name="Normal 2 5 2 6 3" xfId="993"/>
    <cellStyle name="Normal 2 5 2 6 3 2" xfId="2713"/>
    <cellStyle name="Normal 2 5 2 6 3 2 2" xfId="16676"/>
    <cellStyle name="Normal 2 5 2 6 3 2 3" xfId="13097"/>
    <cellStyle name="Normal 2 5 2 6 3 2 4" xfId="7808"/>
    <cellStyle name="Normal 2 5 2 6 3 3" xfId="3982"/>
    <cellStyle name="Normal 2 5 2 6 3 3 2" xfId="17627"/>
    <cellStyle name="Normal 2 5 2 6 3 3 3" xfId="14048"/>
    <cellStyle name="Normal 2 5 2 6 3 3 4" xfId="8791"/>
    <cellStyle name="Normal 2 5 2 6 3 4" xfId="6215"/>
    <cellStyle name="Normal 2 5 2 6 3 4 2" xfId="15299"/>
    <cellStyle name="Normal 2 5 2 6 3 5" xfId="10245"/>
    <cellStyle name="Normal 2 5 2 6 3 5 2" xfId="19072"/>
    <cellStyle name="Normal 2 5 2 6 3 6" xfId="11691"/>
    <cellStyle name="Normal 2 5 2 6 3 7" xfId="5402"/>
    <cellStyle name="Normal 2 5 2 6 4" xfId="1527"/>
    <cellStyle name="Normal 2 5 2 6 4 2" xfId="3126"/>
    <cellStyle name="Normal 2 5 2 6 4 2 2" xfId="18040"/>
    <cellStyle name="Normal 2 5 2 6 4 2 3" xfId="14461"/>
    <cellStyle name="Normal 2 5 2 6 4 2 4" xfId="9204"/>
    <cellStyle name="Normal 2 5 2 6 4 3" xfId="10658"/>
    <cellStyle name="Normal 2 5 2 6 4 3 2" xfId="19485"/>
    <cellStyle name="Normal 2 5 2 6 4 4" xfId="12104"/>
    <cellStyle name="Normal 2 5 2 6 4 5" xfId="7099"/>
    <cellStyle name="Normal 2 5 2 6 5" xfId="2083"/>
    <cellStyle name="Normal 2 5 2 6 5 2" xfId="16997"/>
    <cellStyle name="Normal 2 5 2 6 5 3" xfId="13418"/>
    <cellStyle name="Normal 2 5 2 6 5 4" xfId="8161"/>
    <cellStyle name="Normal 2 5 2 6 6" xfId="5722"/>
    <cellStyle name="Normal 2 5 2 6 6 2" xfId="14808"/>
    <cellStyle name="Normal 2 5 2 6 7" xfId="9615"/>
    <cellStyle name="Normal 2 5 2 6 7 2" xfId="18442"/>
    <cellStyle name="Normal 2 5 2 6 8" xfId="11059"/>
    <cellStyle name="Normal 2 5 2 6 9" xfId="4693"/>
    <cellStyle name="Normal 2 5 2 6_Degree data" xfId="1253"/>
    <cellStyle name="Normal 2 5 2 7" xfId="485"/>
    <cellStyle name="Normal 2 5 2 7 2" xfId="636"/>
    <cellStyle name="Normal 2 5 2 7 2 2" xfId="2366"/>
    <cellStyle name="Normal 2 5 2 7 2 2 2" xfId="16255"/>
    <cellStyle name="Normal 2 5 2 7 2 2 3" xfId="12677"/>
    <cellStyle name="Normal 2 5 2 7 2 2 4" xfId="7387"/>
    <cellStyle name="Normal 2 5 2 7 2 3" xfId="3634"/>
    <cellStyle name="Normal 2 5 2 7 2 3 2" xfId="17280"/>
    <cellStyle name="Normal 2 5 2 7 2 3 3" xfId="13701"/>
    <cellStyle name="Normal 2 5 2 7 2 3 4" xfId="8444"/>
    <cellStyle name="Normal 2 5 2 7 2 4" xfId="6503"/>
    <cellStyle name="Normal 2 5 2 7 2 4 2" xfId="15587"/>
    <cellStyle name="Normal 2 5 2 7 2 5" xfId="9898"/>
    <cellStyle name="Normal 2 5 2 7 2 5 2" xfId="18725"/>
    <cellStyle name="Normal 2 5 2 7 2 6" xfId="11342"/>
    <cellStyle name="Normal 2 5 2 7 2 7" xfId="4981"/>
    <cellStyle name="Normal 2 5 2 7 3" xfId="994"/>
    <cellStyle name="Normal 2 5 2 7 3 2" xfId="2714"/>
    <cellStyle name="Normal 2 5 2 7 3 2 2" xfId="16524"/>
    <cellStyle name="Normal 2 5 2 7 3 2 3" xfId="12946"/>
    <cellStyle name="Normal 2 5 2 7 3 2 4" xfId="7656"/>
    <cellStyle name="Normal 2 5 2 7 3 3" xfId="3983"/>
    <cellStyle name="Normal 2 5 2 7 3 3 2" xfId="17628"/>
    <cellStyle name="Normal 2 5 2 7 3 3 3" xfId="14049"/>
    <cellStyle name="Normal 2 5 2 7 3 3 4" xfId="8792"/>
    <cellStyle name="Normal 2 5 2 7 3 4" xfId="5919"/>
    <cellStyle name="Normal 2 5 2 7 3 4 2" xfId="15005"/>
    <cellStyle name="Normal 2 5 2 7 3 5" xfId="10246"/>
    <cellStyle name="Normal 2 5 2 7 3 5 2" xfId="19073"/>
    <cellStyle name="Normal 2 5 2 7 3 6" xfId="11692"/>
    <cellStyle name="Normal 2 5 2 7 3 7" xfId="5250"/>
    <cellStyle name="Normal 2 5 2 7 4" xfId="1361"/>
    <cellStyle name="Normal 2 5 2 7 4 2" xfId="2974"/>
    <cellStyle name="Normal 2 5 2 7 4 2 2" xfId="17888"/>
    <cellStyle name="Normal 2 5 2 7 4 2 3" xfId="14309"/>
    <cellStyle name="Normal 2 5 2 7 4 2 4" xfId="9052"/>
    <cellStyle name="Normal 2 5 2 7 4 3" xfId="10506"/>
    <cellStyle name="Normal 2 5 2 7 4 3 2" xfId="19333"/>
    <cellStyle name="Normal 2 5 2 7 4 4" xfId="11952"/>
    <cellStyle name="Normal 2 5 2 7 4 5" xfId="6947"/>
    <cellStyle name="Normal 2 5 2 7 5" xfId="1931"/>
    <cellStyle name="Normal 2 5 2 7 5 2" xfId="16843"/>
    <cellStyle name="Normal 2 5 2 7 5 3" xfId="13264"/>
    <cellStyle name="Normal 2 5 2 7 5 4" xfId="8007"/>
    <cellStyle name="Normal 2 5 2 7 6" xfId="6063"/>
    <cellStyle name="Normal 2 5 2 7 6 2" xfId="15147"/>
    <cellStyle name="Normal 2 5 2 7 7" xfId="9463"/>
    <cellStyle name="Normal 2 5 2 7 7 2" xfId="18290"/>
    <cellStyle name="Normal 2 5 2 7 8" xfId="10907"/>
    <cellStyle name="Normal 2 5 2 7 9" xfId="4541"/>
    <cellStyle name="Normal 2 5 2 7_Degree data" xfId="1493"/>
    <cellStyle name="Normal 2 5 2 8" xfId="617"/>
    <cellStyle name="Normal 2 5 2 8 2" xfId="2347"/>
    <cellStyle name="Normal 2 5 2 8 2 2" xfId="16236"/>
    <cellStyle name="Normal 2 5 2 8 2 3" xfId="12658"/>
    <cellStyle name="Normal 2 5 2 8 2 4" xfId="7368"/>
    <cellStyle name="Normal 2 5 2 8 3" xfId="3615"/>
    <cellStyle name="Normal 2 5 2 8 3 2" xfId="17261"/>
    <cellStyle name="Normal 2 5 2 8 3 3" xfId="13682"/>
    <cellStyle name="Normal 2 5 2 8 3 4" xfId="8425"/>
    <cellStyle name="Normal 2 5 2 8 4" xfId="6484"/>
    <cellStyle name="Normal 2 5 2 8 4 2" xfId="15568"/>
    <cellStyle name="Normal 2 5 2 8 5" xfId="9879"/>
    <cellStyle name="Normal 2 5 2 8 5 2" xfId="18706"/>
    <cellStyle name="Normal 2 5 2 8 6" xfId="11323"/>
    <cellStyle name="Normal 2 5 2 8 7" xfId="4962"/>
    <cellStyle name="Normal 2 5 2 9" xfId="975"/>
    <cellStyle name="Normal 2 5 2 9 2" xfId="2695"/>
    <cellStyle name="Normal 2 5 2 9 2 2" xfId="16492"/>
    <cellStyle name="Normal 2 5 2 9 2 3" xfId="12914"/>
    <cellStyle name="Normal 2 5 2 9 2 4" xfId="7624"/>
    <cellStyle name="Normal 2 5 2 9 3" xfId="3964"/>
    <cellStyle name="Normal 2 5 2 9 3 2" xfId="17609"/>
    <cellStyle name="Normal 2 5 2 9 3 3" xfId="14030"/>
    <cellStyle name="Normal 2 5 2 9 3 4" xfId="8773"/>
    <cellStyle name="Normal 2 5 2 9 4" xfId="5895"/>
    <cellStyle name="Normal 2 5 2 9 4 2" xfId="14981"/>
    <cellStyle name="Normal 2 5 2 9 5" xfId="10227"/>
    <cellStyle name="Normal 2 5 2 9 5 2" xfId="19054"/>
    <cellStyle name="Normal 2 5 2 9 6" xfId="11673"/>
    <cellStyle name="Normal 2 5 2 9 7" xfId="5218"/>
    <cellStyle name="Normal 2 5 2_Degree data" xfId="1431"/>
    <cellStyle name="Normal 2 5 3" xfId="104"/>
    <cellStyle name="Normal 2 5 3 10" xfId="1903"/>
    <cellStyle name="Normal 2 5 3 10 2" xfId="9435"/>
    <cellStyle name="Normal 2 5 3 10 2 2" xfId="18262"/>
    <cellStyle name="Normal 2 5 3 10 3" xfId="10879"/>
    <cellStyle name="Normal 2 5 3 10 4" xfId="7979"/>
    <cellStyle name="Normal 2 5 3 11" xfId="1870"/>
    <cellStyle name="Normal 2 5 3 11 2" xfId="14671"/>
    <cellStyle name="Normal 2 5 3 11 3" xfId="5585"/>
    <cellStyle name="Normal 2 5 3 12" xfId="9405"/>
    <cellStyle name="Normal 2 5 3 12 2" xfId="18232"/>
    <cellStyle name="Normal 2 5 3 13" xfId="10846"/>
    <cellStyle name="Normal 2 5 3 14" xfId="4368"/>
    <cellStyle name="Normal 2 5 3 2" xfId="226"/>
    <cellStyle name="Normal 2 5 3 2 10" xfId="9537"/>
    <cellStyle name="Normal 2 5 3 2 10 2" xfId="18364"/>
    <cellStyle name="Normal 2 5 3 2 11" xfId="10981"/>
    <cellStyle name="Normal 2 5 3 2 12" xfId="4398"/>
    <cellStyle name="Normal 2 5 3 2 2" xfId="440"/>
    <cellStyle name="Normal 2 5 3 2 2 10" xfId="4502"/>
    <cellStyle name="Normal 2 5 3 2 2 2" xfId="639"/>
    <cellStyle name="Normal 2 5 3 2 2 2 2" xfId="2369"/>
    <cellStyle name="Normal 2 5 3 2 2 2 2 2" xfId="16102"/>
    <cellStyle name="Normal 2 5 3 2 2 2 2 3" xfId="12524"/>
    <cellStyle name="Normal 2 5 3 2 2 2 2 4" xfId="7225"/>
    <cellStyle name="Normal 2 5 3 2 2 2 3" xfId="3637"/>
    <cellStyle name="Normal 2 5 3 2 2 2 3 2" xfId="17283"/>
    <cellStyle name="Normal 2 5 3 2 2 2 3 3" xfId="13704"/>
    <cellStyle name="Normal 2 5 3 2 2 2 3 4" xfId="8447"/>
    <cellStyle name="Normal 2 5 3 2 2 2 4" xfId="6341"/>
    <cellStyle name="Normal 2 5 3 2 2 2 4 2" xfId="15425"/>
    <cellStyle name="Normal 2 5 3 2 2 2 5" xfId="9901"/>
    <cellStyle name="Normal 2 5 3 2 2 2 5 2" xfId="18728"/>
    <cellStyle name="Normal 2 5 3 2 2 2 6" xfId="11345"/>
    <cellStyle name="Normal 2 5 3 2 2 2 7" xfId="4819"/>
    <cellStyle name="Normal 2 5 3 2 2 3" xfId="997"/>
    <cellStyle name="Normal 2 5 3 2 2 3 2" xfId="2717"/>
    <cellStyle name="Normal 2 5 3 2 2 3 2 2" xfId="16258"/>
    <cellStyle name="Normal 2 5 3 2 2 3 2 3" xfId="12680"/>
    <cellStyle name="Normal 2 5 3 2 2 3 2 4" xfId="7390"/>
    <cellStyle name="Normal 2 5 3 2 2 3 3" xfId="3986"/>
    <cellStyle name="Normal 2 5 3 2 2 3 3 2" xfId="17631"/>
    <cellStyle name="Normal 2 5 3 2 2 3 3 3" xfId="14052"/>
    <cellStyle name="Normal 2 5 3 2 2 3 3 4" xfId="8795"/>
    <cellStyle name="Normal 2 5 3 2 2 3 4" xfId="6506"/>
    <cellStyle name="Normal 2 5 3 2 2 3 4 2" xfId="15590"/>
    <cellStyle name="Normal 2 5 3 2 2 3 5" xfId="10249"/>
    <cellStyle name="Normal 2 5 3 2 2 3 5 2" xfId="19076"/>
    <cellStyle name="Normal 2 5 3 2 2 3 6" xfId="11695"/>
    <cellStyle name="Normal 2 5 3 2 2 3 7" xfId="4984"/>
    <cellStyle name="Normal 2 5 3 2 2 4" xfId="1656"/>
    <cellStyle name="Normal 2 5 3 2 2 4 2" xfId="3252"/>
    <cellStyle name="Normal 2 5 3 2 2 4 2 2" xfId="16802"/>
    <cellStyle name="Normal 2 5 3 2 2 4 2 3" xfId="13223"/>
    <cellStyle name="Normal 2 5 3 2 2 4 2 4" xfId="7934"/>
    <cellStyle name="Normal 2 5 3 2 2 4 3" xfId="4324"/>
    <cellStyle name="Normal 2 5 3 2 2 4 3 2" xfId="18166"/>
    <cellStyle name="Normal 2 5 3 2 2 4 3 3" xfId="14587"/>
    <cellStyle name="Normal 2 5 3 2 2 4 3 4" xfId="9330"/>
    <cellStyle name="Normal 2 5 3 2 2 4 4" xfId="6022"/>
    <cellStyle name="Normal 2 5 3 2 2 4 4 2" xfId="15108"/>
    <cellStyle name="Normal 2 5 3 2 2 4 5" xfId="10784"/>
    <cellStyle name="Normal 2 5 3 2 2 4 5 2" xfId="19611"/>
    <cellStyle name="Normal 2 5 3 2 2 4 6" xfId="12230"/>
    <cellStyle name="Normal 2 5 3 2 2 4 7" xfId="5528"/>
    <cellStyle name="Normal 2 5 3 2 2 5" xfId="2209"/>
    <cellStyle name="Normal 2 5 3 2 2 5 2" xfId="15951"/>
    <cellStyle name="Normal 2 5 3 2 2 5 3" xfId="12268"/>
    <cellStyle name="Normal 2 5 3 2 2 5 4" xfId="6908"/>
    <cellStyle name="Normal 2 5 3 2 2 6" xfId="3486"/>
    <cellStyle name="Normal 2 5 3 2 2 6 2" xfId="17123"/>
    <cellStyle name="Normal 2 5 3 2 2 6 3" xfId="13544"/>
    <cellStyle name="Normal 2 5 3 2 2 6 4" xfId="8287"/>
    <cellStyle name="Normal 2 5 3 2 2 7" xfId="5848"/>
    <cellStyle name="Normal 2 5 3 2 2 7 2" xfId="14934"/>
    <cellStyle name="Normal 2 5 3 2 2 8" xfId="9741"/>
    <cellStyle name="Normal 2 5 3 2 2 8 2" xfId="18568"/>
    <cellStyle name="Normal 2 5 3 2 2 9" xfId="11185"/>
    <cellStyle name="Normal 2 5 3 2 2_Degree data" xfId="1312"/>
    <cellStyle name="Normal 2 5 3 2 3" xfId="335"/>
    <cellStyle name="Normal 2 5 3 2 3 2" xfId="640"/>
    <cellStyle name="Normal 2 5 3 2 3 2 2" xfId="2370"/>
    <cellStyle name="Normal 2 5 3 2 3 2 2 2" xfId="16259"/>
    <cellStyle name="Normal 2 5 3 2 3 2 2 3" xfId="12681"/>
    <cellStyle name="Normal 2 5 3 2 3 2 2 4" xfId="7391"/>
    <cellStyle name="Normal 2 5 3 2 3 2 3" xfId="3638"/>
    <cellStyle name="Normal 2 5 3 2 3 2 3 2" xfId="17284"/>
    <cellStyle name="Normal 2 5 3 2 3 2 3 3" xfId="13705"/>
    <cellStyle name="Normal 2 5 3 2 3 2 3 4" xfId="8448"/>
    <cellStyle name="Normal 2 5 3 2 3 2 4" xfId="6507"/>
    <cellStyle name="Normal 2 5 3 2 3 2 4 2" xfId="15591"/>
    <cellStyle name="Normal 2 5 3 2 3 2 5" xfId="9902"/>
    <cellStyle name="Normal 2 5 3 2 3 2 5 2" xfId="18729"/>
    <cellStyle name="Normal 2 5 3 2 3 2 6" xfId="11346"/>
    <cellStyle name="Normal 2 5 3 2 3 2 7" xfId="4985"/>
    <cellStyle name="Normal 2 5 3 2 3 3" xfId="998"/>
    <cellStyle name="Normal 2 5 3 2 3 3 2" xfId="2718"/>
    <cellStyle name="Normal 2 5 3 2 3 3 2 2" xfId="16698"/>
    <cellStyle name="Normal 2 5 3 2 3 3 2 3" xfId="13119"/>
    <cellStyle name="Normal 2 5 3 2 3 3 2 4" xfId="7830"/>
    <cellStyle name="Normal 2 5 3 2 3 3 3" xfId="3987"/>
    <cellStyle name="Normal 2 5 3 2 3 3 3 2" xfId="17632"/>
    <cellStyle name="Normal 2 5 3 2 3 3 3 3" xfId="14053"/>
    <cellStyle name="Normal 2 5 3 2 3 3 3 4" xfId="8796"/>
    <cellStyle name="Normal 2 5 3 2 3 3 4" xfId="6237"/>
    <cellStyle name="Normal 2 5 3 2 3 3 4 2" xfId="15321"/>
    <cellStyle name="Normal 2 5 3 2 3 3 5" xfId="10250"/>
    <cellStyle name="Normal 2 5 3 2 3 3 5 2" xfId="19077"/>
    <cellStyle name="Normal 2 5 3 2 3 3 6" xfId="11696"/>
    <cellStyle name="Normal 2 5 3 2 3 3 7" xfId="5424"/>
    <cellStyle name="Normal 2 5 3 2 3 4" xfId="1549"/>
    <cellStyle name="Normal 2 5 3 2 3 4 2" xfId="3148"/>
    <cellStyle name="Normal 2 5 3 2 3 4 2 2" xfId="18062"/>
    <cellStyle name="Normal 2 5 3 2 3 4 2 3" xfId="14483"/>
    <cellStyle name="Normal 2 5 3 2 3 4 2 4" xfId="9226"/>
    <cellStyle name="Normal 2 5 3 2 3 4 3" xfId="10680"/>
    <cellStyle name="Normal 2 5 3 2 3 4 3 2" xfId="19507"/>
    <cellStyle name="Normal 2 5 3 2 3 4 4" xfId="12126"/>
    <cellStyle name="Normal 2 5 3 2 3 4 5" xfId="7121"/>
    <cellStyle name="Normal 2 5 3 2 3 5" xfId="2105"/>
    <cellStyle name="Normal 2 5 3 2 3 5 2" xfId="17019"/>
    <cellStyle name="Normal 2 5 3 2 3 5 3" xfId="13440"/>
    <cellStyle name="Normal 2 5 3 2 3 5 4" xfId="8183"/>
    <cellStyle name="Normal 2 5 3 2 3 6" xfId="5744"/>
    <cellStyle name="Normal 2 5 3 2 3 6 2" xfId="14830"/>
    <cellStyle name="Normal 2 5 3 2 3 7" xfId="9637"/>
    <cellStyle name="Normal 2 5 3 2 3 7 2" xfId="18464"/>
    <cellStyle name="Normal 2 5 3 2 3 8" xfId="11081"/>
    <cellStyle name="Normal 2 5 3 2 3 9" xfId="4715"/>
    <cellStyle name="Normal 2 5 3 2 3_Degree data" xfId="1252"/>
    <cellStyle name="Normal 2 5 3 2 4" xfId="638"/>
    <cellStyle name="Normal 2 5 3 2 4 2" xfId="2368"/>
    <cellStyle name="Normal 2 5 3 2 4 2 2" xfId="16035"/>
    <cellStyle name="Normal 2 5 3 2 4 2 3" xfId="12401"/>
    <cellStyle name="Normal 2 5 3 2 4 2 4" xfId="7021"/>
    <cellStyle name="Normal 2 5 3 2 4 3" xfId="3636"/>
    <cellStyle name="Normal 2 5 3 2 4 3 2" xfId="17282"/>
    <cellStyle name="Normal 2 5 3 2 4 3 3" xfId="13703"/>
    <cellStyle name="Normal 2 5 3 2 4 3 4" xfId="8446"/>
    <cellStyle name="Normal 2 5 3 2 4 4" xfId="6137"/>
    <cellStyle name="Normal 2 5 3 2 4 4 2" xfId="15221"/>
    <cellStyle name="Normal 2 5 3 2 4 5" xfId="9900"/>
    <cellStyle name="Normal 2 5 3 2 4 5 2" xfId="18727"/>
    <cellStyle name="Normal 2 5 3 2 4 6" xfId="11344"/>
    <cellStyle name="Normal 2 5 3 2 4 7" xfId="4615"/>
    <cellStyle name="Normal 2 5 3 2 5" xfId="996"/>
    <cellStyle name="Normal 2 5 3 2 5 2" xfId="2716"/>
    <cellStyle name="Normal 2 5 3 2 5 2 2" xfId="16257"/>
    <cellStyle name="Normal 2 5 3 2 5 2 3" xfId="12679"/>
    <cellStyle name="Normal 2 5 3 2 5 2 4" xfId="7389"/>
    <cellStyle name="Normal 2 5 3 2 5 3" xfId="3985"/>
    <cellStyle name="Normal 2 5 3 2 5 3 2" xfId="17630"/>
    <cellStyle name="Normal 2 5 3 2 5 3 3" xfId="14051"/>
    <cellStyle name="Normal 2 5 3 2 5 3 4" xfId="8794"/>
    <cellStyle name="Normal 2 5 3 2 5 4" xfId="6505"/>
    <cellStyle name="Normal 2 5 3 2 5 4 2" xfId="15589"/>
    <cellStyle name="Normal 2 5 3 2 5 5" xfId="10248"/>
    <cellStyle name="Normal 2 5 3 2 5 5 2" xfId="19075"/>
    <cellStyle name="Normal 2 5 3 2 5 6" xfId="11694"/>
    <cellStyle name="Normal 2 5 3 2 5 7" xfId="4983"/>
    <cellStyle name="Normal 2 5 3 2 6" xfId="1446"/>
    <cellStyle name="Normal 2 5 3 2 6 2" xfId="3048"/>
    <cellStyle name="Normal 2 5 3 2 6 2 2" xfId="16598"/>
    <cellStyle name="Normal 2 5 3 2 6 2 3" xfId="13019"/>
    <cellStyle name="Normal 2 5 3 2 6 2 4" xfId="7730"/>
    <cellStyle name="Normal 2 5 3 2 6 3" xfId="4257"/>
    <cellStyle name="Normal 2 5 3 2 6 3 2" xfId="17962"/>
    <cellStyle name="Normal 2 5 3 2 6 3 3" xfId="14383"/>
    <cellStyle name="Normal 2 5 3 2 6 3 4" xfId="9126"/>
    <cellStyle name="Normal 2 5 3 2 6 4" xfId="5917"/>
    <cellStyle name="Normal 2 5 3 2 6 4 2" xfId="15003"/>
    <cellStyle name="Normal 2 5 3 2 6 5" xfId="10580"/>
    <cellStyle name="Normal 2 5 3 2 6 5 2" xfId="19407"/>
    <cellStyle name="Normal 2 5 3 2 6 6" xfId="12026"/>
    <cellStyle name="Normal 2 5 3 2 6 7" xfId="5324"/>
    <cellStyle name="Normal 2 5 3 2 7" xfId="2005"/>
    <cellStyle name="Normal 2 5 3 2 7 2" xfId="15852"/>
    <cellStyle name="Normal 2 5 3 2 7 3" xfId="12442"/>
    <cellStyle name="Normal 2 5 3 2 7 4" xfId="6804"/>
    <cellStyle name="Normal 2 5 3 2 8" xfId="3419"/>
    <cellStyle name="Normal 2 5 3 2 8 2" xfId="16919"/>
    <cellStyle name="Normal 2 5 3 2 8 3" xfId="13340"/>
    <cellStyle name="Normal 2 5 3 2 8 4" xfId="8083"/>
    <cellStyle name="Normal 2 5 3 2 9" xfId="5644"/>
    <cellStyle name="Normal 2 5 3 2 9 2" xfId="14730"/>
    <cellStyle name="Normal 2 5 3 2_Degree data" xfId="1380"/>
    <cellStyle name="Normal 2 5 3 3" xfId="270"/>
    <cellStyle name="Normal 2 5 3 3 10" xfId="11024"/>
    <cellStyle name="Normal 2 5 3 3 11" xfId="4441"/>
    <cellStyle name="Normal 2 5 3 3 2" xfId="378"/>
    <cellStyle name="Normal 2 5 3 3 2 2" xfId="642"/>
    <cellStyle name="Normal 2 5 3 3 2 2 2" xfId="2372"/>
    <cellStyle name="Normal 2 5 3 3 2 2 2 2" xfId="16261"/>
    <cellStyle name="Normal 2 5 3 3 2 2 2 3" xfId="12683"/>
    <cellStyle name="Normal 2 5 3 3 2 2 2 4" xfId="7393"/>
    <cellStyle name="Normal 2 5 3 3 2 2 3" xfId="3640"/>
    <cellStyle name="Normal 2 5 3 3 2 2 3 2" xfId="17286"/>
    <cellStyle name="Normal 2 5 3 3 2 2 3 3" xfId="13707"/>
    <cellStyle name="Normal 2 5 3 3 2 2 3 4" xfId="8450"/>
    <cellStyle name="Normal 2 5 3 3 2 2 4" xfId="6509"/>
    <cellStyle name="Normal 2 5 3 3 2 2 4 2" xfId="15593"/>
    <cellStyle name="Normal 2 5 3 3 2 2 5" xfId="9904"/>
    <cellStyle name="Normal 2 5 3 3 2 2 5 2" xfId="18731"/>
    <cellStyle name="Normal 2 5 3 3 2 2 6" xfId="11348"/>
    <cellStyle name="Normal 2 5 3 3 2 2 7" xfId="4987"/>
    <cellStyle name="Normal 2 5 3 3 2 3" xfId="1000"/>
    <cellStyle name="Normal 2 5 3 3 2 3 2" xfId="2720"/>
    <cellStyle name="Normal 2 5 3 3 2 3 2 2" xfId="16741"/>
    <cellStyle name="Normal 2 5 3 3 2 3 2 3" xfId="13162"/>
    <cellStyle name="Normal 2 5 3 3 2 3 2 4" xfId="7873"/>
    <cellStyle name="Normal 2 5 3 3 2 3 3" xfId="3989"/>
    <cellStyle name="Normal 2 5 3 3 2 3 3 2" xfId="17634"/>
    <cellStyle name="Normal 2 5 3 3 2 3 3 3" xfId="14055"/>
    <cellStyle name="Normal 2 5 3 3 2 3 3 4" xfId="8798"/>
    <cellStyle name="Normal 2 5 3 3 2 3 4" xfId="6280"/>
    <cellStyle name="Normal 2 5 3 3 2 3 4 2" xfId="15364"/>
    <cellStyle name="Normal 2 5 3 3 2 3 5" xfId="10252"/>
    <cellStyle name="Normal 2 5 3 3 2 3 5 2" xfId="19079"/>
    <cellStyle name="Normal 2 5 3 3 2 3 6" xfId="11698"/>
    <cellStyle name="Normal 2 5 3 3 2 3 7" xfId="5467"/>
    <cellStyle name="Normal 2 5 3 3 2 4" xfId="1593"/>
    <cellStyle name="Normal 2 5 3 3 2 4 2" xfId="3191"/>
    <cellStyle name="Normal 2 5 3 3 2 4 2 2" xfId="18105"/>
    <cellStyle name="Normal 2 5 3 3 2 4 2 3" xfId="14526"/>
    <cellStyle name="Normal 2 5 3 3 2 4 2 4" xfId="9269"/>
    <cellStyle name="Normal 2 5 3 3 2 4 3" xfId="10723"/>
    <cellStyle name="Normal 2 5 3 3 2 4 3 2" xfId="19550"/>
    <cellStyle name="Normal 2 5 3 3 2 4 4" xfId="12169"/>
    <cellStyle name="Normal 2 5 3 3 2 4 5" xfId="7164"/>
    <cellStyle name="Normal 2 5 3 3 2 5" xfId="2148"/>
    <cellStyle name="Normal 2 5 3 3 2 5 2" xfId="17062"/>
    <cellStyle name="Normal 2 5 3 3 2 5 3" xfId="13483"/>
    <cellStyle name="Normal 2 5 3 3 2 5 4" xfId="8226"/>
    <cellStyle name="Normal 2 5 3 3 2 6" xfId="5787"/>
    <cellStyle name="Normal 2 5 3 3 2 6 2" xfId="14873"/>
    <cellStyle name="Normal 2 5 3 3 2 7" xfId="9680"/>
    <cellStyle name="Normal 2 5 3 3 2 7 2" xfId="18507"/>
    <cellStyle name="Normal 2 5 3 3 2 8" xfId="11124"/>
    <cellStyle name="Normal 2 5 3 3 2 9" xfId="4758"/>
    <cellStyle name="Normal 2 5 3 3 2_Degree data" xfId="1242"/>
    <cellStyle name="Normal 2 5 3 3 3" xfId="641"/>
    <cellStyle name="Normal 2 5 3 3 3 2" xfId="2371"/>
    <cellStyle name="Normal 2 5 3 3 3 2 2" xfId="16078"/>
    <cellStyle name="Normal 2 5 3 3 3 2 3" xfId="12328"/>
    <cellStyle name="Normal 2 5 3 3 3 2 4" xfId="7064"/>
    <cellStyle name="Normal 2 5 3 3 3 3" xfId="3639"/>
    <cellStyle name="Normal 2 5 3 3 3 3 2" xfId="17285"/>
    <cellStyle name="Normal 2 5 3 3 3 3 3" xfId="13706"/>
    <cellStyle name="Normal 2 5 3 3 3 3 4" xfId="8449"/>
    <cellStyle name="Normal 2 5 3 3 3 4" xfId="6180"/>
    <cellStyle name="Normal 2 5 3 3 3 4 2" xfId="15264"/>
    <cellStyle name="Normal 2 5 3 3 3 5" xfId="9903"/>
    <cellStyle name="Normal 2 5 3 3 3 5 2" xfId="18730"/>
    <cellStyle name="Normal 2 5 3 3 3 6" xfId="11347"/>
    <cellStyle name="Normal 2 5 3 3 3 7" xfId="4658"/>
    <cellStyle name="Normal 2 5 3 3 4" xfId="999"/>
    <cellStyle name="Normal 2 5 3 3 4 2" xfId="2719"/>
    <cellStyle name="Normal 2 5 3 3 4 2 2" xfId="16260"/>
    <cellStyle name="Normal 2 5 3 3 4 2 3" xfId="12682"/>
    <cellStyle name="Normal 2 5 3 3 4 2 4" xfId="7392"/>
    <cellStyle name="Normal 2 5 3 3 4 3" xfId="3988"/>
    <cellStyle name="Normal 2 5 3 3 4 3 2" xfId="17633"/>
    <cellStyle name="Normal 2 5 3 3 4 3 3" xfId="14054"/>
    <cellStyle name="Normal 2 5 3 3 4 3 4" xfId="8797"/>
    <cellStyle name="Normal 2 5 3 3 4 4" xfId="6508"/>
    <cellStyle name="Normal 2 5 3 3 4 4 2" xfId="15592"/>
    <cellStyle name="Normal 2 5 3 3 4 5" xfId="10251"/>
    <cellStyle name="Normal 2 5 3 3 4 5 2" xfId="19078"/>
    <cellStyle name="Normal 2 5 3 3 4 6" xfId="11697"/>
    <cellStyle name="Normal 2 5 3 3 4 7" xfId="4986"/>
    <cellStyle name="Normal 2 5 3 3 5" xfId="1491"/>
    <cellStyle name="Normal 2 5 3 3 5 2" xfId="3091"/>
    <cellStyle name="Normal 2 5 3 3 5 2 2" xfId="16641"/>
    <cellStyle name="Normal 2 5 3 3 5 2 3" xfId="13062"/>
    <cellStyle name="Normal 2 5 3 3 5 2 4" xfId="7773"/>
    <cellStyle name="Normal 2 5 3 3 5 3" xfId="4300"/>
    <cellStyle name="Normal 2 5 3 3 5 3 2" xfId="18005"/>
    <cellStyle name="Normal 2 5 3 3 5 3 3" xfId="14426"/>
    <cellStyle name="Normal 2 5 3 3 5 3 4" xfId="9169"/>
    <cellStyle name="Normal 2 5 3 3 5 4" xfId="5961"/>
    <cellStyle name="Normal 2 5 3 3 5 4 2" xfId="15047"/>
    <cellStyle name="Normal 2 5 3 3 5 5" xfId="10623"/>
    <cellStyle name="Normal 2 5 3 3 5 5 2" xfId="19450"/>
    <cellStyle name="Normal 2 5 3 3 5 6" xfId="12069"/>
    <cellStyle name="Normal 2 5 3 3 5 7" xfId="5367"/>
    <cellStyle name="Normal 2 5 3 3 6" xfId="2048"/>
    <cellStyle name="Normal 2 5 3 3 6 2" xfId="15890"/>
    <cellStyle name="Normal 2 5 3 3 6 3" xfId="12453"/>
    <cellStyle name="Normal 2 5 3 3 6 4" xfId="6847"/>
    <cellStyle name="Normal 2 5 3 3 7" xfId="3462"/>
    <cellStyle name="Normal 2 5 3 3 7 2" xfId="16962"/>
    <cellStyle name="Normal 2 5 3 3 7 3" xfId="13383"/>
    <cellStyle name="Normal 2 5 3 3 7 4" xfId="8126"/>
    <cellStyle name="Normal 2 5 3 3 8" xfId="5687"/>
    <cellStyle name="Normal 2 5 3 3 8 2" xfId="14773"/>
    <cellStyle name="Normal 2 5 3 3 9" xfId="9580"/>
    <cellStyle name="Normal 2 5 3 3 9 2" xfId="18407"/>
    <cellStyle name="Normal 2 5 3 3_Degree data" xfId="1243"/>
    <cellStyle name="Normal 2 5 3 4" xfId="194"/>
    <cellStyle name="Normal 2 5 3 4 10" xfId="10951"/>
    <cellStyle name="Normal 2 5 3 4 11" xfId="4473"/>
    <cellStyle name="Normal 2 5 3 4 2" xfId="411"/>
    <cellStyle name="Normal 2 5 3 4 2 2" xfId="644"/>
    <cellStyle name="Normal 2 5 3 4 2 2 2" xfId="2374"/>
    <cellStyle name="Normal 2 5 3 4 2 2 2 2" xfId="16263"/>
    <cellStyle name="Normal 2 5 3 4 2 2 2 3" xfId="12685"/>
    <cellStyle name="Normal 2 5 3 4 2 2 2 4" xfId="7395"/>
    <cellStyle name="Normal 2 5 3 4 2 2 3" xfId="3642"/>
    <cellStyle name="Normal 2 5 3 4 2 2 3 2" xfId="17288"/>
    <cellStyle name="Normal 2 5 3 4 2 2 3 3" xfId="13709"/>
    <cellStyle name="Normal 2 5 3 4 2 2 3 4" xfId="8452"/>
    <cellStyle name="Normal 2 5 3 4 2 2 4" xfId="6511"/>
    <cellStyle name="Normal 2 5 3 4 2 2 4 2" xfId="15595"/>
    <cellStyle name="Normal 2 5 3 4 2 2 5" xfId="9906"/>
    <cellStyle name="Normal 2 5 3 4 2 2 5 2" xfId="18733"/>
    <cellStyle name="Normal 2 5 3 4 2 2 6" xfId="11350"/>
    <cellStyle name="Normal 2 5 3 4 2 2 7" xfId="4989"/>
    <cellStyle name="Normal 2 5 3 4 2 3" xfId="1002"/>
    <cellStyle name="Normal 2 5 3 4 2 3 2" xfId="2722"/>
    <cellStyle name="Normal 2 5 3 4 2 3 2 2" xfId="16773"/>
    <cellStyle name="Normal 2 5 3 4 2 3 2 3" xfId="13194"/>
    <cellStyle name="Normal 2 5 3 4 2 3 2 4" xfId="7905"/>
    <cellStyle name="Normal 2 5 3 4 2 3 3" xfId="3991"/>
    <cellStyle name="Normal 2 5 3 4 2 3 3 2" xfId="17636"/>
    <cellStyle name="Normal 2 5 3 4 2 3 3 3" xfId="14057"/>
    <cellStyle name="Normal 2 5 3 4 2 3 3 4" xfId="8800"/>
    <cellStyle name="Normal 2 5 3 4 2 3 4" xfId="6312"/>
    <cellStyle name="Normal 2 5 3 4 2 3 4 2" xfId="15396"/>
    <cellStyle name="Normal 2 5 3 4 2 3 5" xfId="10254"/>
    <cellStyle name="Normal 2 5 3 4 2 3 5 2" xfId="19081"/>
    <cellStyle name="Normal 2 5 3 4 2 3 6" xfId="11700"/>
    <cellStyle name="Normal 2 5 3 4 2 3 7" xfId="5499"/>
    <cellStyle name="Normal 2 5 3 4 2 4" xfId="1627"/>
    <cellStyle name="Normal 2 5 3 4 2 4 2" xfId="3223"/>
    <cellStyle name="Normal 2 5 3 4 2 4 2 2" xfId="18137"/>
    <cellStyle name="Normal 2 5 3 4 2 4 2 3" xfId="14558"/>
    <cellStyle name="Normal 2 5 3 4 2 4 2 4" xfId="9301"/>
    <cellStyle name="Normal 2 5 3 4 2 4 3" xfId="10755"/>
    <cellStyle name="Normal 2 5 3 4 2 4 3 2" xfId="19582"/>
    <cellStyle name="Normal 2 5 3 4 2 4 4" xfId="12201"/>
    <cellStyle name="Normal 2 5 3 4 2 4 5" xfId="7196"/>
    <cellStyle name="Normal 2 5 3 4 2 5" xfId="2180"/>
    <cellStyle name="Normal 2 5 3 4 2 5 2" xfId="17094"/>
    <cellStyle name="Normal 2 5 3 4 2 5 3" xfId="13515"/>
    <cellStyle name="Normal 2 5 3 4 2 5 4" xfId="8258"/>
    <cellStyle name="Normal 2 5 3 4 2 6" xfId="5819"/>
    <cellStyle name="Normal 2 5 3 4 2 6 2" xfId="14905"/>
    <cellStyle name="Normal 2 5 3 4 2 7" xfId="9712"/>
    <cellStyle name="Normal 2 5 3 4 2 7 2" xfId="18539"/>
    <cellStyle name="Normal 2 5 3 4 2 8" xfId="11156"/>
    <cellStyle name="Normal 2 5 3 4 2 9" xfId="4790"/>
    <cellStyle name="Normal 2 5 3 4 2_Degree data" xfId="1240"/>
    <cellStyle name="Normal 2 5 3 4 3" xfId="643"/>
    <cellStyle name="Normal 2 5 3 4 3 2" xfId="2373"/>
    <cellStyle name="Normal 2 5 3 4 3 2 2" xfId="16005"/>
    <cellStyle name="Normal 2 5 3 4 3 2 3" xfId="12409"/>
    <cellStyle name="Normal 2 5 3 4 3 2 4" xfId="6991"/>
    <cellStyle name="Normal 2 5 3 4 3 3" xfId="3641"/>
    <cellStyle name="Normal 2 5 3 4 3 3 2" xfId="17287"/>
    <cellStyle name="Normal 2 5 3 4 3 3 3" xfId="13708"/>
    <cellStyle name="Normal 2 5 3 4 3 3 4" xfId="8451"/>
    <cellStyle name="Normal 2 5 3 4 3 4" xfId="6107"/>
    <cellStyle name="Normal 2 5 3 4 3 4 2" xfId="15191"/>
    <cellStyle name="Normal 2 5 3 4 3 5" xfId="9905"/>
    <cellStyle name="Normal 2 5 3 4 3 5 2" xfId="18732"/>
    <cellStyle name="Normal 2 5 3 4 3 6" xfId="11349"/>
    <cellStyle name="Normal 2 5 3 4 3 7" xfId="4585"/>
    <cellStyle name="Normal 2 5 3 4 4" xfId="1001"/>
    <cellStyle name="Normal 2 5 3 4 4 2" xfId="2721"/>
    <cellStyle name="Normal 2 5 3 4 4 2 2" xfId="16262"/>
    <cellStyle name="Normal 2 5 3 4 4 2 3" xfId="12684"/>
    <cellStyle name="Normal 2 5 3 4 4 2 4" xfId="7394"/>
    <cellStyle name="Normal 2 5 3 4 4 3" xfId="3990"/>
    <cellStyle name="Normal 2 5 3 4 4 3 2" xfId="17635"/>
    <cellStyle name="Normal 2 5 3 4 4 3 3" xfId="14056"/>
    <cellStyle name="Normal 2 5 3 4 4 3 4" xfId="8799"/>
    <cellStyle name="Normal 2 5 3 4 4 4" xfId="6510"/>
    <cellStyle name="Normal 2 5 3 4 4 4 2" xfId="15594"/>
    <cellStyle name="Normal 2 5 3 4 4 5" xfId="10253"/>
    <cellStyle name="Normal 2 5 3 4 4 5 2" xfId="19080"/>
    <cellStyle name="Normal 2 5 3 4 4 6" xfId="11699"/>
    <cellStyle name="Normal 2 5 3 4 4 7" xfId="4988"/>
    <cellStyle name="Normal 2 5 3 4 5" xfId="1413"/>
    <cellStyle name="Normal 2 5 3 4 5 2" xfId="3018"/>
    <cellStyle name="Normal 2 5 3 4 5 2 2" xfId="16568"/>
    <cellStyle name="Normal 2 5 3 4 5 2 3" xfId="12989"/>
    <cellStyle name="Normal 2 5 3 4 5 2 4" xfId="7700"/>
    <cellStyle name="Normal 2 5 3 4 5 3" xfId="4227"/>
    <cellStyle name="Normal 2 5 3 4 5 3 2" xfId="17932"/>
    <cellStyle name="Normal 2 5 3 4 5 3 3" xfId="14353"/>
    <cellStyle name="Normal 2 5 3 4 5 3 4" xfId="9096"/>
    <cellStyle name="Normal 2 5 3 4 5 4" xfId="5993"/>
    <cellStyle name="Normal 2 5 3 4 5 4 2" xfId="15079"/>
    <cellStyle name="Normal 2 5 3 4 5 5" xfId="10550"/>
    <cellStyle name="Normal 2 5 3 4 5 5 2" xfId="19377"/>
    <cellStyle name="Normal 2 5 3 4 5 6" xfId="11996"/>
    <cellStyle name="Normal 2 5 3 4 5 7" xfId="5294"/>
    <cellStyle name="Normal 2 5 3 4 6" xfId="1975"/>
    <cellStyle name="Normal 2 5 3 4 6 2" xfId="15922"/>
    <cellStyle name="Normal 2 5 3 4 6 3" xfId="12314"/>
    <cellStyle name="Normal 2 5 3 4 6 4" xfId="6879"/>
    <cellStyle name="Normal 2 5 3 4 7" xfId="3390"/>
    <cellStyle name="Normal 2 5 3 4 7 2" xfId="16889"/>
    <cellStyle name="Normal 2 5 3 4 7 3" xfId="13310"/>
    <cellStyle name="Normal 2 5 3 4 7 4" xfId="8053"/>
    <cellStyle name="Normal 2 5 3 4 8" xfId="5614"/>
    <cellStyle name="Normal 2 5 3 4 8 2" xfId="14700"/>
    <cellStyle name="Normal 2 5 3 4 9" xfId="9507"/>
    <cellStyle name="Normal 2 5 3 4 9 2" xfId="18334"/>
    <cellStyle name="Normal 2 5 3 4_Degree data" xfId="1241"/>
    <cellStyle name="Normal 2 5 3 5" xfId="305"/>
    <cellStyle name="Normal 2 5 3 5 2" xfId="645"/>
    <cellStyle name="Normal 2 5 3 5 2 2" xfId="2375"/>
    <cellStyle name="Normal 2 5 3 5 2 2 2" xfId="16264"/>
    <cellStyle name="Normal 2 5 3 5 2 2 3" xfId="12686"/>
    <cellStyle name="Normal 2 5 3 5 2 2 4" xfId="7396"/>
    <cellStyle name="Normal 2 5 3 5 2 3" xfId="3643"/>
    <cellStyle name="Normal 2 5 3 5 2 3 2" xfId="17289"/>
    <cellStyle name="Normal 2 5 3 5 2 3 3" xfId="13710"/>
    <cellStyle name="Normal 2 5 3 5 2 3 4" xfId="8453"/>
    <cellStyle name="Normal 2 5 3 5 2 4" xfId="6512"/>
    <cellStyle name="Normal 2 5 3 5 2 4 2" xfId="15596"/>
    <cellStyle name="Normal 2 5 3 5 2 5" xfId="9907"/>
    <cellStyle name="Normal 2 5 3 5 2 5 2" xfId="18734"/>
    <cellStyle name="Normal 2 5 3 5 2 6" xfId="11351"/>
    <cellStyle name="Normal 2 5 3 5 2 7" xfId="4990"/>
    <cellStyle name="Normal 2 5 3 5 3" xfId="1003"/>
    <cellStyle name="Normal 2 5 3 5 3 2" xfId="2723"/>
    <cellStyle name="Normal 2 5 3 5 3 2 2" xfId="16668"/>
    <cellStyle name="Normal 2 5 3 5 3 2 3" xfId="13089"/>
    <cellStyle name="Normal 2 5 3 5 3 2 4" xfId="7800"/>
    <cellStyle name="Normal 2 5 3 5 3 3" xfId="3992"/>
    <cellStyle name="Normal 2 5 3 5 3 3 2" xfId="17637"/>
    <cellStyle name="Normal 2 5 3 5 3 3 3" xfId="14058"/>
    <cellStyle name="Normal 2 5 3 5 3 3 4" xfId="8801"/>
    <cellStyle name="Normal 2 5 3 5 3 4" xfId="6207"/>
    <cellStyle name="Normal 2 5 3 5 3 4 2" xfId="15291"/>
    <cellStyle name="Normal 2 5 3 5 3 5" xfId="10255"/>
    <cellStyle name="Normal 2 5 3 5 3 5 2" xfId="19082"/>
    <cellStyle name="Normal 2 5 3 5 3 6" xfId="11701"/>
    <cellStyle name="Normal 2 5 3 5 3 7" xfId="5394"/>
    <cellStyle name="Normal 2 5 3 5 4" xfId="1519"/>
    <cellStyle name="Normal 2 5 3 5 4 2" xfId="3118"/>
    <cellStyle name="Normal 2 5 3 5 4 2 2" xfId="18032"/>
    <cellStyle name="Normal 2 5 3 5 4 2 3" xfId="14453"/>
    <cellStyle name="Normal 2 5 3 5 4 2 4" xfId="9196"/>
    <cellStyle name="Normal 2 5 3 5 4 3" xfId="10650"/>
    <cellStyle name="Normal 2 5 3 5 4 3 2" xfId="19477"/>
    <cellStyle name="Normal 2 5 3 5 4 4" xfId="12096"/>
    <cellStyle name="Normal 2 5 3 5 4 5" xfId="7091"/>
    <cellStyle name="Normal 2 5 3 5 5" xfId="2075"/>
    <cellStyle name="Normal 2 5 3 5 5 2" xfId="16989"/>
    <cellStyle name="Normal 2 5 3 5 5 3" xfId="13410"/>
    <cellStyle name="Normal 2 5 3 5 5 4" xfId="8153"/>
    <cellStyle name="Normal 2 5 3 5 6" xfId="5714"/>
    <cellStyle name="Normal 2 5 3 5 6 2" xfId="14800"/>
    <cellStyle name="Normal 2 5 3 5 7" xfId="9607"/>
    <cellStyle name="Normal 2 5 3 5 7 2" xfId="18434"/>
    <cellStyle name="Normal 2 5 3 5 8" xfId="11051"/>
    <cellStyle name="Normal 2 5 3 5 9" xfId="4685"/>
    <cellStyle name="Normal 2 5 3 5_Degree data" xfId="1239"/>
    <cellStyle name="Normal 2 5 3 6" xfId="489"/>
    <cellStyle name="Normal 2 5 3 6 2" xfId="646"/>
    <cellStyle name="Normal 2 5 3 6 2 2" xfId="2376"/>
    <cellStyle name="Normal 2 5 3 6 2 2 2" xfId="16265"/>
    <cellStyle name="Normal 2 5 3 6 2 2 3" xfId="12687"/>
    <cellStyle name="Normal 2 5 3 6 2 2 4" xfId="7397"/>
    <cellStyle name="Normal 2 5 3 6 2 3" xfId="3644"/>
    <cellStyle name="Normal 2 5 3 6 2 3 2" xfId="17290"/>
    <cellStyle name="Normal 2 5 3 6 2 3 3" xfId="13711"/>
    <cellStyle name="Normal 2 5 3 6 2 3 4" xfId="8454"/>
    <cellStyle name="Normal 2 5 3 6 2 4" xfId="6513"/>
    <cellStyle name="Normal 2 5 3 6 2 4 2" xfId="15597"/>
    <cellStyle name="Normal 2 5 3 6 2 5" xfId="9908"/>
    <cellStyle name="Normal 2 5 3 6 2 5 2" xfId="18735"/>
    <cellStyle name="Normal 2 5 3 6 2 6" xfId="11352"/>
    <cellStyle name="Normal 2 5 3 6 2 7" xfId="4991"/>
    <cellStyle name="Normal 2 5 3 6 3" xfId="1004"/>
    <cellStyle name="Normal 2 5 3 6 3 2" xfId="2724"/>
    <cellStyle name="Normal 2 5 3 6 3 2 2" xfId="16539"/>
    <cellStyle name="Normal 2 5 3 6 3 2 3" xfId="12961"/>
    <cellStyle name="Normal 2 5 3 6 3 2 4" xfId="7671"/>
    <cellStyle name="Normal 2 5 3 6 3 3" xfId="3993"/>
    <cellStyle name="Normal 2 5 3 6 3 3 2" xfId="17638"/>
    <cellStyle name="Normal 2 5 3 6 3 3 3" xfId="14059"/>
    <cellStyle name="Normal 2 5 3 6 3 3 4" xfId="8802"/>
    <cellStyle name="Normal 2 5 3 6 3 4" xfId="6748"/>
    <cellStyle name="Normal 2 5 3 6 3 4 2" xfId="15831"/>
    <cellStyle name="Normal 2 5 3 6 3 5" xfId="10256"/>
    <cellStyle name="Normal 2 5 3 6 3 5 2" xfId="19083"/>
    <cellStyle name="Normal 2 5 3 6 3 6" xfId="11702"/>
    <cellStyle name="Normal 2 5 3 6 3 7" xfId="5265"/>
    <cellStyle name="Normal 2 5 3 6 4" xfId="1378"/>
    <cellStyle name="Normal 2 5 3 6 4 2" xfId="2989"/>
    <cellStyle name="Normal 2 5 3 6 4 2 2" xfId="17903"/>
    <cellStyle name="Normal 2 5 3 6 4 2 3" xfId="14324"/>
    <cellStyle name="Normal 2 5 3 6 4 2 4" xfId="9067"/>
    <cellStyle name="Normal 2 5 3 6 4 3" xfId="10521"/>
    <cellStyle name="Normal 2 5 3 6 4 3 2" xfId="19348"/>
    <cellStyle name="Normal 2 5 3 6 4 4" xfId="11967"/>
    <cellStyle name="Normal 2 5 3 6 4 5" xfId="6962"/>
    <cellStyle name="Normal 2 5 3 6 5" xfId="1946"/>
    <cellStyle name="Normal 2 5 3 6 5 2" xfId="16858"/>
    <cellStyle name="Normal 2 5 3 6 5 3" xfId="13279"/>
    <cellStyle name="Normal 2 5 3 6 5 4" xfId="8022"/>
    <cellStyle name="Normal 2 5 3 6 6" xfId="6078"/>
    <cellStyle name="Normal 2 5 3 6 6 2" xfId="15162"/>
    <cellStyle name="Normal 2 5 3 6 7" xfId="9478"/>
    <cellStyle name="Normal 2 5 3 6 7 2" xfId="18305"/>
    <cellStyle name="Normal 2 5 3 6 8" xfId="10922"/>
    <cellStyle name="Normal 2 5 3 6 9" xfId="4556"/>
    <cellStyle name="Normal 2 5 3 6_Degree data" xfId="1238"/>
    <cellStyle name="Normal 2 5 3 7" xfId="637"/>
    <cellStyle name="Normal 2 5 3 7 2" xfId="2367"/>
    <cellStyle name="Normal 2 5 3 7 2 2" xfId="16256"/>
    <cellStyle name="Normal 2 5 3 7 2 3" xfId="12678"/>
    <cellStyle name="Normal 2 5 3 7 2 4" xfId="7388"/>
    <cellStyle name="Normal 2 5 3 7 3" xfId="3635"/>
    <cellStyle name="Normal 2 5 3 7 3 2" xfId="17281"/>
    <cellStyle name="Normal 2 5 3 7 3 3" xfId="13702"/>
    <cellStyle name="Normal 2 5 3 7 3 4" xfId="8445"/>
    <cellStyle name="Normal 2 5 3 7 4" xfId="6504"/>
    <cellStyle name="Normal 2 5 3 7 4 2" xfId="15588"/>
    <cellStyle name="Normal 2 5 3 7 5" xfId="9899"/>
    <cellStyle name="Normal 2 5 3 7 5 2" xfId="18726"/>
    <cellStyle name="Normal 2 5 3 7 6" xfId="11343"/>
    <cellStyle name="Normal 2 5 3 7 7" xfId="4982"/>
    <cellStyle name="Normal 2 5 3 8" xfId="995"/>
    <cellStyle name="Normal 2 5 3 8 2" xfId="2715"/>
    <cellStyle name="Normal 2 5 3 8 2 2" xfId="16496"/>
    <cellStyle name="Normal 2 5 3 8 2 3" xfId="12918"/>
    <cellStyle name="Normal 2 5 3 8 2 4" xfId="7628"/>
    <cellStyle name="Normal 2 5 3 8 3" xfId="3984"/>
    <cellStyle name="Normal 2 5 3 8 3 2" xfId="17629"/>
    <cellStyle name="Normal 2 5 3 8 3 3" xfId="14050"/>
    <cellStyle name="Normal 2 5 3 8 3 4" xfId="8793"/>
    <cellStyle name="Normal 2 5 3 8 4" xfId="5887"/>
    <cellStyle name="Normal 2 5 3 8 4 2" xfId="14973"/>
    <cellStyle name="Normal 2 5 3 8 5" xfId="10247"/>
    <cellStyle name="Normal 2 5 3 8 5 2" xfId="19074"/>
    <cellStyle name="Normal 2 5 3 8 6" xfId="11693"/>
    <cellStyle name="Normal 2 5 3 8 7" xfId="5222"/>
    <cellStyle name="Normal 2 5 3 9" xfId="1307"/>
    <cellStyle name="Normal 2 5 3 9 2" xfId="2946"/>
    <cellStyle name="Normal 2 5 3 9 2 2" xfId="17860"/>
    <cellStyle name="Normal 2 5 3 9 2 3" xfId="14281"/>
    <cellStyle name="Normal 2 5 3 9 2 4" xfId="9024"/>
    <cellStyle name="Normal 2 5 3 9 3" xfId="10478"/>
    <cellStyle name="Normal 2 5 3 9 3 2" xfId="19305"/>
    <cellStyle name="Normal 2 5 3 9 4" xfId="11924"/>
    <cellStyle name="Normal 2 5 3 9 5" xfId="6773"/>
    <cellStyle name="Normal 2 5 3_Degree data" xfId="1612"/>
    <cellStyle name="Normal 2 5 4" xfId="168"/>
    <cellStyle name="Normal 2 5 4 10" xfId="1919"/>
    <cellStyle name="Normal 2 5 4 10 2" xfId="9451"/>
    <cellStyle name="Normal 2 5 4 10 2 2" xfId="18278"/>
    <cellStyle name="Normal 2 5 4 10 3" xfId="10895"/>
    <cellStyle name="Normal 2 5 4 10 4" xfId="7995"/>
    <cellStyle name="Normal 2 5 4 11" xfId="1889"/>
    <cellStyle name="Normal 2 5 4 11 2" xfId="14689"/>
    <cellStyle name="Normal 2 5 4 11 3" xfId="5603"/>
    <cellStyle name="Normal 2 5 4 12" xfId="9421"/>
    <cellStyle name="Normal 2 5 4 12 2" xfId="18248"/>
    <cellStyle name="Normal 2 5 4 13" xfId="10865"/>
    <cellStyle name="Normal 2 5 4 14" xfId="4381"/>
    <cellStyle name="Normal 2 5 4 2" xfId="243"/>
    <cellStyle name="Normal 2 5 4 2 10" xfId="9553"/>
    <cellStyle name="Normal 2 5 4 2 10 2" xfId="18380"/>
    <cellStyle name="Normal 2 5 4 2 11" xfId="10997"/>
    <cellStyle name="Normal 2 5 4 2 12" xfId="4414"/>
    <cellStyle name="Normal 2 5 4 2 2" xfId="456"/>
    <cellStyle name="Normal 2 5 4 2 2 10" xfId="4518"/>
    <cellStyle name="Normal 2 5 4 2 2 2" xfId="649"/>
    <cellStyle name="Normal 2 5 4 2 2 2 2" xfId="2379"/>
    <cellStyle name="Normal 2 5 4 2 2 2 2 2" xfId="16110"/>
    <cellStyle name="Normal 2 5 4 2 2 2 2 3" xfId="12532"/>
    <cellStyle name="Normal 2 5 4 2 2 2 2 4" xfId="7241"/>
    <cellStyle name="Normal 2 5 4 2 2 2 3" xfId="3647"/>
    <cellStyle name="Normal 2 5 4 2 2 2 3 2" xfId="17293"/>
    <cellStyle name="Normal 2 5 4 2 2 2 3 3" xfId="13714"/>
    <cellStyle name="Normal 2 5 4 2 2 2 3 4" xfId="8457"/>
    <cellStyle name="Normal 2 5 4 2 2 2 4" xfId="6357"/>
    <cellStyle name="Normal 2 5 4 2 2 2 4 2" xfId="15441"/>
    <cellStyle name="Normal 2 5 4 2 2 2 5" xfId="9911"/>
    <cellStyle name="Normal 2 5 4 2 2 2 5 2" xfId="18738"/>
    <cellStyle name="Normal 2 5 4 2 2 2 6" xfId="11355"/>
    <cellStyle name="Normal 2 5 4 2 2 2 7" xfId="4835"/>
    <cellStyle name="Normal 2 5 4 2 2 3" xfId="1007"/>
    <cellStyle name="Normal 2 5 4 2 2 3 2" xfId="2727"/>
    <cellStyle name="Normal 2 5 4 2 2 3 2 2" xfId="16268"/>
    <cellStyle name="Normal 2 5 4 2 2 3 2 3" xfId="12690"/>
    <cellStyle name="Normal 2 5 4 2 2 3 2 4" xfId="7400"/>
    <cellStyle name="Normal 2 5 4 2 2 3 3" xfId="3996"/>
    <cellStyle name="Normal 2 5 4 2 2 3 3 2" xfId="17641"/>
    <cellStyle name="Normal 2 5 4 2 2 3 3 3" xfId="14062"/>
    <cellStyle name="Normal 2 5 4 2 2 3 3 4" xfId="8805"/>
    <cellStyle name="Normal 2 5 4 2 2 3 4" xfId="6516"/>
    <cellStyle name="Normal 2 5 4 2 2 3 4 2" xfId="15600"/>
    <cellStyle name="Normal 2 5 4 2 2 3 5" xfId="10259"/>
    <cellStyle name="Normal 2 5 4 2 2 3 5 2" xfId="19086"/>
    <cellStyle name="Normal 2 5 4 2 2 3 6" xfId="11705"/>
    <cellStyle name="Normal 2 5 4 2 2 3 7" xfId="4994"/>
    <cellStyle name="Normal 2 5 4 2 2 4" xfId="1672"/>
    <cellStyle name="Normal 2 5 4 2 2 4 2" xfId="3268"/>
    <cellStyle name="Normal 2 5 4 2 2 4 2 2" xfId="16818"/>
    <cellStyle name="Normal 2 5 4 2 2 4 2 3" xfId="13239"/>
    <cellStyle name="Normal 2 5 4 2 2 4 2 4" xfId="7950"/>
    <cellStyle name="Normal 2 5 4 2 2 4 3" xfId="4332"/>
    <cellStyle name="Normal 2 5 4 2 2 4 3 2" xfId="18182"/>
    <cellStyle name="Normal 2 5 4 2 2 4 3 3" xfId="14603"/>
    <cellStyle name="Normal 2 5 4 2 2 4 3 4" xfId="9346"/>
    <cellStyle name="Normal 2 5 4 2 2 4 4" xfId="6038"/>
    <cellStyle name="Normal 2 5 4 2 2 4 4 2" xfId="15124"/>
    <cellStyle name="Normal 2 5 4 2 2 4 5" xfId="10800"/>
    <cellStyle name="Normal 2 5 4 2 2 4 5 2" xfId="19627"/>
    <cellStyle name="Normal 2 5 4 2 2 4 6" xfId="12246"/>
    <cellStyle name="Normal 2 5 4 2 2 4 7" xfId="5544"/>
    <cellStyle name="Normal 2 5 4 2 2 5" xfId="2225"/>
    <cellStyle name="Normal 2 5 4 2 2 5 2" xfId="15967"/>
    <cellStyle name="Normal 2 5 4 2 2 5 3" xfId="12357"/>
    <cellStyle name="Normal 2 5 4 2 2 5 4" xfId="6924"/>
    <cellStyle name="Normal 2 5 4 2 2 6" xfId="3494"/>
    <cellStyle name="Normal 2 5 4 2 2 6 2" xfId="17139"/>
    <cellStyle name="Normal 2 5 4 2 2 6 3" xfId="13560"/>
    <cellStyle name="Normal 2 5 4 2 2 6 4" xfId="8303"/>
    <cellStyle name="Normal 2 5 4 2 2 7" xfId="5864"/>
    <cellStyle name="Normal 2 5 4 2 2 7 2" xfId="14950"/>
    <cellStyle name="Normal 2 5 4 2 2 8" xfId="9757"/>
    <cellStyle name="Normal 2 5 4 2 2 8 2" xfId="18584"/>
    <cellStyle name="Normal 2 5 4 2 2 9" xfId="11201"/>
    <cellStyle name="Normal 2 5 4 2 2_Degree data" xfId="1235"/>
    <cellStyle name="Normal 2 5 4 2 3" xfId="351"/>
    <cellStyle name="Normal 2 5 4 2 3 2" xfId="650"/>
    <cellStyle name="Normal 2 5 4 2 3 2 2" xfId="2380"/>
    <cellStyle name="Normal 2 5 4 2 3 2 2 2" xfId="16269"/>
    <cellStyle name="Normal 2 5 4 2 3 2 2 3" xfId="12691"/>
    <cellStyle name="Normal 2 5 4 2 3 2 2 4" xfId="7401"/>
    <cellStyle name="Normal 2 5 4 2 3 2 3" xfId="3648"/>
    <cellStyle name="Normal 2 5 4 2 3 2 3 2" xfId="17294"/>
    <cellStyle name="Normal 2 5 4 2 3 2 3 3" xfId="13715"/>
    <cellStyle name="Normal 2 5 4 2 3 2 3 4" xfId="8458"/>
    <cellStyle name="Normal 2 5 4 2 3 2 4" xfId="6517"/>
    <cellStyle name="Normal 2 5 4 2 3 2 4 2" xfId="15601"/>
    <cellStyle name="Normal 2 5 4 2 3 2 5" xfId="9912"/>
    <cellStyle name="Normal 2 5 4 2 3 2 5 2" xfId="18739"/>
    <cellStyle name="Normal 2 5 4 2 3 2 6" xfId="11356"/>
    <cellStyle name="Normal 2 5 4 2 3 2 7" xfId="4995"/>
    <cellStyle name="Normal 2 5 4 2 3 3" xfId="1008"/>
    <cellStyle name="Normal 2 5 4 2 3 3 2" xfId="2728"/>
    <cellStyle name="Normal 2 5 4 2 3 3 2 2" xfId="16714"/>
    <cellStyle name="Normal 2 5 4 2 3 3 2 3" xfId="13135"/>
    <cellStyle name="Normal 2 5 4 2 3 3 2 4" xfId="7846"/>
    <cellStyle name="Normal 2 5 4 2 3 3 3" xfId="3997"/>
    <cellStyle name="Normal 2 5 4 2 3 3 3 2" xfId="17642"/>
    <cellStyle name="Normal 2 5 4 2 3 3 3 3" xfId="14063"/>
    <cellStyle name="Normal 2 5 4 2 3 3 3 4" xfId="8806"/>
    <cellStyle name="Normal 2 5 4 2 3 3 4" xfId="6253"/>
    <cellStyle name="Normal 2 5 4 2 3 3 4 2" xfId="15337"/>
    <cellStyle name="Normal 2 5 4 2 3 3 5" xfId="10260"/>
    <cellStyle name="Normal 2 5 4 2 3 3 5 2" xfId="19087"/>
    <cellStyle name="Normal 2 5 4 2 3 3 6" xfId="11706"/>
    <cellStyle name="Normal 2 5 4 2 3 3 7" xfId="5440"/>
    <cellStyle name="Normal 2 5 4 2 3 4" xfId="1565"/>
    <cellStyle name="Normal 2 5 4 2 3 4 2" xfId="3164"/>
    <cellStyle name="Normal 2 5 4 2 3 4 2 2" xfId="18078"/>
    <cellStyle name="Normal 2 5 4 2 3 4 2 3" xfId="14499"/>
    <cellStyle name="Normal 2 5 4 2 3 4 2 4" xfId="9242"/>
    <cellStyle name="Normal 2 5 4 2 3 4 3" xfId="10696"/>
    <cellStyle name="Normal 2 5 4 2 3 4 3 2" xfId="19523"/>
    <cellStyle name="Normal 2 5 4 2 3 4 4" xfId="12142"/>
    <cellStyle name="Normal 2 5 4 2 3 4 5" xfId="7137"/>
    <cellStyle name="Normal 2 5 4 2 3 5" xfId="2121"/>
    <cellStyle name="Normal 2 5 4 2 3 5 2" xfId="17035"/>
    <cellStyle name="Normal 2 5 4 2 3 5 3" xfId="13456"/>
    <cellStyle name="Normal 2 5 4 2 3 5 4" xfId="8199"/>
    <cellStyle name="Normal 2 5 4 2 3 6" xfId="5760"/>
    <cellStyle name="Normal 2 5 4 2 3 6 2" xfId="14846"/>
    <cellStyle name="Normal 2 5 4 2 3 7" xfId="9653"/>
    <cellStyle name="Normal 2 5 4 2 3 7 2" xfId="18480"/>
    <cellStyle name="Normal 2 5 4 2 3 8" xfId="11097"/>
    <cellStyle name="Normal 2 5 4 2 3 9" xfId="4731"/>
    <cellStyle name="Normal 2 5 4 2 3_Degree data" xfId="1285"/>
    <cellStyle name="Normal 2 5 4 2 4" xfId="648"/>
    <cellStyle name="Normal 2 5 4 2 4 2" xfId="2378"/>
    <cellStyle name="Normal 2 5 4 2 4 2 2" xfId="16051"/>
    <cellStyle name="Normal 2 5 4 2 4 2 3" xfId="12337"/>
    <cellStyle name="Normal 2 5 4 2 4 2 4" xfId="7037"/>
    <cellStyle name="Normal 2 5 4 2 4 3" xfId="3646"/>
    <cellStyle name="Normal 2 5 4 2 4 3 2" xfId="17292"/>
    <cellStyle name="Normal 2 5 4 2 4 3 3" xfId="13713"/>
    <cellStyle name="Normal 2 5 4 2 4 3 4" xfId="8456"/>
    <cellStyle name="Normal 2 5 4 2 4 4" xfId="6153"/>
    <cellStyle name="Normal 2 5 4 2 4 4 2" xfId="15237"/>
    <cellStyle name="Normal 2 5 4 2 4 5" xfId="9910"/>
    <cellStyle name="Normal 2 5 4 2 4 5 2" xfId="18737"/>
    <cellStyle name="Normal 2 5 4 2 4 6" xfId="11354"/>
    <cellStyle name="Normal 2 5 4 2 4 7" xfId="4631"/>
    <cellStyle name="Normal 2 5 4 2 5" xfId="1006"/>
    <cellStyle name="Normal 2 5 4 2 5 2" xfId="2726"/>
    <cellStyle name="Normal 2 5 4 2 5 2 2" xfId="16267"/>
    <cellStyle name="Normal 2 5 4 2 5 2 3" xfId="12689"/>
    <cellStyle name="Normal 2 5 4 2 5 2 4" xfId="7399"/>
    <cellStyle name="Normal 2 5 4 2 5 3" xfId="3995"/>
    <cellStyle name="Normal 2 5 4 2 5 3 2" xfId="17640"/>
    <cellStyle name="Normal 2 5 4 2 5 3 3" xfId="14061"/>
    <cellStyle name="Normal 2 5 4 2 5 3 4" xfId="8804"/>
    <cellStyle name="Normal 2 5 4 2 5 4" xfId="6515"/>
    <cellStyle name="Normal 2 5 4 2 5 4 2" xfId="15599"/>
    <cellStyle name="Normal 2 5 4 2 5 5" xfId="10258"/>
    <cellStyle name="Normal 2 5 4 2 5 5 2" xfId="19085"/>
    <cellStyle name="Normal 2 5 4 2 5 6" xfId="11704"/>
    <cellStyle name="Normal 2 5 4 2 5 7" xfId="4993"/>
    <cellStyle name="Normal 2 5 4 2 6" xfId="1463"/>
    <cellStyle name="Normal 2 5 4 2 6 2" xfId="3064"/>
    <cellStyle name="Normal 2 5 4 2 6 2 2" xfId="16614"/>
    <cellStyle name="Normal 2 5 4 2 6 2 3" xfId="13035"/>
    <cellStyle name="Normal 2 5 4 2 6 2 4" xfId="7746"/>
    <cellStyle name="Normal 2 5 4 2 6 3" xfId="4273"/>
    <cellStyle name="Normal 2 5 4 2 6 3 2" xfId="17978"/>
    <cellStyle name="Normal 2 5 4 2 6 3 3" xfId="14399"/>
    <cellStyle name="Normal 2 5 4 2 6 3 4" xfId="9142"/>
    <cellStyle name="Normal 2 5 4 2 6 4" xfId="5934"/>
    <cellStyle name="Normal 2 5 4 2 6 4 2" xfId="15020"/>
    <cellStyle name="Normal 2 5 4 2 6 5" xfId="10596"/>
    <cellStyle name="Normal 2 5 4 2 6 5 2" xfId="19423"/>
    <cellStyle name="Normal 2 5 4 2 6 6" xfId="12042"/>
    <cellStyle name="Normal 2 5 4 2 6 7" xfId="5340"/>
    <cellStyle name="Normal 2 5 4 2 7" xfId="2021"/>
    <cellStyle name="Normal 2 5 4 2 7 2" xfId="15863"/>
    <cellStyle name="Normal 2 5 4 2 7 3" xfId="12378"/>
    <cellStyle name="Normal 2 5 4 2 7 4" xfId="6820"/>
    <cellStyle name="Normal 2 5 4 2 8" xfId="3435"/>
    <cellStyle name="Normal 2 5 4 2 8 2" xfId="16935"/>
    <cellStyle name="Normal 2 5 4 2 8 3" xfId="13356"/>
    <cellStyle name="Normal 2 5 4 2 8 4" xfId="8099"/>
    <cellStyle name="Normal 2 5 4 2 9" xfId="5660"/>
    <cellStyle name="Normal 2 5 4 2 9 2" xfId="14746"/>
    <cellStyle name="Normal 2 5 4 2_Degree data" xfId="1236"/>
    <cellStyle name="Normal 2 5 4 3" xfId="286"/>
    <cellStyle name="Normal 2 5 4 3 10" xfId="11040"/>
    <cellStyle name="Normal 2 5 4 3 11" xfId="4457"/>
    <cellStyle name="Normal 2 5 4 3 2" xfId="394"/>
    <cellStyle name="Normal 2 5 4 3 2 2" xfId="652"/>
    <cellStyle name="Normal 2 5 4 3 2 2 2" xfId="2382"/>
    <cellStyle name="Normal 2 5 4 3 2 2 2 2" xfId="16271"/>
    <cellStyle name="Normal 2 5 4 3 2 2 2 3" xfId="12693"/>
    <cellStyle name="Normal 2 5 4 3 2 2 2 4" xfId="7403"/>
    <cellStyle name="Normal 2 5 4 3 2 2 3" xfId="3650"/>
    <cellStyle name="Normal 2 5 4 3 2 2 3 2" xfId="17296"/>
    <cellStyle name="Normal 2 5 4 3 2 2 3 3" xfId="13717"/>
    <cellStyle name="Normal 2 5 4 3 2 2 3 4" xfId="8460"/>
    <cellStyle name="Normal 2 5 4 3 2 2 4" xfId="6519"/>
    <cellStyle name="Normal 2 5 4 3 2 2 4 2" xfId="15603"/>
    <cellStyle name="Normal 2 5 4 3 2 2 5" xfId="9914"/>
    <cellStyle name="Normal 2 5 4 3 2 2 5 2" xfId="18741"/>
    <cellStyle name="Normal 2 5 4 3 2 2 6" xfId="11358"/>
    <cellStyle name="Normal 2 5 4 3 2 2 7" xfId="4997"/>
    <cellStyle name="Normal 2 5 4 3 2 3" xfId="1010"/>
    <cellStyle name="Normal 2 5 4 3 2 3 2" xfId="2730"/>
    <cellStyle name="Normal 2 5 4 3 2 3 2 2" xfId="16757"/>
    <cellStyle name="Normal 2 5 4 3 2 3 2 3" xfId="13178"/>
    <cellStyle name="Normal 2 5 4 3 2 3 2 4" xfId="7889"/>
    <cellStyle name="Normal 2 5 4 3 2 3 3" xfId="3999"/>
    <cellStyle name="Normal 2 5 4 3 2 3 3 2" xfId="17644"/>
    <cellStyle name="Normal 2 5 4 3 2 3 3 3" xfId="14065"/>
    <cellStyle name="Normal 2 5 4 3 2 3 3 4" xfId="8808"/>
    <cellStyle name="Normal 2 5 4 3 2 3 4" xfId="6296"/>
    <cellStyle name="Normal 2 5 4 3 2 3 4 2" xfId="15380"/>
    <cellStyle name="Normal 2 5 4 3 2 3 5" xfId="10262"/>
    <cellStyle name="Normal 2 5 4 3 2 3 5 2" xfId="19089"/>
    <cellStyle name="Normal 2 5 4 3 2 3 6" xfId="11708"/>
    <cellStyle name="Normal 2 5 4 3 2 3 7" xfId="5483"/>
    <cellStyle name="Normal 2 5 4 3 2 4" xfId="1610"/>
    <cellStyle name="Normal 2 5 4 3 2 4 2" xfId="3207"/>
    <cellStyle name="Normal 2 5 4 3 2 4 2 2" xfId="18121"/>
    <cellStyle name="Normal 2 5 4 3 2 4 2 3" xfId="14542"/>
    <cellStyle name="Normal 2 5 4 3 2 4 2 4" xfId="9285"/>
    <cellStyle name="Normal 2 5 4 3 2 4 3" xfId="10739"/>
    <cellStyle name="Normal 2 5 4 3 2 4 3 2" xfId="19566"/>
    <cellStyle name="Normal 2 5 4 3 2 4 4" xfId="12185"/>
    <cellStyle name="Normal 2 5 4 3 2 4 5" xfId="7180"/>
    <cellStyle name="Normal 2 5 4 3 2 5" xfId="2164"/>
    <cellStyle name="Normal 2 5 4 3 2 5 2" xfId="17078"/>
    <cellStyle name="Normal 2 5 4 3 2 5 3" xfId="13499"/>
    <cellStyle name="Normal 2 5 4 3 2 5 4" xfId="8242"/>
    <cellStyle name="Normal 2 5 4 3 2 6" xfId="5803"/>
    <cellStyle name="Normal 2 5 4 3 2 6 2" xfId="14889"/>
    <cellStyle name="Normal 2 5 4 3 2 7" xfId="9696"/>
    <cellStyle name="Normal 2 5 4 3 2 7 2" xfId="18523"/>
    <cellStyle name="Normal 2 5 4 3 2 8" xfId="11140"/>
    <cellStyle name="Normal 2 5 4 3 2 9" xfId="4774"/>
    <cellStyle name="Normal 2 5 4 3 2_Degree data" xfId="1340"/>
    <cellStyle name="Normal 2 5 4 3 3" xfId="651"/>
    <cellStyle name="Normal 2 5 4 3 3 2" xfId="2381"/>
    <cellStyle name="Normal 2 5 4 3 3 2 2" xfId="16094"/>
    <cellStyle name="Normal 2 5 4 3 3 2 3" xfId="12326"/>
    <cellStyle name="Normal 2 5 4 3 3 2 4" xfId="7080"/>
    <cellStyle name="Normal 2 5 4 3 3 3" xfId="3649"/>
    <cellStyle name="Normal 2 5 4 3 3 3 2" xfId="17295"/>
    <cellStyle name="Normal 2 5 4 3 3 3 3" xfId="13716"/>
    <cellStyle name="Normal 2 5 4 3 3 3 4" xfId="8459"/>
    <cellStyle name="Normal 2 5 4 3 3 4" xfId="6196"/>
    <cellStyle name="Normal 2 5 4 3 3 4 2" xfId="15280"/>
    <cellStyle name="Normal 2 5 4 3 3 5" xfId="9913"/>
    <cellStyle name="Normal 2 5 4 3 3 5 2" xfId="18740"/>
    <cellStyle name="Normal 2 5 4 3 3 6" xfId="11357"/>
    <cellStyle name="Normal 2 5 4 3 3 7" xfId="4674"/>
    <cellStyle name="Normal 2 5 4 3 4" xfId="1009"/>
    <cellStyle name="Normal 2 5 4 3 4 2" xfId="2729"/>
    <cellStyle name="Normal 2 5 4 3 4 2 2" xfId="16270"/>
    <cellStyle name="Normal 2 5 4 3 4 2 3" xfId="12692"/>
    <cellStyle name="Normal 2 5 4 3 4 2 4" xfId="7402"/>
    <cellStyle name="Normal 2 5 4 3 4 3" xfId="3998"/>
    <cellStyle name="Normal 2 5 4 3 4 3 2" xfId="17643"/>
    <cellStyle name="Normal 2 5 4 3 4 3 3" xfId="14064"/>
    <cellStyle name="Normal 2 5 4 3 4 3 4" xfId="8807"/>
    <cellStyle name="Normal 2 5 4 3 4 4" xfId="6518"/>
    <cellStyle name="Normal 2 5 4 3 4 4 2" xfId="15602"/>
    <cellStyle name="Normal 2 5 4 3 4 5" xfId="10261"/>
    <cellStyle name="Normal 2 5 4 3 4 5 2" xfId="19088"/>
    <cellStyle name="Normal 2 5 4 3 4 6" xfId="11707"/>
    <cellStyle name="Normal 2 5 4 3 4 7" xfId="4996"/>
    <cellStyle name="Normal 2 5 4 3 5" xfId="1508"/>
    <cellStyle name="Normal 2 5 4 3 5 2" xfId="3107"/>
    <cellStyle name="Normal 2 5 4 3 5 2 2" xfId="16657"/>
    <cellStyle name="Normal 2 5 4 3 5 2 3" xfId="13078"/>
    <cellStyle name="Normal 2 5 4 3 5 2 4" xfId="7789"/>
    <cellStyle name="Normal 2 5 4 3 5 3" xfId="4316"/>
    <cellStyle name="Normal 2 5 4 3 5 3 2" xfId="18021"/>
    <cellStyle name="Normal 2 5 4 3 5 3 3" xfId="14442"/>
    <cellStyle name="Normal 2 5 4 3 5 3 4" xfId="9185"/>
    <cellStyle name="Normal 2 5 4 3 5 4" xfId="5977"/>
    <cellStyle name="Normal 2 5 4 3 5 4 2" xfId="15063"/>
    <cellStyle name="Normal 2 5 4 3 5 5" xfId="10639"/>
    <cellStyle name="Normal 2 5 4 3 5 5 2" xfId="19466"/>
    <cellStyle name="Normal 2 5 4 3 5 6" xfId="12085"/>
    <cellStyle name="Normal 2 5 4 3 5 7" xfId="5383"/>
    <cellStyle name="Normal 2 5 4 3 6" xfId="2064"/>
    <cellStyle name="Normal 2 5 4 3 6 2" xfId="15906"/>
    <cellStyle name="Normal 2 5 4 3 6 3" xfId="12421"/>
    <cellStyle name="Normal 2 5 4 3 6 4" xfId="6863"/>
    <cellStyle name="Normal 2 5 4 3 7" xfId="3478"/>
    <cellStyle name="Normal 2 5 4 3 7 2" xfId="16978"/>
    <cellStyle name="Normal 2 5 4 3 7 3" xfId="13399"/>
    <cellStyle name="Normal 2 5 4 3 7 4" xfId="8142"/>
    <cellStyle name="Normal 2 5 4 3 8" xfId="5703"/>
    <cellStyle name="Normal 2 5 4 3 8 2" xfId="14789"/>
    <cellStyle name="Normal 2 5 4 3 9" xfId="9596"/>
    <cellStyle name="Normal 2 5 4 3 9 2" xfId="18423"/>
    <cellStyle name="Normal 2 5 4 3_Degree data" xfId="1684"/>
    <cellStyle name="Normal 2 5 4 4" xfId="207"/>
    <cellStyle name="Normal 2 5 4 4 10" xfId="10964"/>
    <cellStyle name="Normal 2 5 4 4 11" xfId="4486"/>
    <cellStyle name="Normal 2 5 4 4 2" xfId="424"/>
    <cellStyle name="Normal 2 5 4 4 2 2" xfId="654"/>
    <cellStyle name="Normal 2 5 4 4 2 2 2" xfId="2384"/>
    <cellStyle name="Normal 2 5 4 4 2 2 2 2" xfId="16273"/>
    <cellStyle name="Normal 2 5 4 4 2 2 2 3" xfId="12695"/>
    <cellStyle name="Normal 2 5 4 4 2 2 2 4" xfId="7405"/>
    <cellStyle name="Normal 2 5 4 4 2 2 3" xfId="3652"/>
    <cellStyle name="Normal 2 5 4 4 2 2 3 2" xfId="17298"/>
    <cellStyle name="Normal 2 5 4 4 2 2 3 3" xfId="13719"/>
    <cellStyle name="Normal 2 5 4 4 2 2 3 4" xfId="8462"/>
    <cellStyle name="Normal 2 5 4 4 2 2 4" xfId="6521"/>
    <cellStyle name="Normal 2 5 4 4 2 2 4 2" xfId="15605"/>
    <cellStyle name="Normal 2 5 4 4 2 2 5" xfId="9916"/>
    <cellStyle name="Normal 2 5 4 4 2 2 5 2" xfId="18743"/>
    <cellStyle name="Normal 2 5 4 4 2 2 6" xfId="11360"/>
    <cellStyle name="Normal 2 5 4 4 2 2 7" xfId="4999"/>
    <cellStyle name="Normal 2 5 4 4 2 3" xfId="1012"/>
    <cellStyle name="Normal 2 5 4 4 2 3 2" xfId="2732"/>
    <cellStyle name="Normal 2 5 4 4 2 3 2 2" xfId="16786"/>
    <cellStyle name="Normal 2 5 4 4 2 3 2 3" xfId="13207"/>
    <cellStyle name="Normal 2 5 4 4 2 3 2 4" xfId="7918"/>
    <cellStyle name="Normal 2 5 4 4 2 3 3" xfId="4001"/>
    <cellStyle name="Normal 2 5 4 4 2 3 3 2" xfId="17646"/>
    <cellStyle name="Normal 2 5 4 4 2 3 3 3" xfId="14067"/>
    <cellStyle name="Normal 2 5 4 4 2 3 3 4" xfId="8810"/>
    <cellStyle name="Normal 2 5 4 4 2 3 4" xfId="6325"/>
    <cellStyle name="Normal 2 5 4 4 2 3 4 2" xfId="15409"/>
    <cellStyle name="Normal 2 5 4 4 2 3 5" xfId="10264"/>
    <cellStyle name="Normal 2 5 4 4 2 3 5 2" xfId="19091"/>
    <cellStyle name="Normal 2 5 4 4 2 3 6" xfId="11710"/>
    <cellStyle name="Normal 2 5 4 4 2 3 7" xfId="5512"/>
    <cellStyle name="Normal 2 5 4 4 2 4" xfId="1640"/>
    <cellStyle name="Normal 2 5 4 4 2 4 2" xfId="3236"/>
    <cellStyle name="Normal 2 5 4 4 2 4 2 2" xfId="18150"/>
    <cellStyle name="Normal 2 5 4 4 2 4 2 3" xfId="14571"/>
    <cellStyle name="Normal 2 5 4 4 2 4 2 4" xfId="9314"/>
    <cellStyle name="Normal 2 5 4 4 2 4 3" xfId="10768"/>
    <cellStyle name="Normal 2 5 4 4 2 4 3 2" xfId="19595"/>
    <cellStyle name="Normal 2 5 4 4 2 4 4" xfId="12214"/>
    <cellStyle name="Normal 2 5 4 4 2 4 5" xfId="7209"/>
    <cellStyle name="Normal 2 5 4 4 2 5" xfId="2193"/>
    <cellStyle name="Normal 2 5 4 4 2 5 2" xfId="17107"/>
    <cellStyle name="Normal 2 5 4 4 2 5 3" xfId="13528"/>
    <cellStyle name="Normal 2 5 4 4 2 5 4" xfId="8271"/>
    <cellStyle name="Normal 2 5 4 4 2 6" xfId="5832"/>
    <cellStyle name="Normal 2 5 4 4 2 6 2" xfId="14918"/>
    <cellStyle name="Normal 2 5 4 4 2 7" xfId="9725"/>
    <cellStyle name="Normal 2 5 4 4 2 7 2" xfId="18552"/>
    <cellStyle name="Normal 2 5 4 4 2 8" xfId="11169"/>
    <cellStyle name="Normal 2 5 4 4 2 9" xfId="4803"/>
    <cellStyle name="Normal 2 5 4 4 2_Degree data" xfId="1234"/>
    <cellStyle name="Normal 2 5 4 4 3" xfId="653"/>
    <cellStyle name="Normal 2 5 4 4 3 2" xfId="2383"/>
    <cellStyle name="Normal 2 5 4 4 3 2 2" xfId="16018"/>
    <cellStyle name="Normal 2 5 4 4 3 2 3" xfId="12465"/>
    <cellStyle name="Normal 2 5 4 4 3 2 4" xfId="7004"/>
    <cellStyle name="Normal 2 5 4 4 3 3" xfId="3651"/>
    <cellStyle name="Normal 2 5 4 4 3 3 2" xfId="17297"/>
    <cellStyle name="Normal 2 5 4 4 3 3 3" xfId="13718"/>
    <cellStyle name="Normal 2 5 4 4 3 3 4" xfId="8461"/>
    <cellStyle name="Normal 2 5 4 4 3 4" xfId="6120"/>
    <cellStyle name="Normal 2 5 4 4 3 4 2" xfId="15204"/>
    <cellStyle name="Normal 2 5 4 4 3 5" xfId="9915"/>
    <cellStyle name="Normal 2 5 4 4 3 5 2" xfId="18742"/>
    <cellStyle name="Normal 2 5 4 4 3 6" xfId="11359"/>
    <cellStyle name="Normal 2 5 4 4 3 7" xfId="4598"/>
    <cellStyle name="Normal 2 5 4 4 4" xfId="1011"/>
    <cellStyle name="Normal 2 5 4 4 4 2" xfId="2731"/>
    <cellStyle name="Normal 2 5 4 4 4 2 2" xfId="16272"/>
    <cellStyle name="Normal 2 5 4 4 4 2 3" xfId="12694"/>
    <cellStyle name="Normal 2 5 4 4 4 2 4" xfId="7404"/>
    <cellStyle name="Normal 2 5 4 4 4 3" xfId="4000"/>
    <cellStyle name="Normal 2 5 4 4 4 3 2" xfId="17645"/>
    <cellStyle name="Normal 2 5 4 4 4 3 3" xfId="14066"/>
    <cellStyle name="Normal 2 5 4 4 4 3 4" xfId="8809"/>
    <cellStyle name="Normal 2 5 4 4 4 4" xfId="6520"/>
    <cellStyle name="Normal 2 5 4 4 4 4 2" xfId="15604"/>
    <cellStyle name="Normal 2 5 4 4 4 5" xfId="10263"/>
    <cellStyle name="Normal 2 5 4 4 4 5 2" xfId="19090"/>
    <cellStyle name="Normal 2 5 4 4 4 6" xfId="11709"/>
    <cellStyle name="Normal 2 5 4 4 4 7" xfId="4998"/>
    <cellStyle name="Normal 2 5 4 4 5" xfId="1426"/>
    <cellStyle name="Normal 2 5 4 4 5 2" xfId="3031"/>
    <cellStyle name="Normal 2 5 4 4 5 2 2" xfId="16581"/>
    <cellStyle name="Normal 2 5 4 4 5 2 3" xfId="13002"/>
    <cellStyle name="Normal 2 5 4 4 5 2 4" xfId="7713"/>
    <cellStyle name="Normal 2 5 4 4 5 3" xfId="4240"/>
    <cellStyle name="Normal 2 5 4 4 5 3 2" xfId="17945"/>
    <cellStyle name="Normal 2 5 4 4 5 3 3" xfId="14366"/>
    <cellStyle name="Normal 2 5 4 4 5 3 4" xfId="9109"/>
    <cellStyle name="Normal 2 5 4 4 5 4" xfId="6006"/>
    <cellStyle name="Normal 2 5 4 4 5 4 2" xfId="15092"/>
    <cellStyle name="Normal 2 5 4 4 5 5" xfId="10563"/>
    <cellStyle name="Normal 2 5 4 4 5 5 2" xfId="19390"/>
    <cellStyle name="Normal 2 5 4 4 5 6" xfId="12009"/>
    <cellStyle name="Normal 2 5 4 4 5 7" xfId="5307"/>
    <cellStyle name="Normal 2 5 4 4 6" xfId="1988"/>
    <cellStyle name="Normal 2 5 4 4 6 2" xfId="15935"/>
    <cellStyle name="Normal 2 5 4 4 6 3" xfId="12496"/>
    <cellStyle name="Normal 2 5 4 4 6 4" xfId="6892"/>
    <cellStyle name="Normal 2 5 4 4 7" xfId="3403"/>
    <cellStyle name="Normal 2 5 4 4 7 2" xfId="16902"/>
    <cellStyle name="Normal 2 5 4 4 7 3" xfId="13323"/>
    <cellStyle name="Normal 2 5 4 4 7 4" xfId="8066"/>
    <cellStyle name="Normal 2 5 4 4 8" xfId="5627"/>
    <cellStyle name="Normal 2 5 4 4 8 2" xfId="14713"/>
    <cellStyle name="Normal 2 5 4 4 9" xfId="9520"/>
    <cellStyle name="Normal 2 5 4 4 9 2" xfId="18347"/>
    <cellStyle name="Normal 2 5 4 4_Degree data" xfId="1270"/>
    <cellStyle name="Normal 2 5 4 5" xfId="318"/>
    <cellStyle name="Normal 2 5 4 5 2" xfId="655"/>
    <cellStyle name="Normal 2 5 4 5 2 2" xfId="2385"/>
    <cellStyle name="Normal 2 5 4 5 2 2 2" xfId="16274"/>
    <cellStyle name="Normal 2 5 4 5 2 2 3" xfId="12696"/>
    <cellStyle name="Normal 2 5 4 5 2 2 4" xfId="7406"/>
    <cellStyle name="Normal 2 5 4 5 2 3" xfId="3653"/>
    <cellStyle name="Normal 2 5 4 5 2 3 2" xfId="17299"/>
    <cellStyle name="Normal 2 5 4 5 2 3 3" xfId="13720"/>
    <cellStyle name="Normal 2 5 4 5 2 3 4" xfId="8463"/>
    <cellStyle name="Normal 2 5 4 5 2 4" xfId="6522"/>
    <cellStyle name="Normal 2 5 4 5 2 4 2" xfId="15606"/>
    <cellStyle name="Normal 2 5 4 5 2 5" xfId="9917"/>
    <cellStyle name="Normal 2 5 4 5 2 5 2" xfId="18744"/>
    <cellStyle name="Normal 2 5 4 5 2 6" xfId="11361"/>
    <cellStyle name="Normal 2 5 4 5 2 7" xfId="5000"/>
    <cellStyle name="Normal 2 5 4 5 3" xfId="1013"/>
    <cellStyle name="Normal 2 5 4 5 3 2" xfId="2733"/>
    <cellStyle name="Normal 2 5 4 5 3 2 2" xfId="16681"/>
    <cellStyle name="Normal 2 5 4 5 3 2 3" xfId="13102"/>
    <cellStyle name="Normal 2 5 4 5 3 2 4" xfId="7813"/>
    <cellStyle name="Normal 2 5 4 5 3 3" xfId="4002"/>
    <cellStyle name="Normal 2 5 4 5 3 3 2" xfId="17647"/>
    <cellStyle name="Normal 2 5 4 5 3 3 3" xfId="14068"/>
    <cellStyle name="Normal 2 5 4 5 3 3 4" xfId="8811"/>
    <cellStyle name="Normal 2 5 4 5 3 4" xfId="6220"/>
    <cellStyle name="Normal 2 5 4 5 3 4 2" xfId="15304"/>
    <cellStyle name="Normal 2 5 4 5 3 5" xfId="10265"/>
    <cellStyle name="Normal 2 5 4 5 3 5 2" xfId="19092"/>
    <cellStyle name="Normal 2 5 4 5 3 6" xfId="11711"/>
    <cellStyle name="Normal 2 5 4 5 3 7" xfId="5407"/>
    <cellStyle name="Normal 2 5 4 5 4" xfId="1532"/>
    <cellStyle name="Normal 2 5 4 5 4 2" xfId="3131"/>
    <cellStyle name="Normal 2 5 4 5 4 2 2" xfId="18045"/>
    <cellStyle name="Normal 2 5 4 5 4 2 3" xfId="14466"/>
    <cellStyle name="Normal 2 5 4 5 4 2 4" xfId="9209"/>
    <cellStyle name="Normal 2 5 4 5 4 3" xfId="10663"/>
    <cellStyle name="Normal 2 5 4 5 4 3 2" xfId="19490"/>
    <cellStyle name="Normal 2 5 4 5 4 4" xfId="12109"/>
    <cellStyle name="Normal 2 5 4 5 4 5" xfId="7104"/>
    <cellStyle name="Normal 2 5 4 5 5" xfId="2088"/>
    <cellStyle name="Normal 2 5 4 5 5 2" xfId="17002"/>
    <cellStyle name="Normal 2 5 4 5 5 3" xfId="13423"/>
    <cellStyle name="Normal 2 5 4 5 5 4" xfId="8166"/>
    <cellStyle name="Normal 2 5 4 5 6" xfId="5727"/>
    <cellStyle name="Normal 2 5 4 5 6 2" xfId="14813"/>
    <cellStyle name="Normal 2 5 4 5 7" xfId="9620"/>
    <cellStyle name="Normal 2 5 4 5 7 2" xfId="18447"/>
    <cellStyle name="Normal 2 5 4 5 8" xfId="11064"/>
    <cellStyle name="Normal 2 5 4 5 9" xfId="4698"/>
    <cellStyle name="Normal 2 5 4 5_Degree data" xfId="1321"/>
    <cellStyle name="Normal 2 5 4 6" xfId="502"/>
    <cellStyle name="Normal 2 5 4 6 2" xfId="656"/>
    <cellStyle name="Normal 2 5 4 6 2 2" xfId="2386"/>
    <cellStyle name="Normal 2 5 4 6 2 2 2" xfId="16275"/>
    <cellStyle name="Normal 2 5 4 6 2 2 3" xfId="12697"/>
    <cellStyle name="Normal 2 5 4 6 2 2 4" xfId="7407"/>
    <cellStyle name="Normal 2 5 4 6 2 3" xfId="3654"/>
    <cellStyle name="Normal 2 5 4 6 2 3 2" xfId="17300"/>
    <cellStyle name="Normal 2 5 4 6 2 3 3" xfId="13721"/>
    <cellStyle name="Normal 2 5 4 6 2 3 4" xfId="8464"/>
    <cellStyle name="Normal 2 5 4 6 2 4" xfId="6523"/>
    <cellStyle name="Normal 2 5 4 6 2 4 2" xfId="15607"/>
    <cellStyle name="Normal 2 5 4 6 2 5" xfId="9918"/>
    <cellStyle name="Normal 2 5 4 6 2 5 2" xfId="18745"/>
    <cellStyle name="Normal 2 5 4 6 2 6" xfId="11362"/>
    <cellStyle name="Normal 2 5 4 6 2 7" xfId="5001"/>
    <cellStyle name="Normal 2 5 4 6 3" xfId="1014"/>
    <cellStyle name="Normal 2 5 4 6 3 2" xfId="2734"/>
    <cellStyle name="Normal 2 5 4 6 3 2 2" xfId="16557"/>
    <cellStyle name="Normal 2 5 4 6 3 2 3" xfId="12978"/>
    <cellStyle name="Normal 2 5 4 6 3 2 4" xfId="7689"/>
    <cellStyle name="Normal 2 5 4 6 3 3" xfId="4003"/>
    <cellStyle name="Normal 2 5 4 6 3 3 2" xfId="17648"/>
    <cellStyle name="Normal 2 5 4 6 3 3 3" xfId="14069"/>
    <cellStyle name="Normal 2 5 4 6 3 3 4" xfId="8812"/>
    <cellStyle name="Normal 2 5 4 6 3 4" xfId="6750"/>
    <cellStyle name="Normal 2 5 4 6 3 4 2" xfId="15833"/>
    <cellStyle name="Normal 2 5 4 6 3 5" xfId="10266"/>
    <cellStyle name="Normal 2 5 4 6 3 5 2" xfId="19093"/>
    <cellStyle name="Normal 2 5 4 6 3 6" xfId="11712"/>
    <cellStyle name="Normal 2 5 4 6 3 7" xfId="5283"/>
    <cellStyle name="Normal 2 5 4 6 4" xfId="1398"/>
    <cellStyle name="Normal 2 5 4 6 4 2" xfId="3007"/>
    <cellStyle name="Normal 2 5 4 6 4 2 2" xfId="17921"/>
    <cellStyle name="Normal 2 5 4 6 4 2 3" xfId="14342"/>
    <cellStyle name="Normal 2 5 4 6 4 2 4" xfId="9085"/>
    <cellStyle name="Normal 2 5 4 6 4 3" xfId="10539"/>
    <cellStyle name="Normal 2 5 4 6 4 3 2" xfId="19366"/>
    <cellStyle name="Normal 2 5 4 6 4 4" xfId="11985"/>
    <cellStyle name="Normal 2 5 4 6 4 5" xfId="6980"/>
    <cellStyle name="Normal 2 5 4 6 5" xfId="1964"/>
    <cellStyle name="Normal 2 5 4 6 5 2" xfId="16876"/>
    <cellStyle name="Normal 2 5 4 6 5 3" xfId="13297"/>
    <cellStyle name="Normal 2 5 4 6 5 4" xfId="8040"/>
    <cellStyle name="Normal 2 5 4 6 6" xfId="6096"/>
    <cellStyle name="Normal 2 5 4 6 6 2" xfId="15180"/>
    <cellStyle name="Normal 2 5 4 6 7" xfId="9496"/>
    <cellStyle name="Normal 2 5 4 6 7 2" xfId="18323"/>
    <cellStyle name="Normal 2 5 4 6 8" xfId="10940"/>
    <cellStyle name="Normal 2 5 4 6 9" xfId="4574"/>
    <cellStyle name="Normal 2 5 4 6_Degree data" xfId="1233"/>
    <cellStyle name="Normal 2 5 4 7" xfId="647"/>
    <cellStyle name="Normal 2 5 4 7 2" xfId="2377"/>
    <cellStyle name="Normal 2 5 4 7 2 2" xfId="16266"/>
    <cellStyle name="Normal 2 5 4 7 2 3" xfId="12688"/>
    <cellStyle name="Normal 2 5 4 7 2 4" xfId="7398"/>
    <cellStyle name="Normal 2 5 4 7 3" xfId="3645"/>
    <cellStyle name="Normal 2 5 4 7 3 2" xfId="17291"/>
    <cellStyle name="Normal 2 5 4 7 3 3" xfId="13712"/>
    <cellStyle name="Normal 2 5 4 7 3 4" xfId="8455"/>
    <cellStyle name="Normal 2 5 4 7 4" xfId="6514"/>
    <cellStyle name="Normal 2 5 4 7 4 2" xfId="15598"/>
    <cellStyle name="Normal 2 5 4 7 5" xfId="9909"/>
    <cellStyle name="Normal 2 5 4 7 5 2" xfId="18736"/>
    <cellStyle name="Normal 2 5 4 7 6" xfId="11353"/>
    <cellStyle name="Normal 2 5 4 7 7" xfId="4992"/>
    <cellStyle name="Normal 2 5 4 8" xfId="1005"/>
    <cellStyle name="Normal 2 5 4 8 2" xfId="2725"/>
    <cellStyle name="Normal 2 5 4 8 2 2" xfId="16512"/>
    <cellStyle name="Normal 2 5 4 8 2 3" xfId="12934"/>
    <cellStyle name="Normal 2 5 4 8 2 4" xfId="7644"/>
    <cellStyle name="Normal 2 5 4 8 3" xfId="3994"/>
    <cellStyle name="Normal 2 5 4 8 3 2" xfId="17639"/>
    <cellStyle name="Normal 2 5 4 8 3 3" xfId="14060"/>
    <cellStyle name="Normal 2 5 4 8 3 4" xfId="8803"/>
    <cellStyle name="Normal 2 5 4 8 4" xfId="5900"/>
    <cellStyle name="Normal 2 5 4 8 4 2" xfId="14986"/>
    <cellStyle name="Normal 2 5 4 8 5" xfId="10257"/>
    <cellStyle name="Normal 2 5 4 8 5 2" xfId="19084"/>
    <cellStyle name="Normal 2 5 4 8 6" xfId="11703"/>
    <cellStyle name="Normal 2 5 4 8 7" xfId="5238"/>
    <cellStyle name="Normal 2 5 4 9" xfId="1349"/>
    <cellStyle name="Normal 2 5 4 9 2" xfId="2962"/>
    <cellStyle name="Normal 2 5 4 9 2 2" xfId="17876"/>
    <cellStyle name="Normal 2 5 4 9 2 3" xfId="14297"/>
    <cellStyle name="Normal 2 5 4 9 2 4" xfId="9040"/>
    <cellStyle name="Normal 2 5 4 9 3" xfId="10494"/>
    <cellStyle name="Normal 2 5 4 9 3 2" xfId="19321"/>
    <cellStyle name="Normal 2 5 4 9 4" xfId="11940"/>
    <cellStyle name="Normal 2 5 4 9 5" xfId="6787"/>
    <cellStyle name="Normal 2 5 4_Degree data" xfId="1237"/>
    <cellStyle name="Normal 2 5 5" xfId="146"/>
    <cellStyle name="Normal 2 5 5 10" xfId="5573"/>
    <cellStyle name="Normal 2 5 5 10 2" xfId="14659"/>
    <cellStyle name="Normal 2 5 5 11" xfId="9393"/>
    <cellStyle name="Normal 2 5 5 11 2" xfId="18220"/>
    <cellStyle name="Normal 2 5 5 12" xfId="10833"/>
    <cellStyle name="Normal 2 5 5 13" xfId="4386"/>
    <cellStyle name="Normal 2 5 5 2" xfId="258"/>
    <cellStyle name="Normal 2 5 5 2 10" xfId="11012"/>
    <cellStyle name="Normal 2 5 5 2 11" xfId="4429"/>
    <cellStyle name="Normal 2 5 5 2 2" xfId="366"/>
    <cellStyle name="Normal 2 5 5 2 2 2" xfId="659"/>
    <cellStyle name="Normal 2 5 5 2 2 2 2" xfId="2389"/>
    <cellStyle name="Normal 2 5 5 2 2 2 2 2" xfId="16278"/>
    <cellStyle name="Normal 2 5 5 2 2 2 2 3" xfId="12700"/>
    <cellStyle name="Normal 2 5 5 2 2 2 2 4" xfId="7410"/>
    <cellStyle name="Normal 2 5 5 2 2 2 3" xfId="3657"/>
    <cellStyle name="Normal 2 5 5 2 2 2 3 2" xfId="17303"/>
    <cellStyle name="Normal 2 5 5 2 2 2 3 3" xfId="13724"/>
    <cellStyle name="Normal 2 5 5 2 2 2 3 4" xfId="8467"/>
    <cellStyle name="Normal 2 5 5 2 2 2 4" xfId="6526"/>
    <cellStyle name="Normal 2 5 5 2 2 2 4 2" xfId="15610"/>
    <cellStyle name="Normal 2 5 5 2 2 2 5" xfId="9921"/>
    <cellStyle name="Normal 2 5 5 2 2 2 5 2" xfId="18748"/>
    <cellStyle name="Normal 2 5 5 2 2 2 6" xfId="11365"/>
    <cellStyle name="Normal 2 5 5 2 2 2 7" xfId="5004"/>
    <cellStyle name="Normal 2 5 5 2 2 3" xfId="1017"/>
    <cellStyle name="Normal 2 5 5 2 2 3 2" xfId="2737"/>
    <cellStyle name="Normal 2 5 5 2 2 3 2 2" xfId="16729"/>
    <cellStyle name="Normal 2 5 5 2 2 3 2 3" xfId="13150"/>
    <cellStyle name="Normal 2 5 5 2 2 3 2 4" xfId="7861"/>
    <cellStyle name="Normal 2 5 5 2 2 3 3" xfId="4006"/>
    <cellStyle name="Normal 2 5 5 2 2 3 3 2" xfId="17651"/>
    <cellStyle name="Normal 2 5 5 2 2 3 3 3" xfId="14072"/>
    <cellStyle name="Normal 2 5 5 2 2 3 3 4" xfId="8815"/>
    <cellStyle name="Normal 2 5 5 2 2 3 4" xfId="6268"/>
    <cellStyle name="Normal 2 5 5 2 2 3 4 2" xfId="15352"/>
    <cellStyle name="Normal 2 5 5 2 2 3 5" xfId="10269"/>
    <cellStyle name="Normal 2 5 5 2 2 3 5 2" xfId="19096"/>
    <cellStyle name="Normal 2 5 5 2 2 3 6" xfId="11715"/>
    <cellStyle name="Normal 2 5 5 2 2 3 7" xfId="5455"/>
    <cellStyle name="Normal 2 5 5 2 2 4" xfId="1581"/>
    <cellStyle name="Normal 2 5 5 2 2 4 2" xfId="3179"/>
    <cellStyle name="Normal 2 5 5 2 2 4 2 2" xfId="18093"/>
    <cellStyle name="Normal 2 5 5 2 2 4 2 3" xfId="14514"/>
    <cellStyle name="Normal 2 5 5 2 2 4 2 4" xfId="9257"/>
    <cellStyle name="Normal 2 5 5 2 2 4 3" xfId="10711"/>
    <cellStyle name="Normal 2 5 5 2 2 4 3 2" xfId="19538"/>
    <cellStyle name="Normal 2 5 5 2 2 4 4" xfId="12157"/>
    <cellStyle name="Normal 2 5 5 2 2 4 5" xfId="7152"/>
    <cellStyle name="Normal 2 5 5 2 2 5" xfId="2136"/>
    <cellStyle name="Normal 2 5 5 2 2 5 2" xfId="17050"/>
    <cellStyle name="Normal 2 5 5 2 2 5 3" xfId="13471"/>
    <cellStyle name="Normal 2 5 5 2 2 5 4" xfId="8214"/>
    <cellStyle name="Normal 2 5 5 2 2 6" xfId="5775"/>
    <cellStyle name="Normal 2 5 5 2 2 6 2" xfId="14861"/>
    <cellStyle name="Normal 2 5 5 2 2 7" xfId="9668"/>
    <cellStyle name="Normal 2 5 5 2 2 7 2" xfId="18495"/>
    <cellStyle name="Normal 2 5 5 2 2 8" xfId="11112"/>
    <cellStyle name="Normal 2 5 5 2 2 9" xfId="4746"/>
    <cellStyle name="Normal 2 5 5 2 2_Degree data" xfId="1230"/>
    <cellStyle name="Normal 2 5 5 2 3" xfId="658"/>
    <cellStyle name="Normal 2 5 5 2 3 2" xfId="2388"/>
    <cellStyle name="Normal 2 5 5 2 3 2 2" xfId="16066"/>
    <cellStyle name="Normal 2 5 5 2 3 2 3" xfId="12332"/>
    <cellStyle name="Normal 2 5 5 2 3 2 4" xfId="7052"/>
    <cellStyle name="Normal 2 5 5 2 3 3" xfId="3656"/>
    <cellStyle name="Normal 2 5 5 2 3 3 2" xfId="17302"/>
    <cellStyle name="Normal 2 5 5 2 3 3 3" xfId="13723"/>
    <cellStyle name="Normal 2 5 5 2 3 3 4" xfId="8466"/>
    <cellStyle name="Normal 2 5 5 2 3 4" xfId="6168"/>
    <cellStyle name="Normal 2 5 5 2 3 4 2" xfId="15252"/>
    <cellStyle name="Normal 2 5 5 2 3 5" xfId="9920"/>
    <cellStyle name="Normal 2 5 5 2 3 5 2" xfId="18747"/>
    <cellStyle name="Normal 2 5 5 2 3 6" xfId="11364"/>
    <cellStyle name="Normal 2 5 5 2 3 7" xfId="4646"/>
    <cellStyle name="Normal 2 5 5 2 4" xfId="1016"/>
    <cellStyle name="Normal 2 5 5 2 4 2" xfId="2736"/>
    <cellStyle name="Normal 2 5 5 2 4 2 2" xfId="16277"/>
    <cellStyle name="Normal 2 5 5 2 4 2 3" xfId="12699"/>
    <cellStyle name="Normal 2 5 5 2 4 2 4" xfId="7409"/>
    <cellStyle name="Normal 2 5 5 2 4 3" xfId="4005"/>
    <cellStyle name="Normal 2 5 5 2 4 3 2" xfId="17650"/>
    <cellStyle name="Normal 2 5 5 2 4 3 3" xfId="14071"/>
    <cellStyle name="Normal 2 5 5 2 4 3 4" xfId="8814"/>
    <cellStyle name="Normal 2 5 5 2 4 4" xfId="6525"/>
    <cellStyle name="Normal 2 5 5 2 4 4 2" xfId="15609"/>
    <cellStyle name="Normal 2 5 5 2 4 5" xfId="10268"/>
    <cellStyle name="Normal 2 5 5 2 4 5 2" xfId="19095"/>
    <cellStyle name="Normal 2 5 5 2 4 6" xfId="11714"/>
    <cellStyle name="Normal 2 5 5 2 4 7" xfId="5003"/>
    <cellStyle name="Normal 2 5 5 2 5" xfId="1479"/>
    <cellStyle name="Normal 2 5 5 2 5 2" xfId="3079"/>
    <cellStyle name="Normal 2 5 5 2 5 2 2" xfId="16629"/>
    <cellStyle name="Normal 2 5 5 2 5 2 3" xfId="13050"/>
    <cellStyle name="Normal 2 5 5 2 5 2 4" xfId="7761"/>
    <cellStyle name="Normal 2 5 5 2 5 3" xfId="4288"/>
    <cellStyle name="Normal 2 5 5 2 5 3 2" xfId="17993"/>
    <cellStyle name="Normal 2 5 5 2 5 3 3" xfId="14414"/>
    <cellStyle name="Normal 2 5 5 2 5 3 4" xfId="9157"/>
    <cellStyle name="Normal 2 5 5 2 5 4" xfId="5949"/>
    <cellStyle name="Normal 2 5 5 2 5 4 2" xfId="15035"/>
    <cellStyle name="Normal 2 5 5 2 5 5" xfId="10611"/>
    <cellStyle name="Normal 2 5 5 2 5 5 2" xfId="19438"/>
    <cellStyle name="Normal 2 5 5 2 5 6" xfId="12057"/>
    <cellStyle name="Normal 2 5 5 2 5 7" xfId="5355"/>
    <cellStyle name="Normal 2 5 5 2 6" xfId="2036"/>
    <cellStyle name="Normal 2 5 5 2 6 2" xfId="15878"/>
    <cellStyle name="Normal 2 5 5 2 6 3" xfId="12377"/>
    <cellStyle name="Normal 2 5 5 2 6 4" xfId="6835"/>
    <cellStyle name="Normal 2 5 5 2 7" xfId="3450"/>
    <cellStyle name="Normal 2 5 5 2 7 2" xfId="16950"/>
    <cellStyle name="Normal 2 5 5 2 7 3" xfId="13371"/>
    <cellStyle name="Normal 2 5 5 2 7 4" xfId="8114"/>
    <cellStyle name="Normal 2 5 5 2 8" xfId="5675"/>
    <cellStyle name="Normal 2 5 5 2 8 2" xfId="14761"/>
    <cellStyle name="Normal 2 5 5 2 9" xfId="9568"/>
    <cellStyle name="Normal 2 5 5 2 9 2" xfId="18395"/>
    <cellStyle name="Normal 2 5 5 2_Degree data" xfId="1231"/>
    <cellStyle name="Normal 2 5 5 3" xfId="215"/>
    <cellStyle name="Normal 2 5 5 3 10" xfId="10969"/>
    <cellStyle name="Normal 2 5 5 3 11" xfId="4491"/>
    <cellStyle name="Normal 2 5 5 3 2" xfId="429"/>
    <cellStyle name="Normal 2 5 5 3 2 2" xfId="661"/>
    <cellStyle name="Normal 2 5 5 3 2 2 2" xfId="2391"/>
    <cellStyle name="Normal 2 5 5 3 2 2 2 2" xfId="16280"/>
    <cellStyle name="Normal 2 5 5 3 2 2 2 3" xfId="12702"/>
    <cellStyle name="Normal 2 5 5 3 2 2 2 4" xfId="7412"/>
    <cellStyle name="Normal 2 5 5 3 2 2 3" xfId="3659"/>
    <cellStyle name="Normal 2 5 5 3 2 2 3 2" xfId="17305"/>
    <cellStyle name="Normal 2 5 5 3 2 2 3 3" xfId="13726"/>
    <cellStyle name="Normal 2 5 5 3 2 2 3 4" xfId="8469"/>
    <cellStyle name="Normal 2 5 5 3 2 2 4" xfId="6528"/>
    <cellStyle name="Normal 2 5 5 3 2 2 4 2" xfId="15612"/>
    <cellStyle name="Normal 2 5 5 3 2 2 5" xfId="9923"/>
    <cellStyle name="Normal 2 5 5 3 2 2 5 2" xfId="18750"/>
    <cellStyle name="Normal 2 5 5 3 2 2 6" xfId="11367"/>
    <cellStyle name="Normal 2 5 5 3 2 2 7" xfId="5006"/>
    <cellStyle name="Normal 2 5 5 3 2 3" xfId="1019"/>
    <cellStyle name="Normal 2 5 5 3 2 3 2" xfId="2739"/>
    <cellStyle name="Normal 2 5 5 3 2 3 2 2" xfId="16791"/>
    <cellStyle name="Normal 2 5 5 3 2 3 2 3" xfId="13212"/>
    <cellStyle name="Normal 2 5 5 3 2 3 2 4" xfId="7923"/>
    <cellStyle name="Normal 2 5 5 3 2 3 3" xfId="4008"/>
    <cellStyle name="Normal 2 5 5 3 2 3 3 2" xfId="17653"/>
    <cellStyle name="Normal 2 5 5 3 2 3 3 3" xfId="14074"/>
    <cellStyle name="Normal 2 5 5 3 2 3 3 4" xfId="8817"/>
    <cellStyle name="Normal 2 5 5 3 2 3 4" xfId="6330"/>
    <cellStyle name="Normal 2 5 5 3 2 3 4 2" xfId="15414"/>
    <cellStyle name="Normal 2 5 5 3 2 3 5" xfId="10271"/>
    <cellStyle name="Normal 2 5 5 3 2 3 5 2" xfId="19098"/>
    <cellStyle name="Normal 2 5 5 3 2 3 6" xfId="11717"/>
    <cellStyle name="Normal 2 5 5 3 2 3 7" xfId="5517"/>
    <cellStyle name="Normal 2 5 5 3 2 4" xfId="1645"/>
    <cellStyle name="Normal 2 5 5 3 2 4 2" xfId="3241"/>
    <cellStyle name="Normal 2 5 5 3 2 4 2 2" xfId="18155"/>
    <cellStyle name="Normal 2 5 5 3 2 4 2 3" xfId="14576"/>
    <cellStyle name="Normal 2 5 5 3 2 4 2 4" xfId="9319"/>
    <cellStyle name="Normal 2 5 5 3 2 4 3" xfId="10773"/>
    <cellStyle name="Normal 2 5 5 3 2 4 3 2" xfId="19600"/>
    <cellStyle name="Normal 2 5 5 3 2 4 4" xfId="12219"/>
    <cellStyle name="Normal 2 5 5 3 2 4 5" xfId="7214"/>
    <cellStyle name="Normal 2 5 5 3 2 5" xfId="2198"/>
    <cellStyle name="Normal 2 5 5 3 2 5 2" xfId="17112"/>
    <cellStyle name="Normal 2 5 5 3 2 5 3" xfId="13533"/>
    <cellStyle name="Normal 2 5 5 3 2 5 4" xfId="8276"/>
    <cellStyle name="Normal 2 5 5 3 2 6" xfId="5837"/>
    <cellStyle name="Normal 2 5 5 3 2 6 2" xfId="14923"/>
    <cellStyle name="Normal 2 5 5 3 2 7" xfId="9730"/>
    <cellStyle name="Normal 2 5 5 3 2 7 2" xfId="18557"/>
    <cellStyle name="Normal 2 5 5 3 2 8" xfId="11174"/>
    <cellStyle name="Normal 2 5 5 3 2 9" xfId="4808"/>
    <cellStyle name="Normal 2 5 5 3 2_Degree data" xfId="1228"/>
    <cellStyle name="Normal 2 5 5 3 3" xfId="660"/>
    <cellStyle name="Normal 2 5 5 3 3 2" xfId="2390"/>
    <cellStyle name="Normal 2 5 5 3 3 2 2" xfId="16023"/>
    <cellStyle name="Normal 2 5 5 3 3 2 3" xfId="12405"/>
    <cellStyle name="Normal 2 5 5 3 3 2 4" xfId="7009"/>
    <cellStyle name="Normal 2 5 5 3 3 3" xfId="3658"/>
    <cellStyle name="Normal 2 5 5 3 3 3 2" xfId="17304"/>
    <cellStyle name="Normal 2 5 5 3 3 3 3" xfId="13725"/>
    <cellStyle name="Normal 2 5 5 3 3 3 4" xfId="8468"/>
    <cellStyle name="Normal 2 5 5 3 3 4" xfId="6125"/>
    <cellStyle name="Normal 2 5 5 3 3 4 2" xfId="15209"/>
    <cellStyle name="Normal 2 5 5 3 3 5" xfId="9922"/>
    <cellStyle name="Normal 2 5 5 3 3 5 2" xfId="18749"/>
    <cellStyle name="Normal 2 5 5 3 3 6" xfId="11366"/>
    <cellStyle name="Normal 2 5 5 3 3 7" xfId="4603"/>
    <cellStyle name="Normal 2 5 5 3 4" xfId="1018"/>
    <cellStyle name="Normal 2 5 5 3 4 2" xfId="2738"/>
    <cellStyle name="Normal 2 5 5 3 4 2 2" xfId="16279"/>
    <cellStyle name="Normal 2 5 5 3 4 2 3" xfId="12701"/>
    <cellStyle name="Normal 2 5 5 3 4 2 4" xfId="7411"/>
    <cellStyle name="Normal 2 5 5 3 4 3" xfId="4007"/>
    <cellStyle name="Normal 2 5 5 3 4 3 2" xfId="17652"/>
    <cellStyle name="Normal 2 5 5 3 4 3 3" xfId="14073"/>
    <cellStyle name="Normal 2 5 5 3 4 3 4" xfId="8816"/>
    <cellStyle name="Normal 2 5 5 3 4 4" xfId="6527"/>
    <cellStyle name="Normal 2 5 5 3 4 4 2" xfId="15611"/>
    <cellStyle name="Normal 2 5 5 3 4 5" xfId="10270"/>
    <cellStyle name="Normal 2 5 5 3 4 5 2" xfId="19097"/>
    <cellStyle name="Normal 2 5 5 3 4 6" xfId="11716"/>
    <cellStyle name="Normal 2 5 5 3 4 7" xfId="5005"/>
    <cellStyle name="Normal 2 5 5 3 5" xfId="1434"/>
    <cellStyle name="Normal 2 5 5 3 5 2" xfId="3036"/>
    <cellStyle name="Normal 2 5 5 3 5 2 2" xfId="16586"/>
    <cellStyle name="Normal 2 5 5 3 5 2 3" xfId="13007"/>
    <cellStyle name="Normal 2 5 5 3 5 2 4" xfId="7718"/>
    <cellStyle name="Normal 2 5 5 3 5 3" xfId="4245"/>
    <cellStyle name="Normal 2 5 5 3 5 3 2" xfId="17950"/>
    <cellStyle name="Normal 2 5 5 3 5 3 3" xfId="14371"/>
    <cellStyle name="Normal 2 5 5 3 5 3 4" xfId="9114"/>
    <cellStyle name="Normal 2 5 5 3 5 4" xfId="6011"/>
    <cellStyle name="Normal 2 5 5 3 5 4 2" xfId="15097"/>
    <cellStyle name="Normal 2 5 5 3 5 5" xfId="10568"/>
    <cellStyle name="Normal 2 5 5 3 5 5 2" xfId="19395"/>
    <cellStyle name="Normal 2 5 5 3 5 6" xfId="12014"/>
    <cellStyle name="Normal 2 5 5 3 5 7" xfId="5312"/>
    <cellStyle name="Normal 2 5 5 3 6" xfId="1993"/>
    <cellStyle name="Normal 2 5 5 3 6 2" xfId="15940"/>
    <cellStyle name="Normal 2 5 5 3 6 3" xfId="12425"/>
    <cellStyle name="Normal 2 5 5 3 6 4" xfId="6897"/>
    <cellStyle name="Normal 2 5 5 3 7" xfId="3408"/>
    <cellStyle name="Normal 2 5 5 3 7 2" xfId="16907"/>
    <cellStyle name="Normal 2 5 5 3 7 3" xfId="13328"/>
    <cellStyle name="Normal 2 5 5 3 7 4" xfId="8071"/>
    <cellStyle name="Normal 2 5 5 3 8" xfId="5632"/>
    <cellStyle name="Normal 2 5 5 3 8 2" xfId="14718"/>
    <cellStyle name="Normal 2 5 5 3 9" xfId="9525"/>
    <cellStyle name="Normal 2 5 5 3 9 2" xfId="18352"/>
    <cellStyle name="Normal 2 5 5 3_Degree data" xfId="1229"/>
    <cellStyle name="Normal 2 5 5 4" xfId="323"/>
    <cellStyle name="Normal 2 5 5 4 2" xfId="662"/>
    <cellStyle name="Normal 2 5 5 4 2 2" xfId="2392"/>
    <cellStyle name="Normal 2 5 5 4 2 2 2" xfId="16281"/>
    <cellStyle name="Normal 2 5 5 4 2 2 3" xfId="12703"/>
    <cellStyle name="Normal 2 5 5 4 2 2 4" xfId="7413"/>
    <cellStyle name="Normal 2 5 5 4 2 3" xfId="3660"/>
    <cellStyle name="Normal 2 5 5 4 2 3 2" xfId="17306"/>
    <cellStyle name="Normal 2 5 5 4 2 3 3" xfId="13727"/>
    <cellStyle name="Normal 2 5 5 4 2 3 4" xfId="8470"/>
    <cellStyle name="Normal 2 5 5 4 2 4" xfId="6529"/>
    <cellStyle name="Normal 2 5 5 4 2 4 2" xfId="15613"/>
    <cellStyle name="Normal 2 5 5 4 2 5" xfId="9924"/>
    <cellStyle name="Normal 2 5 5 4 2 5 2" xfId="18751"/>
    <cellStyle name="Normal 2 5 5 4 2 6" xfId="11368"/>
    <cellStyle name="Normal 2 5 5 4 2 7" xfId="5007"/>
    <cellStyle name="Normal 2 5 5 4 3" xfId="1020"/>
    <cellStyle name="Normal 2 5 5 4 3 2" xfId="2740"/>
    <cellStyle name="Normal 2 5 5 4 3 2 2" xfId="16686"/>
    <cellStyle name="Normal 2 5 5 4 3 2 3" xfId="13107"/>
    <cellStyle name="Normal 2 5 5 4 3 2 4" xfId="7818"/>
    <cellStyle name="Normal 2 5 5 4 3 3" xfId="4009"/>
    <cellStyle name="Normal 2 5 5 4 3 3 2" xfId="17654"/>
    <cellStyle name="Normal 2 5 5 4 3 3 3" xfId="14075"/>
    <cellStyle name="Normal 2 5 5 4 3 3 4" xfId="8818"/>
    <cellStyle name="Normal 2 5 5 4 3 4" xfId="6225"/>
    <cellStyle name="Normal 2 5 5 4 3 4 2" xfId="15309"/>
    <cellStyle name="Normal 2 5 5 4 3 5" xfId="10272"/>
    <cellStyle name="Normal 2 5 5 4 3 5 2" xfId="19099"/>
    <cellStyle name="Normal 2 5 5 4 3 6" xfId="11718"/>
    <cellStyle name="Normal 2 5 5 4 3 7" xfId="5412"/>
    <cellStyle name="Normal 2 5 5 4 4" xfId="1537"/>
    <cellStyle name="Normal 2 5 5 4 4 2" xfId="3136"/>
    <cellStyle name="Normal 2 5 5 4 4 2 2" xfId="18050"/>
    <cellStyle name="Normal 2 5 5 4 4 2 3" xfId="14471"/>
    <cellStyle name="Normal 2 5 5 4 4 2 4" xfId="9214"/>
    <cellStyle name="Normal 2 5 5 4 4 3" xfId="10668"/>
    <cellStyle name="Normal 2 5 5 4 4 3 2" xfId="19495"/>
    <cellStyle name="Normal 2 5 5 4 4 4" xfId="12114"/>
    <cellStyle name="Normal 2 5 5 4 4 5" xfId="7109"/>
    <cellStyle name="Normal 2 5 5 4 5" xfId="2093"/>
    <cellStyle name="Normal 2 5 5 4 5 2" xfId="17007"/>
    <cellStyle name="Normal 2 5 5 4 5 3" xfId="13428"/>
    <cellStyle name="Normal 2 5 5 4 5 4" xfId="8171"/>
    <cellStyle name="Normal 2 5 5 4 6" xfId="5732"/>
    <cellStyle name="Normal 2 5 5 4 6 2" xfId="14818"/>
    <cellStyle name="Normal 2 5 5 4 7" xfId="9625"/>
    <cellStyle name="Normal 2 5 5 4 7 2" xfId="18452"/>
    <cellStyle name="Normal 2 5 5 4 8" xfId="11069"/>
    <cellStyle name="Normal 2 5 5 4 9" xfId="4703"/>
    <cellStyle name="Normal 2 5 5 4_Degree data" xfId="1227"/>
    <cellStyle name="Normal 2 5 5 5" xfId="657"/>
    <cellStyle name="Normal 2 5 5 5 2" xfId="2387"/>
    <cellStyle name="Normal 2 5 5 5 2 2" xfId="15980"/>
    <cellStyle name="Normal 2 5 5 5 2 3" xfId="12277"/>
    <cellStyle name="Normal 2 5 5 5 2 4" xfId="6950"/>
    <cellStyle name="Normal 2 5 5 5 3" xfId="3655"/>
    <cellStyle name="Normal 2 5 5 5 3 2" xfId="17301"/>
    <cellStyle name="Normal 2 5 5 5 3 3" xfId="13722"/>
    <cellStyle name="Normal 2 5 5 5 3 4" xfId="8465"/>
    <cellStyle name="Normal 2 5 5 5 4" xfId="6066"/>
    <cellStyle name="Normal 2 5 5 5 4 2" xfId="15150"/>
    <cellStyle name="Normal 2 5 5 5 5" xfId="9919"/>
    <cellStyle name="Normal 2 5 5 5 5 2" xfId="18746"/>
    <cellStyle name="Normal 2 5 5 5 6" xfId="11363"/>
    <cellStyle name="Normal 2 5 5 5 7" xfId="4544"/>
    <cellStyle name="Normal 2 5 5 6" xfId="1015"/>
    <cellStyle name="Normal 2 5 5 6 2" xfId="2735"/>
    <cellStyle name="Normal 2 5 5 6 2 2" xfId="16276"/>
    <cellStyle name="Normal 2 5 5 6 2 3" xfId="12698"/>
    <cellStyle name="Normal 2 5 5 6 2 4" xfId="7408"/>
    <cellStyle name="Normal 2 5 5 6 3" xfId="4004"/>
    <cellStyle name="Normal 2 5 5 6 3 2" xfId="17649"/>
    <cellStyle name="Normal 2 5 5 6 3 3" xfId="14070"/>
    <cellStyle name="Normal 2 5 5 6 3 4" xfId="8813"/>
    <cellStyle name="Normal 2 5 5 6 4" xfId="6524"/>
    <cellStyle name="Normal 2 5 5 6 4 2" xfId="15608"/>
    <cellStyle name="Normal 2 5 5 6 5" xfId="10267"/>
    <cellStyle name="Normal 2 5 5 6 5 2" xfId="19094"/>
    <cellStyle name="Normal 2 5 5 6 6" xfId="11713"/>
    <cellStyle name="Normal 2 5 5 6 7" xfId="5002"/>
    <cellStyle name="Normal 2 5 5 7" xfId="1366"/>
    <cellStyle name="Normal 2 5 5 7 2" xfId="2977"/>
    <cellStyle name="Normal 2 5 5 7 2 2" xfId="16527"/>
    <cellStyle name="Normal 2 5 5 7 2 3" xfId="12949"/>
    <cellStyle name="Normal 2 5 5 7 2 4" xfId="7659"/>
    <cellStyle name="Normal 2 5 5 7 3" xfId="4203"/>
    <cellStyle name="Normal 2 5 5 7 3 2" xfId="17891"/>
    <cellStyle name="Normal 2 5 5 7 3 3" xfId="14312"/>
    <cellStyle name="Normal 2 5 5 7 3 4" xfId="9055"/>
    <cellStyle name="Normal 2 5 5 7 4" xfId="5905"/>
    <cellStyle name="Normal 2 5 5 7 4 2" xfId="14991"/>
    <cellStyle name="Normal 2 5 5 7 5" xfId="10509"/>
    <cellStyle name="Normal 2 5 5 7 5 2" xfId="19336"/>
    <cellStyle name="Normal 2 5 5 7 6" xfId="11955"/>
    <cellStyle name="Normal 2 5 5 7 7" xfId="5253"/>
    <cellStyle name="Normal 2 5 5 8" xfId="1934"/>
    <cellStyle name="Normal 2 5 5 8 2" xfId="9466"/>
    <cellStyle name="Normal 2 5 5 8 2 2" xfId="18293"/>
    <cellStyle name="Normal 2 5 5 8 3" xfId="10910"/>
    <cellStyle name="Normal 2 5 5 8 4" xfId="6792"/>
    <cellStyle name="Normal 2 5 5 9" xfId="1858"/>
    <cellStyle name="Normal 2 5 5 9 2" xfId="16846"/>
    <cellStyle name="Normal 2 5 5 9 3" xfId="13267"/>
    <cellStyle name="Normal 2 5 5 9 4" xfId="8010"/>
    <cellStyle name="Normal 2 5 5_Degree data" xfId="1232"/>
    <cellStyle name="Normal 2 5 6" xfId="249"/>
    <cellStyle name="Normal 2 5 6 10" xfId="11003"/>
    <cellStyle name="Normal 2 5 6 11" xfId="4420"/>
    <cellStyle name="Normal 2 5 6 2" xfId="357"/>
    <cellStyle name="Normal 2 5 6 2 2" xfId="664"/>
    <cellStyle name="Normal 2 5 6 2 2 2" xfId="2394"/>
    <cellStyle name="Normal 2 5 6 2 2 2 2" xfId="16283"/>
    <cellStyle name="Normal 2 5 6 2 2 2 3" xfId="12705"/>
    <cellStyle name="Normal 2 5 6 2 2 2 4" xfId="7415"/>
    <cellStyle name="Normal 2 5 6 2 2 3" xfId="3662"/>
    <cellStyle name="Normal 2 5 6 2 2 3 2" xfId="17308"/>
    <cellStyle name="Normal 2 5 6 2 2 3 3" xfId="13729"/>
    <cellStyle name="Normal 2 5 6 2 2 3 4" xfId="8472"/>
    <cellStyle name="Normal 2 5 6 2 2 4" xfId="6531"/>
    <cellStyle name="Normal 2 5 6 2 2 4 2" xfId="15615"/>
    <cellStyle name="Normal 2 5 6 2 2 5" xfId="9926"/>
    <cellStyle name="Normal 2 5 6 2 2 5 2" xfId="18753"/>
    <cellStyle name="Normal 2 5 6 2 2 6" xfId="11370"/>
    <cellStyle name="Normal 2 5 6 2 2 7" xfId="5009"/>
    <cellStyle name="Normal 2 5 6 2 3" xfId="1022"/>
    <cellStyle name="Normal 2 5 6 2 3 2" xfId="2742"/>
    <cellStyle name="Normal 2 5 6 2 3 2 2" xfId="16720"/>
    <cellStyle name="Normal 2 5 6 2 3 2 3" xfId="13141"/>
    <cellStyle name="Normal 2 5 6 2 3 2 4" xfId="7852"/>
    <cellStyle name="Normal 2 5 6 2 3 3" xfId="4011"/>
    <cellStyle name="Normal 2 5 6 2 3 3 2" xfId="17656"/>
    <cellStyle name="Normal 2 5 6 2 3 3 3" xfId="14077"/>
    <cellStyle name="Normal 2 5 6 2 3 3 4" xfId="8820"/>
    <cellStyle name="Normal 2 5 6 2 3 4" xfId="6259"/>
    <cellStyle name="Normal 2 5 6 2 3 4 2" xfId="15343"/>
    <cellStyle name="Normal 2 5 6 2 3 5" xfId="10274"/>
    <cellStyle name="Normal 2 5 6 2 3 5 2" xfId="19101"/>
    <cellStyle name="Normal 2 5 6 2 3 6" xfId="11720"/>
    <cellStyle name="Normal 2 5 6 2 3 7" xfId="5446"/>
    <cellStyle name="Normal 2 5 6 2 4" xfId="1572"/>
    <cellStyle name="Normal 2 5 6 2 4 2" xfId="3170"/>
    <cellStyle name="Normal 2 5 6 2 4 2 2" xfId="18084"/>
    <cellStyle name="Normal 2 5 6 2 4 2 3" xfId="14505"/>
    <cellStyle name="Normal 2 5 6 2 4 2 4" xfId="9248"/>
    <cellStyle name="Normal 2 5 6 2 4 3" xfId="10702"/>
    <cellStyle name="Normal 2 5 6 2 4 3 2" xfId="19529"/>
    <cellStyle name="Normal 2 5 6 2 4 4" xfId="12148"/>
    <cellStyle name="Normal 2 5 6 2 4 5" xfId="7143"/>
    <cellStyle name="Normal 2 5 6 2 5" xfId="2127"/>
    <cellStyle name="Normal 2 5 6 2 5 2" xfId="17041"/>
    <cellStyle name="Normal 2 5 6 2 5 3" xfId="13462"/>
    <cellStyle name="Normal 2 5 6 2 5 4" xfId="8205"/>
    <cellStyle name="Normal 2 5 6 2 6" xfId="5766"/>
    <cellStyle name="Normal 2 5 6 2 6 2" xfId="14852"/>
    <cellStyle name="Normal 2 5 6 2 7" xfId="9659"/>
    <cellStyle name="Normal 2 5 6 2 7 2" xfId="18486"/>
    <cellStyle name="Normal 2 5 6 2 8" xfId="11103"/>
    <cellStyle name="Normal 2 5 6 2 9" xfId="4737"/>
    <cellStyle name="Normal 2 5 6 2_Degree data" xfId="1311"/>
    <cellStyle name="Normal 2 5 6 3" xfId="663"/>
    <cellStyle name="Normal 2 5 6 3 2" xfId="2393"/>
    <cellStyle name="Normal 2 5 6 3 2 2" xfId="16057"/>
    <cellStyle name="Normal 2 5 6 3 2 3" xfId="12396"/>
    <cellStyle name="Normal 2 5 6 3 2 4" xfId="7043"/>
    <cellStyle name="Normal 2 5 6 3 3" xfId="3661"/>
    <cellStyle name="Normal 2 5 6 3 3 2" xfId="17307"/>
    <cellStyle name="Normal 2 5 6 3 3 3" xfId="13728"/>
    <cellStyle name="Normal 2 5 6 3 3 4" xfId="8471"/>
    <cellStyle name="Normal 2 5 6 3 4" xfId="6159"/>
    <cellStyle name="Normal 2 5 6 3 4 2" xfId="15243"/>
    <cellStyle name="Normal 2 5 6 3 5" xfId="9925"/>
    <cellStyle name="Normal 2 5 6 3 5 2" xfId="18752"/>
    <cellStyle name="Normal 2 5 6 3 6" xfId="11369"/>
    <cellStyle name="Normal 2 5 6 3 7" xfId="4637"/>
    <cellStyle name="Normal 2 5 6 4" xfId="1021"/>
    <cellStyle name="Normal 2 5 6 4 2" xfId="2741"/>
    <cellStyle name="Normal 2 5 6 4 2 2" xfId="16282"/>
    <cellStyle name="Normal 2 5 6 4 2 3" xfId="12704"/>
    <cellStyle name="Normal 2 5 6 4 2 4" xfId="7414"/>
    <cellStyle name="Normal 2 5 6 4 3" xfId="4010"/>
    <cellStyle name="Normal 2 5 6 4 3 2" xfId="17655"/>
    <cellStyle name="Normal 2 5 6 4 3 3" xfId="14076"/>
    <cellStyle name="Normal 2 5 6 4 3 4" xfId="8819"/>
    <cellStyle name="Normal 2 5 6 4 4" xfId="6530"/>
    <cellStyle name="Normal 2 5 6 4 4 2" xfId="15614"/>
    <cellStyle name="Normal 2 5 6 4 5" xfId="10273"/>
    <cellStyle name="Normal 2 5 6 4 5 2" xfId="19100"/>
    <cellStyle name="Normal 2 5 6 4 6" xfId="11719"/>
    <cellStyle name="Normal 2 5 6 4 7" xfId="5008"/>
    <cellStyle name="Normal 2 5 6 5" xfId="1470"/>
    <cellStyle name="Normal 2 5 6 5 2" xfId="3070"/>
    <cellStyle name="Normal 2 5 6 5 2 2" xfId="16620"/>
    <cellStyle name="Normal 2 5 6 5 2 3" xfId="13041"/>
    <cellStyle name="Normal 2 5 6 5 2 4" xfId="7752"/>
    <cellStyle name="Normal 2 5 6 5 3" xfId="4279"/>
    <cellStyle name="Normal 2 5 6 5 3 2" xfId="17984"/>
    <cellStyle name="Normal 2 5 6 5 3 3" xfId="14405"/>
    <cellStyle name="Normal 2 5 6 5 3 4" xfId="9148"/>
    <cellStyle name="Normal 2 5 6 5 4" xfId="5940"/>
    <cellStyle name="Normal 2 5 6 5 4 2" xfId="15026"/>
    <cellStyle name="Normal 2 5 6 5 5" xfId="10602"/>
    <cellStyle name="Normal 2 5 6 5 5 2" xfId="19429"/>
    <cellStyle name="Normal 2 5 6 5 6" xfId="12048"/>
    <cellStyle name="Normal 2 5 6 5 7" xfId="5346"/>
    <cellStyle name="Normal 2 5 6 6" xfId="2027"/>
    <cellStyle name="Normal 2 5 6 6 2" xfId="15869"/>
    <cellStyle name="Normal 2 5 6 6 3" xfId="12285"/>
    <cellStyle name="Normal 2 5 6 6 4" xfId="6826"/>
    <cellStyle name="Normal 2 5 6 7" xfId="3441"/>
    <cellStyle name="Normal 2 5 6 7 2" xfId="16941"/>
    <cellStyle name="Normal 2 5 6 7 3" xfId="13362"/>
    <cellStyle name="Normal 2 5 6 7 4" xfId="8105"/>
    <cellStyle name="Normal 2 5 6 8" xfId="5666"/>
    <cellStyle name="Normal 2 5 6 8 2" xfId="14752"/>
    <cellStyle name="Normal 2 5 6 9" xfId="9559"/>
    <cellStyle name="Normal 2 5 6 9 2" xfId="18386"/>
    <cellStyle name="Normal 2 5 6_Degree data" xfId="1226"/>
    <cellStyle name="Normal 2 5 7" xfId="189"/>
    <cellStyle name="Normal 2 5 7 10" xfId="10946"/>
    <cellStyle name="Normal 2 5 7 11" xfId="4468"/>
    <cellStyle name="Normal 2 5 7 2" xfId="406"/>
    <cellStyle name="Normal 2 5 7 2 2" xfId="666"/>
    <cellStyle name="Normal 2 5 7 2 2 2" xfId="2396"/>
    <cellStyle name="Normal 2 5 7 2 2 2 2" xfId="16285"/>
    <cellStyle name="Normal 2 5 7 2 2 2 3" xfId="12707"/>
    <cellStyle name="Normal 2 5 7 2 2 2 4" xfId="7417"/>
    <cellStyle name="Normal 2 5 7 2 2 3" xfId="3664"/>
    <cellStyle name="Normal 2 5 7 2 2 3 2" xfId="17310"/>
    <cellStyle name="Normal 2 5 7 2 2 3 3" xfId="13731"/>
    <cellStyle name="Normal 2 5 7 2 2 3 4" xfId="8474"/>
    <cellStyle name="Normal 2 5 7 2 2 4" xfId="6533"/>
    <cellStyle name="Normal 2 5 7 2 2 4 2" xfId="15617"/>
    <cellStyle name="Normal 2 5 7 2 2 5" xfId="9928"/>
    <cellStyle name="Normal 2 5 7 2 2 5 2" xfId="18755"/>
    <cellStyle name="Normal 2 5 7 2 2 6" xfId="11372"/>
    <cellStyle name="Normal 2 5 7 2 2 7" xfId="5011"/>
    <cellStyle name="Normal 2 5 7 2 3" xfId="1024"/>
    <cellStyle name="Normal 2 5 7 2 3 2" xfId="2744"/>
    <cellStyle name="Normal 2 5 7 2 3 2 2" xfId="16768"/>
    <cellStyle name="Normal 2 5 7 2 3 2 3" xfId="13189"/>
    <cellStyle name="Normal 2 5 7 2 3 2 4" xfId="7900"/>
    <cellStyle name="Normal 2 5 7 2 3 3" xfId="4013"/>
    <cellStyle name="Normal 2 5 7 2 3 3 2" xfId="17658"/>
    <cellStyle name="Normal 2 5 7 2 3 3 3" xfId="14079"/>
    <cellStyle name="Normal 2 5 7 2 3 3 4" xfId="8822"/>
    <cellStyle name="Normal 2 5 7 2 3 4" xfId="6307"/>
    <cellStyle name="Normal 2 5 7 2 3 4 2" xfId="15391"/>
    <cellStyle name="Normal 2 5 7 2 3 5" xfId="10276"/>
    <cellStyle name="Normal 2 5 7 2 3 5 2" xfId="19103"/>
    <cellStyle name="Normal 2 5 7 2 3 6" xfId="11722"/>
    <cellStyle name="Normal 2 5 7 2 3 7" xfId="5494"/>
    <cellStyle name="Normal 2 5 7 2 4" xfId="1622"/>
    <cellStyle name="Normal 2 5 7 2 4 2" xfId="3218"/>
    <cellStyle name="Normal 2 5 7 2 4 2 2" xfId="18132"/>
    <cellStyle name="Normal 2 5 7 2 4 2 3" xfId="14553"/>
    <cellStyle name="Normal 2 5 7 2 4 2 4" xfId="9296"/>
    <cellStyle name="Normal 2 5 7 2 4 3" xfId="10750"/>
    <cellStyle name="Normal 2 5 7 2 4 3 2" xfId="19577"/>
    <cellStyle name="Normal 2 5 7 2 4 4" xfId="12196"/>
    <cellStyle name="Normal 2 5 7 2 4 5" xfId="7191"/>
    <cellStyle name="Normal 2 5 7 2 5" xfId="2175"/>
    <cellStyle name="Normal 2 5 7 2 5 2" xfId="17089"/>
    <cellStyle name="Normal 2 5 7 2 5 3" xfId="13510"/>
    <cellStyle name="Normal 2 5 7 2 5 4" xfId="8253"/>
    <cellStyle name="Normal 2 5 7 2 6" xfId="5814"/>
    <cellStyle name="Normal 2 5 7 2 6 2" xfId="14900"/>
    <cellStyle name="Normal 2 5 7 2 7" xfId="9707"/>
    <cellStyle name="Normal 2 5 7 2 7 2" xfId="18534"/>
    <cellStyle name="Normal 2 5 7 2 8" xfId="11151"/>
    <cellStyle name="Normal 2 5 7 2 9" xfId="4785"/>
    <cellStyle name="Normal 2 5 7 2_Degree data" xfId="1281"/>
    <cellStyle name="Normal 2 5 7 3" xfId="665"/>
    <cellStyle name="Normal 2 5 7 3 2" xfId="2395"/>
    <cellStyle name="Normal 2 5 7 3 2 2" xfId="16000"/>
    <cellStyle name="Normal 2 5 7 3 2 3" xfId="12290"/>
    <cellStyle name="Normal 2 5 7 3 2 4" xfId="6986"/>
    <cellStyle name="Normal 2 5 7 3 3" xfId="3663"/>
    <cellStyle name="Normal 2 5 7 3 3 2" xfId="17309"/>
    <cellStyle name="Normal 2 5 7 3 3 3" xfId="13730"/>
    <cellStyle name="Normal 2 5 7 3 3 4" xfId="8473"/>
    <cellStyle name="Normal 2 5 7 3 4" xfId="6102"/>
    <cellStyle name="Normal 2 5 7 3 4 2" xfId="15186"/>
    <cellStyle name="Normal 2 5 7 3 5" xfId="9927"/>
    <cellStyle name="Normal 2 5 7 3 5 2" xfId="18754"/>
    <cellStyle name="Normal 2 5 7 3 6" xfId="11371"/>
    <cellStyle name="Normal 2 5 7 3 7" xfId="4580"/>
    <cellStyle name="Normal 2 5 7 4" xfId="1023"/>
    <cellStyle name="Normal 2 5 7 4 2" xfId="2743"/>
    <cellStyle name="Normal 2 5 7 4 2 2" xfId="16284"/>
    <cellStyle name="Normal 2 5 7 4 2 3" xfId="12706"/>
    <cellStyle name="Normal 2 5 7 4 2 4" xfId="7416"/>
    <cellStyle name="Normal 2 5 7 4 3" xfId="4012"/>
    <cellStyle name="Normal 2 5 7 4 3 2" xfId="17657"/>
    <cellStyle name="Normal 2 5 7 4 3 3" xfId="14078"/>
    <cellStyle name="Normal 2 5 7 4 3 4" xfId="8821"/>
    <cellStyle name="Normal 2 5 7 4 4" xfId="6532"/>
    <cellStyle name="Normal 2 5 7 4 4 2" xfId="15616"/>
    <cellStyle name="Normal 2 5 7 4 5" xfId="10275"/>
    <cellStyle name="Normal 2 5 7 4 5 2" xfId="19102"/>
    <cellStyle name="Normal 2 5 7 4 6" xfId="11721"/>
    <cellStyle name="Normal 2 5 7 4 7" xfId="5010"/>
    <cellStyle name="Normal 2 5 7 5" xfId="1408"/>
    <cellStyle name="Normal 2 5 7 5 2" xfId="3013"/>
    <cellStyle name="Normal 2 5 7 5 2 2" xfId="16563"/>
    <cellStyle name="Normal 2 5 7 5 2 3" xfId="12984"/>
    <cellStyle name="Normal 2 5 7 5 2 4" xfId="7695"/>
    <cellStyle name="Normal 2 5 7 5 3" xfId="4222"/>
    <cellStyle name="Normal 2 5 7 5 3 2" xfId="17927"/>
    <cellStyle name="Normal 2 5 7 5 3 3" xfId="14348"/>
    <cellStyle name="Normal 2 5 7 5 3 4" xfId="9091"/>
    <cellStyle name="Normal 2 5 7 5 4" xfId="5988"/>
    <cellStyle name="Normal 2 5 7 5 4 2" xfId="15074"/>
    <cellStyle name="Normal 2 5 7 5 5" xfId="10545"/>
    <cellStyle name="Normal 2 5 7 5 5 2" xfId="19372"/>
    <cellStyle name="Normal 2 5 7 5 6" xfId="11991"/>
    <cellStyle name="Normal 2 5 7 5 7" xfId="5289"/>
    <cellStyle name="Normal 2 5 7 6" xfId="1970"/>
    <cellStyle name="Normal 2 5 7 6 2" xfId="15917"/>
    <cellStyle name="Normal 2 5 7 6 3" xfId="12429"/>
    <cellStyle name="Normal 2 5 7 6 4" xfId="6874"/>
    <cellStyle name="Normal 2 5 7 7" xfId="3385"/>
    <cellStyle name="Normal 2 5 7 7 2" xfId="16884"/>
    <cellStyle name="Normal 2 5 7 7 3" xfId="13305"/>
    <cellStyle name="Normal 2 5 7 7 4" xfId="8048"/>
    <cellStyle name="Normal 2 5 7 8" xfId="5609"/>
    <cellStyle name="Normal 2 5 7 8 2" xfId="14695"/>
    <cellStyle name="Normal 2 5 7 9" xfId="9502"/>
    <cellStyle name="Normal 2 5 7 9 2" xfId="18329"/>
    <cellStyle name="Normal 2 5 7_Degree data" xfId="1334"/>
    <cellStyle name="Normal 2 5 8" xfId="462"/>
    <cellStyle name="Normal 2 5 8 10" xfId="4524"/>
    <cellStyle name="Normal 2 5 8 2" xfId="667"/>
    <cellStyle name="Normal 2 5 8 2 2" xfId="2397"/>
    <cellStyle name="Normal 2 5 8 2 2 2" xfId="16116"/>
    <cellStyle name="Normal 2 5 8 2 2 3" xfId="12538"/>
    <cellStyle name="Normal 2 5 8 2 2 4" xfId="7247"/>
    <cellStyle name="Normal 2 5 8 2 3" xfId="3665"/>
    <cellStyle name="Normal 2 5 8 2 3 2" xfId="17311"/>
    <cellStyle name="Normal 2 5 8 2 3 3" xfId="13732"/>
    <cellStyle name="Normal 2 5 8 2 3 4" xfId="8475"/>
    <cellStyle name="Normal 2 5 8 2 4" xfId="6363"/>
    <cellStyle name="Normal 2 5 8 2 4 2" xfId="15447"/>
    <cellStyle name="Normal 2 5 8 2 5" xfId="9929"/>
    <cellStyle name="Normal 2 5 8 2 5 2" xfId="18756"/>
    <cellStyle name="Normal 2 5 8 2 6" xfId="11373"/>
    <cellStyle name="Normal 2 5 8 2 7" xfId="4841"/>
    <cellStyle name="Normal 2 5 8 3" xfId="1025"/>
    <cellStyle name="Normal 2 5 8 3 2" xfId="2745"/>
    <cellStyle name="Normal 2 5 8 3 2 2" xfId="16286"/>
    <cellStyle name="Normal 2 5 8 3 2 3" xfId="12708"/>
    <cellStyle name="Normal 2 5 8 3 2 4" xfId="7418"/>
    <cellStyle name="Normal 2 5 8 3 3" xfId="4014"/>
    <cellStyle name="Normal 2 5 8 3 3 2" xfId="17659"/>
    <cellStyle name="Normal 2 5 8 3 3 3" xfId="14080"/>
    <cellStyle name="Normal 2 5 8 3 3 4" xfId="8823"/>
    <cellStyle name="Normal 2 5 8 3 4" xfId="6534"/>
    <cellStyle name="Normal 2 5 8 3 4 2" xfId="15618"/>
    <cellStyle name="Normal 2 5 8 3 5" xfId="10277"/>
    <cellStyle name="Normal 2 5 8 3 5 2" xfId="19104"/>
    <cellStyle name="Normal 2 5 8 3 6" xfId="11723"/>
    <cellStyle name="Normal 2 5 8 3 7" xfId="5012"/>
    <cellStyle name="Normal 2 5 8 4" xfId="1678"/>
    <cellStyle name="Normal 2 5 8 4 2" xfId="3274"/>
    <cellStyle name="Normal 2 5 8 4 2 2" xfId="16824"/>
    <cellStyle name="Normal 2 5 8 4 2 3" xfId="13245"/>
    <cellStyle name="Normal 2 5 8 4 2 4" xfId="7956"/>
    <cellStyle name="Normal 2 5 8 4 3" xfId="4338"/>
    <cellStyle name="Normal 2 5 8 4 3 2" xfId="18188"/>
    <cellStyle name="Normal 2 5 8 4 3 3" xfId="14609"/>
    <cellStyle name="Normal 2 5 8 4 3 4" xfId="9352"/>
    <cellStyle name="Normal 2 5 8 4 4" xfId="6044"/>
    <cellStyle name="Normal 2 5 8 4 4 2" xfId="15130"/>
    <cellStyle name="Normal 2 5 8 4 5" xfId="10806"/>
    <cellStyle name="Normal 2 5 8 4 5 2" xfId="19633"/>
    <cellStyle name="Normal 2 5 8 4 6" xfId="12252"/>
    <cellStyle name="Normal 2 5 8 4 7" xfId="5550"/>
    <cellStyle name="Normal 2 5 8 5" xfId="2231"/>
    <cellStyle name="Normal 2 5 8 5 2" xfId="15973"/>
    <cellStyle name="Normal 2 5 8 5 3" xfId="12500"/>
    <cellStyle name="Normal 2 5 8 5 4" xfId="6930"/>
    <cellStyle name="Normal 2 5 8 6" xfId="3500"/>
    <cellStyle name="Normal 2 5 8 6 2" xfId="17145"/>
    <cellStyle name="Normal 2 5 8 6 3" xfId="13566"/>
    <cellStyle name="Normal 2 5 8 6 4" xfId="8309"/>
    <cellStyle name="Normal 2 5 8 7" xfId="5870"/>
    <cellStyle name="Normal 2 5 8 7 2" xfId="14956"/>
    <cellStyle name="Normal 2 5 8 8" xfId="9763"/>
    <cellStyle name="Normal 2 5 8 8 2" xfId="18590"/>
    <cellStyle name="Normal 2 5 8 9" xfId="11207"/>
    <cellStyle name="Normal 2 5 8_Degree data" xfId="1225"/>
    <cellStyle name="Normal 2 5 9" xfId="300"/>
    <cellStyle name="Normal 2 5 9 2" xfId="668"/>
    <cellStyle name="Normal 2 5 9 2 2" xfId="2398"/>
    <cellStyle name="Normal 2 5 9 2 2 2" xfId="16287"/>
    <cellStyle name="Normal 2 5 9 2 2 3" xfId="12709"/>
    <cellStyle name="Normal 2 5 9 2 2 4" xfId="7419"/>
    <cellStyle name="Normal 2 5 9 2 3" xfId="3666"/>
    <cellStyle name="Normal 2 5 9 2 3 2" xfId="17312"/>
    <cellStyle name="Normal 2 5 9 2 3 3" xfId="13733"/>
    <cellStyle name="Normal 2 5 9 2 3 4" xfId="8476"/>
    <cellStyle name="Normal 2 5 9 2 4" xfId="6535"/>
    <cellStyle name="Normal 2 5 9 2 4 2" xfId="15619"/>
    <cellStyle name="Normal 2 5 9 2 5" xfId="9930"/>
    <cellStyle name="Normal 2 5 9 2 5 2" xfId="18757"/>
    <cellStyle name="Normal 2 5 9 2 6" xfId="11374"/>
    <cellStyle name="Normal 2 5 9 2 7" xfId="5013"/>
    <cellStyle name="Normal 2 5 9 3" xfId="1026"/>
    <cellStyle name="Normal 2 5 9 3 2" xfId="2746"/>
    <cellStyle name="Normal 2 5 9 3 2 2" xfId="16663"/>
    <cellStyle name="Normal 2 5 9 3 2 3" xfId="13084"/>
    <cellStyle name="Normal 2 5 9 3 2 4" xfId="7795"/>
    <cellStyle name="Normal 2 5 9 3 3" xfId="4015"/>
    <cellStyle name="Normal 2 5 9 3 3 2" xfId="17660"/>
    <cellStyle name="Normal 2 5 9 3 3 3" xfId="14081"/>
    <cellStyle name="Normal 2 5 9 3 3 4" xfId="8824"/>
    <cellStyle name="Normal 2 5 9 3 4" xfId="6202"/>
    <cellStyle name="Normal 2 5 9 3 4 2" xfId="15286"/>
    <cellStyle name="Normal 2 5 9 3 5" xfId="10278"/>
    <cellStyle name="Normal 2 5 9 3 5 2" xfId="19105"/>
    <cellStyle name="Normal 2 5 9 3 6" xfId="11724"/>
    <cellStyle name="Normal 2 5 9 3 7" xfId="5389"/>
    <cellStyle name="Normal 2 5 9 4" xfId="1514"/>
    <cellStyle name="Normal 2 5 9 4 2" xfId="3113"/>
    <cellStyle name="Normal 2 5 9 4 2 2" xfId="18027"/>
    <cellStyle name="Normal 2 5 9 4 2 3" xfId="14448"/>
    <cellStyle name="Normal 2 5 9 4 2 4" xfId="9191"/>
    <cellStyle name="Normal 2 5 9 4 3" xfId="10645"/>
    <cellStyle name="Normal 2 5 9 4 3 2" xfId="19472"/>
    <cellStyle name="Normal 2 5 9 4 4" xfId="12091"/>
    <cellStyle name="Normal 2 5 9 4 5" xfId="7086"/>
    <cellStyle name="Normal 2 5 9 5" xfId="2070"/>
    <cellStyle name="Normal 2 5 9 5 2" xfId="16984"/>
    <cellStyle name="Normal 2 5 9 5 3" xfId="13405"/>
    <cellStyle name="Normal 2 5 9 5 4" xfId="8148"/>
    <cellStyle name="Normal 2 5 9 6" xfId="5709"/>
    <cellStyle name="Normal 2 5 9 6 2" xfId="14795"/>
    <cellStyle name="Normal 2 5 9 7" xfId="9602"/>
    <cellStyle name="Normal 2 5 9 7 2" xfId="18429"/>
    <cellStyle name="Normal 2 5 9 8" xfId="11046"/>
    <cellStyle name="Normal 2 5 9 9" xfId="4680"/>
    <cellStyle name="Normal 2 5 9_Degree data" xfId="1224"/>
    <cellStyle name="Normal 2 5_Degree data" xfId="1566"/>
    <cellStyle name="Normal 2 6" xfId="289"/>
    <cellStyle name="Normal 2 6 2" xfId="669"/>
    <cellStyle name="Normal 2 6 3" xfId="3322"/>
    <cellStyle name="Normal 2 6 4" xfId="506"/>
    <cellStyle name="Normal 2 6_Degree data" xfId="1223"/>
    <cellStyle name="Normal 2 7" xfId="3352"/>
    <cellStyle name="Normal 20" xfId="84"/>
    <cellStyle name="Normal 21" xfId="85"/>
    <cellStyle name="Normal 22" xfId="86"/>
    <cellStyle name="Normal 23" xfId="87"/>
    <cellStyle name="Normal 24" xfId="117"/>
    <cellStyle name="Normal 25" xfId="88"/>
    <cellStyle name="Normal 26" xfId="89"/>
    <cellStyle name="Normal 27" xfId="61"/>
    <cellStyle name="Normal 28" xfId="62"/>
    <cellStyle name="Normal 29" xfId="63"/>
    <cellStyle name="Normal 3" xfId="35"/>
    <cellStyle name="Normal 3 10" xfId="19642"/>
    <cellStyle name="Normal 3 2" xfId="131"/>
    <cellStyle name="Normal 3 2 2" xfId="292"/>
    <cellStyle name="Normal 3 2 2 10" xfId="4528"/>
    <cellStyle name="Normal 3 2 2 2" xfId="670"/>
    <cellStyle name="Normal 3 2 2 2 2" xfId="2399"/>
    <cellStyle name="Normal 3 2 2 2 2 2" xfId="16120"/>
    <cellStyle name="Normal 3 2 2 2 2 3" xfId="12542"/>
    <cellStyle name="Normal 3 2 2 2 2 4" xfId="7251"/>
    <cellStyle name="Normal 3 2 2 2 3" xfId="3667"/>
    <cellStyle name="Normal 3 2 2 2 3 2" xfId="17313"/>
    <cellStyle name="Normal 3 2 2 2 3 3" xfId="13734"/>
    <cellStyle name="Normal 3 2 2 2 3 4" xfId="8477"/>
    <cellStyle name="Normal 3 2 2 2 4" xfId="6367"/>
    <cellStyle name="Normal 3 2 2 2 4 2" xfId="15451"/>
    <cellStyle name="Normal 3 2 2 2 5" xfId="9931"/>
    <cellStyle name="Normal 3 2 2 2 5 2" xfId="18758"/>
    <cellStyle name="Normal 3 2 2 2 6" xfId="11376"/>
    <cellStyle name="Normal 3 2 2 2 7" xfId="4845"/>
    <cellStyle name="Normal 3 2 2 3" xfId="1027"/>
    <cellStyle name="Normal 3 2 2 3 2" xfId="2747"/>
    <cellStyle name="Normal 3 2 2 3 2 2" xfId="16288"/>
    <cellStyle name="Normal 3 2 2 3 2 3" xfId="12710"/>
    <cellStyle name="Normal 3 2 2 3 2 4" xfId="7420"/>
    <cellStyle name="Normal 3 2 2 3 3" xfId="4016"/>
    <cellStyle name="Normal 3 2 2 3 3 2" xfId="17661"/>
    <cellStyle name="Normal 3 2 2 3 3 3" xfId="14082"/>
    <cellStyle name="Normal 3 2 2 3 3 4" xfId="8825"/>
    <cellStyle name="Normal 3 2 2 3 4" xfId="6536"/>
    <cellStyle name="Normal 3 2 2 3 4 2" xfId="15620"/>
    <cellStyle name="Normal 3 2 2 3 5" xfId="10279"/>
    <cellStyle name="Normal 3 2 2 3 5 2" xfId="19106"/>
    <cellStyle name="Normal 3 2 2 3 6" xfId="11725"/>
    <cellStyle name="Normal 3 2 2 3 7" xfId="5014"/>
    <cellStyle name="Normal 3 2 2 4" xfId="1685"/>
    <cellStyle name="Normal 3 2 2 4 2" xfId="3278"/>
    <cellStyle name="Normal 3 2 2 4 2 2" xfId="16828"/>
    <cellStyle name="Normal 3 2 2 4 2 3" xfId="13249"/>
    <cellStyle name="Normal 3 2 2 4 2 4" xfId="7960"/>
    <cellStyle name="Normal 3 2 2 4 3" xfId="4342"/>
    <cellStyle name="Normal 3 2 2 4 3 2" xfId="18192"/>
    <cellStyle name="Normal 3 2 2 4 3 3" xfId="14613"/>
    <cellStyle name="Normal 3 2 2 4 3 4" xfId="9356"/>
    <cellStyle name="Normal 3 2 2 4 4" xfId="6048"/>
    <cellStyle name="Normal 3 2 2 4 4 2" xfId="15134"/>
    <cellStyle name="Normal 3 2 2 4 5" xfId="10810"/>
    <cellStyle name="Normal 3 2 2 4 5 2" xfId="19637"/>
    <cellStyle name="Normal 3 2 2 4 6" xfId="12256"/>
    <cellStyle name="Normal 3 2 2 4 7" xfId="5554"/>
    <cellStyle name="Normal 3 2 2 5" xfId="2235"/>
    <cellStyle name="Normal 3 2 2 5 2" xfId="15977"/>
    <cellStyle name="Normal 3 2 2 5 3" xfId="12283"/>
    <cellStyle name="Normal 3 2 2 5 4" xfId="6934"/>
    <cellStyle name="Normal 3 2 2 6" xfId="3504"/>
    <cellStyle name="Normal 3 2 2 6 2" xfId="17149"/>
    <cellStyle name="Normal 3 2 2 6 3" xfId="13570"/>
    <cellStyle name="Normal 3 2 2 6 4" xfId="8313"/>
    <cellStyle name="Normal 3 2 2 7" xfId="5874"/>
    <cellStyle name="Normal 3 2 2 7 2" xfId="14960"/>
    <cellStyle name="Normal 3 2 2 8" xfId="9767"/>
    <cellStyle name="Normal 3 2 2 8 2" xfId="18594"/>
    <cellStyle name="Normal 3 2 2 9" xfId="11211"/>
    <cellStyle name="Normal 3 2 2_Degree data" xfId="1251"/>
    <cellStyle name="Normal 3 3" xfId="108"/>
    <cellStyle name="Normal 3 4" xfId="3325"/>
    <cellStyle name="Normal 3 5" xfId="3371"/>
    <cellStyle name="Normal 3 6" xfId="3321"/>
    <cellStyle name="Normal 3 7" xfId="3333"/>
    <cellStyle name="Normal 3 8" xfId="3360"/>
    <cellStyle name="Normal 3 9" xfId="4357"/>
    <cellStyle name="Normal 30" xfId="64"/>
    <cellStyle name="Normal 31" xfId="65"/>
    <cellStyle name="Normal 32" xfId="66"/>
    <cellStyle name="Normal 33" xfId="67"/>
    <cellStyle name="Normal 34" xfId="68"/>
    <cellStyle name="Normal 35" xfId="69"/>
    <cellStyle name="Normal 36" xfId="70"/>
    <cellStyle name="Normal 37" xfId="71"/>
    <cellStyle name="Normal 38" xfId="118"/>
    <cellStyle name="Normal 39" xfId="72"/>
    <cellStyle name="Normal 4" xfId="22"/>
    <cellStyle name="Normal 4 2" xfId="136"/>
    <cellStyle name="Normal 4 2 2" xfId="291"/>
    <cellStyle name="Normal 4 3" xfId="39"/>
    <cellStyle name="Normal 4 4" xfId="287"/>
    <cellStyle name="Normal 4 4 10" xfId="4525"/>
    <cellStyle name="Normal 4 4 2" xfId="671"/>
    <cellStyle name="Normal 4 4 2 2" xfId="2400"/>
    <cellStyle name="Normal 4 4 2 2 2" xfId="16117"/>
    <cellStyle name="Normal 4 4 2 2 3" xfId="12539"/>
    <cellStyle name="Normal 4 4 2 2 4" xfId="7248"/>
    <cellStyle name="Normal 4 4 2 3" xfId="3668"/>
    <cellStyle name="Normal 4 4 2 3 2" xfId="17314"/>
    <cellStyle name="Normal 4 4 2 3 3" xfId="13735"/>
    <cellStyle name="Normal 4 4 2 3 4" xfId="8478"/>
    <cellStyle name="Normal 4 4 2 4" xfId="6364"/>
    <cellStyle name="Normal 4 4 2 4 2" xfId="15448"/>
    <cellStyle name="Normal 4 4 2 5" xfId="9932"/>
    <cellStyle name="Normal 4 4 2 5 2" xfId="18759"/>
    <cellStyle name="Normal 4 4 2 6" xfId="11377"/>
    <cellStyle name="Normal 4 4 2 7" xfId="4842"/>
    <cellStyle name="Normal 4 4 3" xfId="1028"/>
    <cellStyle name="Normal 4 4 3 2" xfId="2748"/>
    <cellStyle name="Normal 4 4 3 2 2" xfId="16289"/>
    <cellStyle name="Normal 4 4 3 2 3" xfId="12711"/>
    <cellStyle name="Normal 4 4 3 2 4" xfId="7421"/>
    <cellStyle name="Normal 4 4 3 3" xfId="4017"/>
    <cellStyle name="Normal 4 4 3 3 2" xfId="17662"/>
    <cellStyle name="Normal 4 4 3 3 3" xfId="14083"/>
    <cellStyle name="Normal 4 4 3 3 4" xfId="8826"/>
    <cellStyle name="Normal 4 4 3 4" xfId="6537"/>
    <cellStyle name="Normal 4 4 3 4 2" xfId="15621"/>
    <cellStyle name="Normal 4 4 3 5" xfId="10280"/>
    <cellStyle name="Normal 4 4 3 5 2" xfId="19107"/>
    <cellStyle name="Normal 4 4 3 6" xfId="11726"/>
    <cellStyle name="Normal 4 4 3 7" xfId="5015"/>
    <cellStyle name="Normal 4 4 4" xfId="1679"/>
    <cellStyle name="Normal 4 4 4 2" xfId="3275"/>
    <cellStyle name="Normal 4 4 4 2 2" xfId="16825"/>
    <cellStyle name="Normal 4 4 4 2 3" xfId="13246"/>
    <cellStyle name="Normal 4 4 4 2 4" xfId="7957"/>
    <cellStyle name="Normal 4 4 4 3" xfId="4339"/>
    <cellStyle name="Normal 4 4 4 3 2" xfId="18189"/>
    <cellStyle name="Normal 4 4 4 3 3" xfId="14610"/>
    <cellStyle name="Normal 4 4 4 3 4" xfId="9353"/>
    <cellStyle name="Normal 4 4 4 4" xfId="6045"/>
    <cellStyle name="Normal 4 4 4 4 2" xfId="15131"/>
    <cellStyle name="Normal 4 4 4 5" xfId="10807"/>
    <cellStyle name="Normal 4 4 4 5 2" xfId="19634"/>
    <cellStyle name="Normal 4 4 4 6" xfId="12253"/>
    <cellStyle name="Normal 4 4 4 7" xfId="5551"/>
    <cellStyle name="Normal 4 4 5" xfId="2232"/>
    <cellStyle name="Normal 4 4 5 2" xfId="15974"/>
    <cellStyle name="Normal 4 4 5 3" xfId="12416"/>
    <cellStyle name="Normal 4 4 5 4" xfId="6931"/>
    <cellStyle name="Normal 4 4 6" xfId="3501"/>
    <cellStyle name="Normal 4 4 6 2" xfId="17146"/>
    <cellStyle name="Normal 4 4 6 3" xfId="13567"/>
    <cellStyle name="Normal 4 4 6 4" xfId="8310"/>
    <cellStyle name="Normal 4 4 7" xfId="5871"/>
    <cellStyle name="Normal 4 4 7 2" xfId="14957"/>
    <cellStyle name="Normal 4 4 8" xfId="9764"/>
    <cellStyle name="Normal 4 4 8 2" xfId="18591"/>
    <cellStyle name="Normal 4 4 9" xfId="11208"/>
    <cellStyle name="Normal 4 4_Degree data" xfId="1250"/>
    <cellStyle name="Normal 40" xfId="73"/>
    <cellStyle name="Normal 41" xfId="74"/>
    <cellStyle name="Normal 42" xfId="75"/>
    <cellStyle name="Normal 43" xfId="76"/>
    <cellStyle name="Normal 44" xfId="77"/>
    <cellStyle name="Normal 45" xfId="78"/>
    <cellStyle name="Normal 46" xfId="79"/>
    <cellStyle name="Normal 47" xfId="80"/>
    <cellStyle name="Normal 48" xfId="81"/>
    <cellStyle name="Normal 49" xfId="90"/>
    <cellStyle name="Normal 5" xfId="94"/>
    <cellStyle name="Normal 5 10" xfId="1029"/>
    <cellStyle name="Normal 5 10 2" xfId="2749"/>
    <cellStyle name="Normal 5 10 2 2" xfId="16485"/>
    <cellStyle name="Normal 5 10 2 3" xfId="12907"/>
    <cellStyle name="Normal 5 10 2 4" xfId="7617"/>
    <cellStyle name="Normal 5 10 3" xfId="4018"/>
    <cellStyle name="Normal 5 10 3 2" xfId="17663"/>
    <cellStyle name="Normal 5 10 3 3" xfId="14084"/>
    <cellStyle name="Normal 5 10 3 4" xfId="8827"/>
    <cellStyle name="Normal 5 10 4" xfId="6737"/>
    <cellStyle name="Normal 5 10 4 2" xfId="15820"/>
    <cellStyle name="Normal 5 10 5" xfId="10281"/>
    <cellStyle name="Normal 5 10 5 2" xfId="19108"/>
    <cellStyle name="Normal 5 10 6" xfId="11727"/>
    <cellStyle name="Normal 5 10 7" xfId="5211"/>
    <cellStyle name="Normal 5 11" xfId="1268"/>
    <cellStyle name="Normal 5 11 2" xfId="2935"/>
    <cellStyle name="Normal 5 11 2 2" xfId="17849"/>
    <cellStyle name="Normal 5 11 2 3" xfId="14270"/>
    <cellStyle name="Normal 5 11 2 4" xfId="9013"/>
    <cellStyle name="Normal 5 11 3" xfId="10467"/>
    <cellStyle name="Normal 5 11 3 2" xfId="19294"/>
    <cellStyle name="Normal 5 11 4" xfId="11913"/>
    <cellStyle name="Normal 5 11 5" xfId="7963"/>
    <cellStyle name="Normal 5 12" xfId="1892"/>
    <cellStyle name="Normal 5 12 2" xfId="9424"/>
    <cellStyle name="Normal 5 12 2 2" xfId="18251"/>
    <cellStyle name="Normal 5 12 3" xfId="10868"/>
    <cellStyle name="Normal 5 12 4" xfId="7967"/>
    <cellStyle name="Normal 5 13" xfId="1843"/>
    <cellStyle name="Normal 5 13 2" xfId="14649"/>
    <cellStyle name="Normal 5 13 3" xfId="5563"/>
    <cellStyle name="Normal 5 14" xfId="9380"/>
    <cellStyle name="Normal 5 14 2" xfId="18207"/>
    <cellStyle name="Normal 5 15" xfId="10818"/>
    <cellStyle name="Normal 5 2" xfId="109"/>
    <cellStyle name="Normal 5 2 10" xfId="9384"/>
    <cellStyle name="Normal 5 2 10 2" xfId="18211"/>
    <cellStyle name="Normal 5 2 11" xfId="10823"/>
    <cellStyle name="Normal 5 2 12" xfId="4369"/>
    <cellStyle name="Normal 5 2 2" xfId="139"/>
    <cellStyle name="Normal 5 2 2 10" xfId="9415"/>
    <cellStyle name="Normal 5 2 2 10 2" xfId="18242"/>
    <cellStyle name="Normal 5 2 2 11" xfId="10859"/>
    <cellStyle name="Normal 5 2 2 2" xfId="156"/>
    <cellStyle name="Normal 5 2 2 2 10" xfId="9373"/>
    <cellStyle name="Normal 5 2 2 2 11" xfId="14629"/>
    <cellStyle name="Normal 5 2 2 2 12" xfId="4408"/>
    <cellStyle name="Normal 5 2 2 2 2" xfId="237"/>
    <cellStyle name="Normal 5 2 2 2 2 10" xfId="10991"/>
    <cellStyle name="Normal 5 2 2 2 2 11" xfId="4512"/>
    <cellStyle name="Normal 5 2 2 2 2 2" xfId="450"/>
    <cellStyle name="Normal 5 2 2 2 2 2 2" xfId="675"/>
    <cellStyle name="Normal 5 2 2 2 2 2 2 2" xfId="2404"/>
    <cellStyle name="Normal 5 2 2 2 2 2 2 2 2" xfId="16293"/>
    <cellStyle name="Normal 5 2 2 2 2 2 2 2 3" xfId="12715"/>
    <cellStyle name="Normal 5 2 2 2 2 2 2 2 4" xfId="7425"/>
    <cellStyle name="Normal 5 2 2 2 2 2 2 3" xfId="3672"/>
    <cellStyle name="Normal 5 2 2 2 2 2 2 3 2" xfId="17318"/>
    <cellStyle name="Normal 5 2 2 2 2 2 2 3 3" xfId="13739"/>
    <cellStyle name="Normal 5 2 2 2 2 2 2 3 4" xfId="8482"/>
    <cellStyle name="Normal 5 2 2 2 2 2 2 4" xfId="6541"/>
    <cellStyle name="Normal 5 2 2 2 2 2 2 4 2" xfId="15625"/>
    <cellStyle name="Normal 5 2 2 2 2 2 2 5" xfId="9936"/>
    <cellStyle name="Normal 5 2 2 2 2 2 2 5 2" xfId="18763"/>
    <cellStyle name="Normal 5 2 2 2 2 2 2 6" xfId="11381"/>
    <cellStyle name="Normal 5 2 2 2 2 2 2 7" xfId="5019"/>
    <cellStyle name="Normal 5 2 2 2 2 2 3" xfId="1032"/>
    <cellStyle name="Normal 5 2 2 2 2 2 3 2" xfId="2752"/>
    <cellStyle name="Normal 5 2 2 2 2 2 3 2 2" xfId="16812"/>
    <cellStyle name="Normal 5 2 2 2 2 2 3 2 3" xfId="13233"/>
    <cellStyle name="Normal 5 2 2 2 2 2 3 2 4" xfId="7944"/>
    <cellStyle name="Normal 5 2 2 2 2 2 3 3" xfId="4021"/>
    <cellStyle name="Normal 5 2 2 2 2 2 3 3 2" xfId="17666"/>
    <cellStyle name="Normal 5 2 2 2 2 2 3 3 3" xfId="14087"/>
    <cellStyle name="Normal 5 2 2 2 2 2 3 3 4" xfId="8830"/>
    <cellStyle name="Normal 5 2 2 2 2 2 3 4" xfId="6351"/>
    <cellStyle name="Normal 5 2 2 2 2 2 3 4 2" xfId="15435"/>
    <cellStyle name="Normal 5 2 2 2 2 2 3 5" xfId="10284"/>
    <cellStyle name="Normal 5 2 2 2 2 2 3 5 2" xfId="19111"/>
    <cellStyle name="Normal 5 2 2 2 2 2 3 6" xfId="11730"/>
    <cellStyle name="Normal 5 2 2 2 2 2 3 7" xfId="5538"/>
    <cellStyle name="Normal 5 2 2 2 2 2 4" xfId="1666"/>
    <cellStyle name="Normal 5 2 2 2 2 2 4 2" xfId="3262"/>
    <cellStyle name="Normal 5 2 2 2 2 2 4 2 2" xfId="18176"/>
    <cellStyle name="Normal 5 2 2 2 2 2 4 2 3" xfId="14597"/>
    <cellStyle name="Normal 5 2 2 2 2 2 4 2 4" xfId="9340"/>
    <cellStyle name="Normal 5 2 2 2 2 2 4 3" xfId="10794"/>
    <cellStyle name="Normal 5 2 2 2 2 2 4 3 2" xfId="19621"/>
    <cellStyle name="Normal 5 2 2 2 2 2 4 4" xfId="12240"/>
    <cellStyle name="Normal 5 2 2 2 2 2 4 5" xfId="7235"/>
    <cellStyle name="Normal 5 2 2 2 2 2 5" xfId="2219"/>
    <cellStyle name="Normal 5 2 2 2 2 2 5 2" xfId="17133"/>
    <cellStyle name="Normal 5 2 2 2 2 2 5 3" xfId="13554"/>
    <cellStyle name="Normal 5 2 2 2 2 2 5 4" xfId="8297"/>
    <cellStyle name="Normal 5 2 2 2 2 2 6" xfId="5858"/>
    <cellStyle name="Normal 5 2 2 2 2 2 6 2" xfId="14944"/>
    <cellStyle name="Normal 5 2 2 2 2 2 7" xfId="9751"/>
    <cellStyle name="Normal 5 2 2 2 2 2 7 2" xfId="18578"/>
    <cellStyle name="Normal 5 2 2 2 2 2 8" xfId="11195"/>
    <cellStyle name="Normal 5 2 2 2 2 2 9" xfId="4829"/>
    <cellStyle name="Normal 5 2 2 2 2 2_Degree data" xfId="1247"/>
    <cellStyle name="Normal 5 2 2 2 2 3" xfId="674"/>
    <cellStyle name="Normal 5 2 2 2 2 3 2" xfId="2403"/>
    <cellStyle name="Normal 5 2 2 2 2 3 2 2" xfId="16045"/>
    <cellStyle name="Normal 5 2 2 2 2 3 2 3" xfId="12497"/>
    <cellStyle name="Normal 5 2 2 2 2 3 2 4" xfId="7031"/>
    <cellStyle name="Normal 5 2 2 2 2 3 3" xfId="3671"/>
    <cellStyle name="Normal 5 2 2 2 2 3 3 2" xfId="17317"/>
    <cellStyle name="Normal 5 2 2 2 2 3 3 3" xfId="13738"/>
    <cellStyle name="Normal 5 2 2 2 2 3 3 4" xfId="8481"/>
    <cellStyle name="Normal 5 2 2 2 2 3 4" xfId="6147"/>
    <cellStyle name="Normal 5 2 2 2 2 3 4 2" xfId="15231"/>
    <cellStyle name="Normal 5 2 2 2 2 3 5" xfId="9935"/>
    <cellStyle name="Normal 5 2 2 2 2 3 5 2" xfId="18762"/>
    <cellStyle name="Normal 5 2 2 2 2 3 6" xfId="11380"/>
    <cellStyle name="Normal 5 2 2 2 2 3 7" xfId="4625"/>
    <cellStyle name="Normal 5 2 2 2 2 4" xfId="1031"/>
    <cellStyle name="Normal 5 2 2 2 2 4 2" xfId="2751"/>
    <cellStyle name="Normal 5 2 2 2 2 4 2 2" xfId="16292"/>
    <cellStyle name="Normal 5 2 2 2 2 4 2 3" xfId="12714"/>
    <cellStyle name="Normal 5 2 2 2 2 4 2 4" xfId="7424"/>
    <cellStyle name="Normal 5 2 2 2 2 4 3" xfId="4020"/>
    <cellStyle name="Normal 5 2 2 2 2 4 3 2" xfId="17665"/>
    <cellStyle name="Normal 5 2 2 2 2 4 3 3" xfId="14086"/>
    <cellStyle name="Normal 5 2 2 2 2 4 3 4" xfId="8829"/>
    <cellStyle name="Normal 5 2 2 2 2 4 4" xfId="6540"/>
    <cellStyle name="Normal 5 2 2 2 2 4 4 2" xfId="15624"/>
    <cellStyle name="Normal 5 2 2 2 2 4 5" xfId="10283"/>
    <cellStyle name="Normal 5 2 2 2 2 4 5 2" xfId="19110"/>
    <cellStyle name="Normal 5 2 2 2 2 4 6" xfId="11729"/>
    <cellStyle name="Normal 5 2 2 2 2 4 7" xfId="5018"/>
    <cellStyle name="Normal 5 2 2 2 2 5" xfId="1457"/>
    <cellStyle name="Normal 5 2 2 2 2 5 2" xfId="3058"/>
    <cellStyle name="Normal 5 2 2 2 2 5 2 2" xfId="16608"/>
    <cellStyle name="Normal 5 2 2 2 2 5 2 3" xfId="13029"/>
    <cellStyle name="Normal 5 2 2 2 2 5 2 4" xfId="7740"/>
    <cellStyle name="Normal 5 2 2 2 2 5 3" xfId="4267"/>
    <cellStyle name="Normal 5 2 2 2 2 5 3 2" xfId="17972"/>
    <cellStyle name="Normal 5 2 2 2 2 5 3 3" xfId="14393"/>
    <cellStyle name="Normal 5 2 2 2 2 5 3 4" xfId="9136"/>
    <cellStyle name="Normal 5 2 2 2 2 5 4" xfId="6032"/>
    <cellStyle name="Normal 5 2 2 2 2 5 4 2" xfId="15118"/>
    <cellStyle name="Normal 5 2 2 2 2 5 5" xfId="10590"/>
    <cellStyle name="Normal 5 2 2 2 2 5 5 2" xfId="19417"/>
    <cellStyle name="Normal 5 2 2 2 2 5 6" xfId="12036"/>
    <cellStyle name="Normal 5 2 2 2 2 5 7" xfId="5334"/>
    <cellStyle name="Normal 5 2 2 2 2 6" xfId="2015"/>
    <cellStyle name="Normal 5 2 2 2 2 6 2" xfId="15961"/>
    <cellStyle name="Normal 5 2 2 2 2 6 3" xfId="12322"/>
    <cellStyle name="Normal 5 2 2 2 2 6 4" xfId="6918"/>
    <cellStyle name="Normal 5 2 2 2 2 7" xfId="3429"/>
    <cellStyle name="Normal 5 2 2 2 2 7 2" xfId="16929"/>
    <cellStyle name="Normal 5 2 2 2 2 7 3" xfId="13350"/>
    <cellStyle name="Normal 5 2 2 2 2 7 4" xfId="8093"/>
    <cellStyle name="Normal 5 2 2 2 2 8" xfId="5654"/>
    <cellStyle name="Normal 5 2 2 2 2 8 2" xfId="14740"/>
    <cellStyle name="Normal 5 2 2 2 2 9" xfId="9547"/>
    <cellStyle name="Normal 5 2 2 2 2 9 2" xfId="18374"/>
    <cellStyle name="Normal 5 2 2 2 2_Degree data" xfId="1248"/>
    <cellStyle name="Normal 5 2 2 2 3" xfId="396"/>
    <cellStyle name="Normal 5 2 2 2 4" xfId="345"/>
    <cellStyle name="Normal 5 2 2 2 4 2" xfId="676"/>
    <cellStyle name="Normal 5 2 2 2 4 2 2" xfId="2405"/>
    <cellStyle name="Normal 5 2 2 2 4 2 2 2" xfId="16294"/>
    <cellStyle name="Normal 5 2 2 2 4 2 2 3" xfId="12716"/>
    <cellStyle name="Normal 5 2 2 2 4 2 2 4" xfId="7426"/>
    <cellStyle name="Normal 5 2 2 2 4 2 3" xfId="3673"/>
    <cellStyle name="Normal 5 2 2 2 4 2 3 2" xfId="17319"/>
    <cellStyle name="Normal 5 2 2 2 4 2 3 3" xfId="13740"/>
    <cellStyle name="Normal 5 2 2 2 4 2 3 4" xfId="8483"/>
    <cellStyle name="Normal 5 2 2 2 4 2 4" xfId="6542"/>
    <cellStyle name="Normal 5 2 2 2 4 2 4 2" xfId="15626"/>
    <cellStyle name="Normal 5 2 2 2 4 2 5" xfId="9937"/>
    <cellStyle name="Normal 5 2 2 2 4 2 5 2" xfId="18764"/>
    <cellStyle name="Normal 5 2 2 2 4 2 6" xfId="11382"/>
    <cellStyle name="Normal 5 2 2 2 4 2 7" xfId="5020"/>
    <cellStyle name="Normal 5 2 2 2 4 3" xfId="1033"/>
    <cellStyle name="Normal 5 2 2 2 4 3 2" xfId="2753"/>
    <cellStyle name="Normal 5 2 2 2 4 3 2 2" xfId="16708"/>
    <cellStyle name="Normal 5 2 2 2 4 3 2 3" xfId="13129"/>
    <cellStyle name="Normal 5 2 2 2 4 3 2 4" xfId="7840"/>
    <cellStyle name="Normal 5 2 2 2 4 3 3" xfId="4022"/>
    <cellStyle name="Normal 5 2 2 2 4 3 3 2" xfId="17667"/>
    <cellStyle name="Normal 5 2 2 2 4 3 3 3" xfId="14088"/>
    <cellStyle name="Normal 5 2 2 2 4 3 3 4" xfId="8831"/>
    <cellStyle name="Normal 5 2 2 2 4 3 4" xfId="6247"/>
    <cellStyle name="Normal 5 2 2 2 4 3 4 2" xfId="15331"/>
    <cellStyle name="Normal 5 2 2 2 4 3 5" xfId="10285"/>
    <cellStyle name="Normal 5 2 2 2 4 3 5 2" xfId="19112"/>
    <cellStyle name="Normal 5 2 2 2 4 3 6" xfId="11731"/>
    <cellStyle name="Normal 5 2 2 2 4 3 7" xfId="5434"/>
    <cellStyle name="Normal 5 2 2 2 4 4" xfId="1559"/>
    <cellStyle name="Normal 5 2 2 2 4 4 2" xfId="3158"/>
    <cellStyle name="Normal 5 2 2 2 4 4 2 2" xfId="18072"/>
    <cellStyle name="Normal 5 2 2 2 4 4 2 3" xfId="14493"/>
    <cellStyle name="Normal 5 2 2 2 4 4 2 4" xfId="9236"/>
    <cellStyle name="Normal 5 2 2 2 4 4 3" xfId="10690"/>
    <cellStyle name="Normal 5 2 2 2 4 4 3 2" xfId="19517"/>
    <cellStyle name="Normal 5 2 2 2 4 4 4" xfId="12136"/>
    <cellStyle name="Normal 5 2 2 2 4 4 5" xfId="7131"/>
    <cellStyle name="Normal 5 2 2 2 4 5" xfId="2115"/>
    <cellStyle name="Normal 5 2 2 2 4 5 2" xfId="17029"/>
    <cellStyle name="Normal 5 2 2 2 4 5 3" xfId="13450"/>
    <cellStyle name="Normal 5 2 2 2 4 5 4" xfId="8193"/>
    <cellStyle name="Normal 5 2 2 2 4 6" xfId="5754"/>
    <cellStyle name="Normal 5 2 2 2 4 6 2" xfId="14840"/>
    <cellStyle name="Normal 5 2 2 2 4 7" xfId="9647"/>
    <cellStyle name="Normal 5 2 2 2 4 7 2" xfId="18474"/>
    <cellStyle name="Normal 5 2 2 2 4 8" xfId="11091"/>
    <cellStyle name="Normal 5 2 2 2 4 9" xfId="4725"/>
    <cellStyle name="Normal 5 2 2 2 4_Degree data" xfId="1246"/>
    <cellStyle name="Normal 5 2 2 2 5" xfId="1840"/>
    <cellStyle name="Normal 5 2 2 2 5 2" xfId="15014"/>
    <cellStyle name="Normal 5 2 2 2 5 3" xfId="12476"/>
    <cellStyle name="Normal 5 2 2 2 5 4" xfId="5928"/>
    <cellStyle name="Normal 5 2 2 2 6" xfId="3327"/>
    <cellStyle name="Normal 5 2 2 2 6 2" xfId="15858"/>
    <cellStyle name="Normal 5 2 2 2 6 3" xfId="12381"/>
    <cellStyle name="Normal 5 2 2 2 6 4" xfId="6814"/>
    <cellStyle name="Normal 5 2 2 2 7" xfId="5558"/>
    <cellStyle name="Normal 5 2 2 2 8" xfId="9374"/>
    <cellStyle name="Normal 5 2 2 2 9" xfId="9372"/>
    <cellStyle name="Normal 5 2 2 3" xfId="280"/>
    <cellStyle name="Normal 5 2 2 3 10" xfId="11034"/>
    <cellStyle name="Normal 5 2 2 3 11" xfId="4451"/>
    <cellStyle name="Normal 5 2 2 3 2" xfId="388"/>
    <cellStyle name="Normal 5 2 2 3 2 2" xfId="678"/>
    <cellStyle name="Normal 5 2 2 3 2 2 2" xfId="2407"/>
    <cellStyle name="Normal 5 2 2 3 2 2 2 2" xfId="16296"/>
    <cellStyle name="Normal 5 2 2 3 2 2 2 3" xfId="12718"/>
    <cellStyle name="Normal 5 2 2 3 2 2 2 4" xfId="7428"/>
    <cellStyle name="Normal 5 2 2 3 2 2 3" xfId="3675"/>
    <cellStyle name="Normal 5 2 2 3 2 2 3 2" xfId="17321"/>
    <cellStyle name="Normal 5 2 2 3 2 2 3 3" xfId="13742"/>
    <cellStyle name="Normal 5 2 2 3 2 2 3 4" xfId="8485"/>
    <cellStyle name="Normal 5 2 2 3 2 2 4" xfId="6544"/>
    <cellStyle name="Normal 5 2 2 3 2 2 4 2" xfId="15628"/>
    <cellStyle name="Normal 5 2 2 3 2 2 5" xfId="9939"/>
    <cellStyle name="Normal 5 2 2 3 2 2 5 2" xfId="18766"/>
    <cellStyle name="Normal 5 2 2 3 2 2 6" xfId="11384"/>
    <cellStyle name="Normal 5 2 2 3 2 2 7" xfId="5022"/>
    <cellStyle name="Normal 5 2 2 3 2 3" xfId="1035"/>
    <cellStyle name="Normal 5 2 2 3 2 3 2" xfId="2755"/>
    <cellStyle name="Normal 5 2 2 3 2 3 2 2" xfId="16751"/>
    <cellStyle name="Normal 5 2 2 3 2 3 2 3" xfId="13172"/>
    <cellStyle name="Normal 5 2 2 3 2 3 2 4" xfId="7883"/>
    <cellStyle name="Normal 5 2 2 3 2 3 3" xfId="4024"/>
    <cellStyle name="Normal 5 2 2 3 2 3 3 2" xfId="17669"/>
    <cellStyle name="Normal 5 2 2 3 2 3 3 3" xfId="14090"/>
    <cellStyle name="Normal 5 2 2 3 2 3 3 4" xfId="8833"/>
    <cellStyle name="Normal 5 2 2 3 2 3 4" xfId="6290"/>
    <cellStyle name="Normal 5 2 2 3 2 3 4 2" xfId="15374"/>
    <cellStyle name="Normal 5 2 2 3 2 3 5" xfId="10287"/>
    <cellStyle name="Normal 5 2 2 3 2 3 5 2" xfId="19114"/>
    <cellStyle name="Normal 5 2 2 3 2 3 6" xfId="11733"/>
    <cellStyle name="Normal 5 2 2 3 2 3 7" xfId="5477"/>
    <cellStyle name="Normal 5 2 2 3 2 4" xfId="1604"/>
    <cellStyle name="Normal 5 2 2 3 2 4 2" xfId="3201"/>
    <cellStyle name="Normal 5 2 2 3 2 4 2 2" xfId="18115"/>
    <cellStyle name="Normal 5 2 2 3 2 4 2 3" xfId="14536"/>
    <cellStyle name="Normal 5 2 2 3 2 4 2 4" xfId="9279"/>
    <cellStyle name="Normal 5 2 2 3 2 4 3" xfId="10733"/>
    <cellStyle name="Normal 5 2 2 3 2 4 3 2" xfId="19560"/>
    <cellStyle name="Normal 5 2 2 3 2 4 4" xfId="12179"/>
    <cellStyle name="Normal 5 2 2 3 2 4 5" xfId="7174"/>
    <cellStyle name="Normal 5 2 2 3 2 5" xfId="2158"/>
    <cellStyle name="Normal 5 2 2 3 2 5 2" xfId="17072"/>
    <cellStyle name="Normal 5 2 2 3 2 5 3" xfId="13493"/>
    <cellStyle name="Normal 5 2 2 3 2 5 4" xfId="8236"/>
    <cellStyle name="Normal 5 2 2 3 2 6" xfId="5797"/>
    <cellStyle name="Normal 5 2 2 3 2 6 2" xfId="14883"/>
    <cellStyle name="Normal 5 2 2 3 2 7" xfId="9690"/>
    <cellStyle name="Normal 5 2 2 3 2 7 2" xfId="18517"/>
    <cellStyle name="Normal 5 2 2 3 2 8" xfId="11134"/>
    <cellStyle name="Normal 5 2 2 3 2 9" xfId="4768"/>
    <cellStyle name="Normal 5 2 2 3 2_Degree data" xfId="1680"/>
    <cellStyle name="Normal 5 2 2 3 3" xfId="677"/>
    <cellStyle name="Normal 5 2 2 3 3 2" xfId="2406"/>
    <cellStyle name="Normal 5 2 2 3 3 2 2" xfId="16088"/>
    <cellStyle name="Normal 5 2 2 3 3 2 3" xfId="12495"/>
    <cellStyle name="Normal 5 2 2 3 3 2 4" xfId="7074"/>
    <cellStyle name="Normal 5 2 2 3 3 3" xfId="3674"/>
    <cellStyle name="Normal 5 2 2 3 3 3 2" xfId="17320"/>
    <cellStyle name="Normal 5 2 2 3 3 3 3" xfId="13741"/>
    <cellStyle name="Normal 5 2 2 3 3 3 4" xfId="8484"/>
    <cellStyle name="Normal 5 2 2 3 3 4" xfId="6190"/>
    <cellStyle name="Normal 5 2 2 3 3 4 2" xfId="15274"/>
    <cellStyle name="Normal 5 2 2 3 3 5" xfId="9938"/>
    <cellStyle name="Normal 5 2 2 3 3 5 2" xfId="18765"/>
    <cellStyle name="Normal 5 2 2 3 3 6" xfId="11383"/>
    <cellStyle name="Normal 5 2 2 3 3 7" xfId="4668"/>
    <cellStyle name="Normal 5 2 2 3 4" xfId="1034"/>
    <cellStyle name="Normal 5 2 2 3 4 2" xfId="2754"/>
    <cellStyle name="Normal 5 2 2 3 4 2 2" xfId="16295"/>
    <cellStyle name="Normal 5 2 2 3 4 2 3" xfId="12717"/>
    <cellStyle name="Normal 5 2 2 3 4 2 4" xfId="7427"/>
    <cellStyle name="Normal 5 2 2 3 4 3" xfId="4023"/>
    <cellStyle name="Normal 5 2 2 3 4 3 2" xfId="17668"/>
    <cellStyle name="Normal 5 2 2 3 4 3 3" xfId="14089"/>
    <cellStyle name="Normal 5 2 2 3 4 3 4" xfId="8832"/>
    <cellStyle name="Normal 5 2 2 3 4 4" xfId="6543"/>
    <cellStyle name="Normal 5 2 2 3 4 4 2" xfId="15627"/>
    <cellStyle name="Normal 5 2 2 3 4 5" xfId="10286"/>
    <cellStyle name="Normal 5 2 2 3 4 5 2" xfId="19113"/>
    <cellStyle name="Normal 5 2 2 3 4 6" xfId="11732"/>
    <cellStyle name="Normal 5 2 2 3 4 7" xfId="5021"/>
    <cellStyle name="Normal 5 2 2 3 5" xfId="1502"/>
    <cellStyle name="Normal 5 2 2 3 5 2" xfId="3101"/>
    <cellStyle name="Normal 5 2 2 3 5 2 2" xfId="16651"/>
    <cellStyle name="Normal 5 2 2 3 5 2 3" xfId="13072"/>
    <cellStyle name="Normal 5 2 2 3 5 2 4" xfId="7783"/>
    <cellStyle name="Normal 5 2 2 3 5 3" xfId="4310"/>
    <cellStyle name="Normal 5 2 2 3 5 3 2" xfId="18015"/>
    <cellStyle name="Normal 5 2 2 3 5 3 3" xfId="14436"/>
    <cellStyle name="Normal 5 2 2 3 5 3 4" xfId="9179"/>
    <cellStyle name="Normal 5 2 2 3 5 4" xfId="5971"/>
    <cellStyle name="Normal 5 2 2 3 5 4 2" xfId="15057"/>
    <cellStyle name="Normal 5 2 2 3 5 5" xfId="10633"/>
    <cellStyle name="Normal 5 2 2 3 5 5 2" xfId="19460"/>
    <cellStyle name="Normal 5 2 2 3 5 6" xfId="12079"/>
    <cellStyle name="Normal 5 2 2 3 5 7" xfId="5377"/>
    <cellStyle name="Normal 5 2 2 3 6" xfId="2058"/>
    <cellStyle name="Normal 5 2 2 3 6 2" xfId="15900"/>
    <cellStyle name="Normal 5 2 2 3 6 3" xfId="10848"/>
    <cellStyle name="Normal 5 2 2 3 6 4" xfId="6857"/>
    <cellStyle name="Normal 5 2 2 3 7" xfId="3472"/>
    <cellStyle name="Normal 5 2 2 3 7 2" xfId="16972"/>
    <cellStyle name="Normal 5 2 2 3 7 3" xfId="13393"/>
    <cellStyle name="Normal 5 2 2 3 7 4" xfId="8136"/>
    <cellStyle name="Normal 5 2 2 3 8" xfId="5697"/>
    <cellStyle name="Normal 5 2 2 3 8 2" xfId="14783"/>
    <cellStyle name="Normal 5 2 2 3 9" xfId="9590"/>
    <cellStyle name="Normal 5 2 2 3 9 2" xfId="18417"/>
    <cellStyle name="Normal 5 2 2 3_Degree data" xfId="1682"/>
    <cellStyle name="Normal 5 2 2 4" xfId="496"/>
    <cellStyle name="Normal 5 2 2 4 2" xfId="679"/>
    <cellStyle name="Normal 5 2 2 4 2 2" xfId="2408"/>
    <cellStyle name="Normal 5 2 2 4 2 2 2" xfId="16297"/>
    <cellStyle name="Normal 5 2 2 4 2 2 3" xfId="12719"/>
    <cellStyle name="Normal 5 2 2 4 2 2 4" xfId="7429"/>
    <cellStyle name="Normal 5 2 2 4 2 3" xfId="3676"/>
    <cellStyle name="Normal 5 2 2 4 2 3 2" xfId="17322"/>
    <cellStyle name="Normal 5 2 2 4 2 3 3" xfId="13743"/>
    <cellStyle name="Normal 5 2 2 4 2 3 4" xfId="8486"/>
    <cellStyle name="Normal 5 2 2 4 2 4" xfId="6545"/>
    <cellStyle name="Normal 5 2 2 4 2 4 2" xfId="15629"/>
    <cellStyle name="Normal 5 2 2 4 2 5" xfId="9940"/>
    <cellStyle name="Normal 5 2 2 4 2 5 2" xfId="18767"/>
    <cellStyle name="Normal 5 2 2 4 2 6" xfId="11385"/>
    <cellStyle name="Normal 5 2 2 4 2 7" xfId="5023"/>
    <cellStyle name="Normal 5 2 2 4 3" xfId="1036"/>
    <cellStyle name="Normal 5 2 2 4 3 2" xfId="2756"/>
    <cellStyle name="Normal 5 2 2 4 3 2 2" xfId="16551"/>
    <cellStyle name="Normal 5 2 2 4 3 2 3" xfId="12972"/>
    <cellStyle name="Normal 5 2 2 4 3 2 4" xfId="7683"/>
    <cellStyle name="Normal 5 2 2 4 3 3" xfId="4025"/>
    <cellStyle name="Normal 5 2 2 4 3 3 2" xfId="17670"/>
    <cellStyle name="Normal 5 2 2 4 3 3 3" xfId="14091"/>
    <cellStyle name="Normal 5 2 2 4 3 3 4" xfId="8834"/>
    <cellStyle name="Normal 5 2 2 4 3 4" xfId="6739"/>
    <cellStyle name="Normal 5 2 2 4 3 4 2" xfId="15822"/>
    <cellStyle name="Normal 5 2 2 4 3 5" xfId="10288"/>
    <cellStyle name="Normal 5 2 2 4 3 5 2" xfId="19115"/>
    <cellStyle name="Normal 5 2 2 4 3 6" xfId="11734"/>
    <cellStyle name="Normal 5 2 2 4 3 7" xfId="5277"/>
    <cellStyle name="Normal 5 2 2 4 4" xfId="1392"/>
    <cellStyle name="Normal 5 2 2 4 4 2" xfId="3001"/>
    <cellStyle name="Normal 5 2 2 4 4 2 2" xfId="17915"/>
    <cellStyle name="Normal 5 2 2 4 4 2 3" xfId="14336"/>
    <cellStyle name="Normal 5 2 2 4 4 2 4" xfId="9079"/>
    <cellStyle name="Normal 5 2 2 4 4 3" xfId="10533"/>
    <cellStyle name="Normal 5 2 2 4 4 3 2" xfId="19360"/>
    <cellStyle name="Normal 5 2 2 4 4 4" xfId="11979"/>
    <cellStyle name="Normal 5 2 2 4 4 5" xfId="6974"/>
    <cellStyle name="Normal 5 2 2 4 5" xfId="1958"/>
    <cellStyle name="Normal 5 2 2 4 5 2" xfId="16870"/>
    <cellStyle name="Normal 5 2 2 4 5 3" xfId="13291"/>
    <cellStyle name="Normal 5 2 2 4 5 4" xfId="8034"/>
    <cellStyle name="Normal 5 2 2 4 6" xfId="6090"/>
    <cellStyle name="Normal 5 2 2 4 6 2" xfId="15174"/>
    <cellStyle name="Normal 5 2 2 4 7" xfId="9490"/>
    <cellStyle name="Normal 5 2 2 4 7 2" xfId="18317"/>
    <cellStyle name="Normal 5 2 2 4 8" xfId="10934"/>
    <cellStyle name="Normal 5 2 2 4 9" xfId="4568"/>
    <cellStyle name="Normal 5 2 2 4_Degree data" xfId="1302"/>
    <cellStyle name="Normal 5 2 2 5" xfId="673"/>
    <cellStyle name="Normal 5 2 2 5 2" xfId="2402"/>
    <cellStyle name="Normal 5 2 2 5 2 2" xfId="16291"/>
    <cellStyle name="Normal 5 2 2 5 2 3" xfId="12713"/>
    <cellStyle name="Normal 5 2 2 5 2 4" xfId="7423"/>
    <cellStyle name="Normal 5 2 2 5 3" xfId="3670"/>
    <cellStyle name="Normal 5 2 2 5 3 2" xfId="17316"/>
    <cellStyle name="Normal 5 2 2 5 3 3" xfId="13737"/>
    <cellStyle name="Normal 5 2 2 5 3 4" xfId="8480"/>
    <cellStyle name="Normal 5 2 2 5 4" xfId="6539"/>
    <cellStyle name="Normal 5 2 2 5 4 2" xfId="15623"/>
    <cellStyle name="Normal 5 2 2 5 5" xfId="9934"/>
    <cellStyle name="Normal 5 2 2 5 5 2" xfId="18761"/>
    <cellStyle name="Normal 5 2 2 5 6" xfId="11379"/>
    <cellStyle name="Normal 5 2 2 5 7" xfId="5017"/>
    <cellStyle name="Normal 5 2 2 6" xfId="1030"/>
    <cellStyle name="Normal 5 2 2 6 2" xfId="2750"/>
    <cellStyle name="Normal 5 2 2 6 2 2" xfId="16506"/>
    <cellStyle name="Normal 5 2 2 6 2 3" xfId="12928"/>
    <cellStyle name="Normal 5 2 2 6 2 4" xfId="7638"/>
    <cellStyle name="Normal 5 2 2 6 3" xfId="4019"/>
    <cellStyle name="Normal 5 2 2 6 3 2" xfId="17664"/>
    <cellStyle name="Normal 5 2 2 6 3 3" xfId="14085"/>
    <cellStyle name="Normal 5 2 2 6 3 4" xfId="8828"/>
    <cellStyle name="Normal 5 2 2 6 4" xfId="6747"/>
    <cellStyle name="Normal 5 2 2 6 4 2" xfId="15830"/>
    <cellStyle name="Normal 5 2 2 6 5" xfId="10282"/>
    <cellStyle name="Normal 5 2 2 6 5 2" xfId="19109"/>
    <cellStyle name="Normal 5 2 2 6 6" xfId="11728"/>
    <cellStyle name="Normal 5 2 2 6 7" xfId="5232"/>
    <cellStyle name="Normal 5 2 2 7" xfId="1343"/>
    <cellStyle name="Normal 5 2 2 7 2" xfId="2956"/>
    <cellStyle name="Normal 5 2 2 7 2 2" xfId="17870"/>
    <cellStyle name="Normal 5 2 2 7 2 3" xfId="14291"/>
    <cellStyle name="Normal 5 2 2 7 2 4" xfId="9034"/>
    <cellStyle name="Normal 5 2 2 7 3" xfId="10488"/>
    <cellStyle name="Normal 5 2 2 7 3 2" xfId="19315"/>
    <cellStyle name="Normal 5 2 2 7 4" xfId="11934"/>
    <cellStyle name="Normal 5 2 2 7 5" xfId="6783"/>
    <cellStyle name="Normal 5 2 2 8" xfId="1913"/>
    <cellStyle name="Normal 5 2 2 8 2" xfId="9445"/>
    <cellStyle name="Normal 5 2 2 8 2 2" xfId="18272"/>
    <cellStyle name="Normal 5 2 2 8 3" xfId="10889"/>
    <cellStyle name="Normal 5 2 2 8 4" xfId="7989"/>
    <cellStyle name="Normal 5 2 2 9" xfId="1883"/>
    <cellStyle name="Normal 5 2 2 9 2" xfId="14683"/>
    <cellStyle name="Normal 5 2 2 9 3" xfId="5597"/>
    <cellStyle name="Normal 5 2 2_Degree data" xfId="1249"/>
    <cellStyle name="Normal 5 2 3" xfId="177"/>
    <cellStyle name="Normal 5 2 4" xfId="253"/>
    <cellStyle name="Normal 5 2 4 10" xfId="11007"/>
    <cellStyle name="Normal 5 2 4 11" xfId="4424"/>
    <cellStyle name="Normal 5 2 4 2" xfId="361"/>
    <cellStyle name="Normal 5 2 4 2 2" xfId="681"/>
    <cellStyle name="Normal 5 2 4 2 2 2" xfId="2410"/>
    <cellStyle name="Normal 5 2 4 2 2 2 2" xfId="16299"/>
    <cellStyle name="Normal 5 2 4 2 2 2 3" xfId="12721"/>
    <cellStyle name="Normal 5 2 4 2 2 2 4" xfId="7431"/>
    <cellStyle name="Normal 5 2 4 2 2 3" xfId="3678"/>
    <cellStyle name="Normal 5 2 4 2 2 3 2" xfId="17324"/>
    <cellStyle name="Normal 5 2 4 2 2 3 3" xfId="13745"/>
    <cellStyle name="Normal 5 2 4 2 2 3 4" xfId="8488"/>
    <cellStyle name="Normal 5 2 4 2 2 4" xfId="6547"/>
    <cellStyle name="Normal 5 2 4 2 2 4 2" xfId="15631"/>
    <cellStyle name="Normal 5 2 4 2 2 5" xfId="9942"/>
    <cellStyle name="Normal 5 2 4 2 2 5 2" xfId="18769"/>
    <cellStyle name="Normal 5 2 4 2 2 6" xfId="11387"/>
    <cellStyle name="Normal 5 2 4 2 2 7" xfId="5025"/>
    <cellStyle name="Normal 5 2 4 2 3" xfId="1038"/>
    <cellStyle name="Normal 5 2 4 2 3 2" xfId="2758"/>
    <cellStyle name="Normal 5 2 4 2 3 2 2" xfId="16724"/>
    <cellStyle name="Normal 5 2 4 2 3 2 3" xfId="13145"/>
    <cellStyle name="Normal 5 2 4 2 3 2 4" xfId="7856"/>
    <cellStyle name="Normal 5 2 4 2 3 3" xfId="4027"/>
    <cellStyle name="Normal 5 2 4 2 3 3 2" xfId="17672"/>
    <cellStyle name="Normal 5 2 4 2 3 3 3" xfId="14093"/>
    <cellStyle name="Normal 5 2 4 2 3 3 4" xfId="8836"/>
    <cellStyle name="Normal 5 2 4 2 3 4" xfId="6263"/>
    <cellStyle name="Normal 5 2 4 2 3 4 2" xfId="15347"/>
    <cellStyle name="Normal 5 2 4 2 3 5" xfId="10290"/>
    <cellStyle name="Normal 5 2 4 2 3 5 2" xfId="19117"/>
    <cellStyle name="Normal 5 2 4 2 3 6" xfId="11736"/>
    <cellStyle name="Normal 5 2 4 2 3 7" xfId="5450"/>
    <cellStyle name="Normal 5 2 4 2 4" xfId="1576"/>
    <cellStyle name="Normal 5 2 4 2 4 2" xfId="3174"/>
    <cellStyle name="Normal 5 2 4 2 4 2 2" xfId="18088"/>
    <cellStyle name="Normal 5 2 4 2 4 2 3" xfId="14509"/>
    <cellStyle name="Normal 5 2 4 2 4 2 4" xfId="9252"/>
    <cellStyle name="Normal 5 2 4 2 4 3" xfId="10706"/>
    <cellStyle name="Normal 5 2 4 2 4 3 2" xfId="19533"/>
    <cellStyle name="Normal 5 2 4 2 4 4" xfId="12152"/>
    <cellStyle name="Normal 5 2 4 2 4 5" xfId="7147"/>
    <cellStyle name="Normal 5 2 4 2 5" xfId="2131"/>
    <cellStyle name="Normal 5 2 4 2 5 2" xfId="17045"/>
    <cellStyle name="Normal 5 2 4 2 5 3" xfId="13466"/>
    <cellStyle name="Normal 5 2 4 2 5 4" xfId="8209"/>
    <cellStyle name="Normal 5 2 4 2 6" xfId="5770"/>
    <cellStyle name="Normal 5 2 4 2 6 2" xfId="14856"/>
    <cellStyle name="Normal 5 2 4 2 7" xfId="9663"/>
    <cellStyle name="Normal 5 2 4 2 7 2" xfId="18490"/>
    <cellStyle name="Normal 5 2 4 2 8" xfId="11107"/>
    <cellStyle name="Normal 5 2 4 2 9" xfId="4741"/>
    <cellStyle name="Normal 5 2 4 2_Degree data" xfId="1293"/>
    <cellStyle name="Normal 5 2 4 3" xfId="680"/>
    <cellStyle name="Normal 5 2 4 3 2" xfId="2409"/>
    <cellStyle name="Normal 5 2 4 3 2 2" xfId="16061"/>
    <cellStyle name="Normal 5 2 4 3 2 3" xfId="12395"/>
    <cellStyle name="Normal 5 2 4 3 2 4" xfId="7047"/>
    <cellStyle name="Normal 5 2 4 3 3" xfId="3677"/>
    <cellStyle name="Normal 5 2 4 3 3 2" xfId="17323"/>
    <cellStyle name="Normal 5 2 4 3 3 3" xfId="13744"/>
    <cellStyle name="Normal 5 2 4 3 3 4" xfId="8487"/>
    <cellStyle name="Normal 5 2 4 3 4" xfId="6163"/>
    <cellStyle name="Normal 5 2 4 3 4 2" xfId="15247"/>
    <cellStyle name="Normal 5 2 4 3 5" xfId="9941"/>
    <cellStyle name="Normal 5 2 4 3 5 2" xfId="18768"/>
    <cellStyle name="Normal 5 2 4 3 6" xfId="11386"/>
    <cellStyle name="Normal 5 2 4 3 7" xfId="4641"/>
    <cellStyle name="Normal 5 2 4 4" xfId="1037"/>
    <cellStyle name="Normal 5 2 4 4 2" xfId="2757"/>
    <cellStyle name="Normal 5 2 4 4 2 2" xfId="16298"/>
    <cellStyle name="Normal 5 2 4 4 2 3" xfId="12720"/>
    <cellStyle name="Normal 5 2 4 4 2 4" xfId="7430"/>
    <cellStyle name="Normal 5 2 4 4 3" xfId="4026"/>
    <cellStyle name="Normal 5 2 4 4 3 2" xfId="17671"/>
    <cellStyle name="Normal 5 2 4 4 3 3" xfId="14092"/>
    <cellStyle name="Normal 5 2 4 4 3 4" xfId="8835"/>
    <cellStyle name="Normal 5 2 4 4 4" xfId="6546"/>
    <cellStyle name="Normal 5 2 4 4 4 2" xfId="15630"/>
    <cellStyle name="Normal 5 2 4 4 5" xfId="10289"/>
    <cellStyle name="Normal 5 2 4 4 5 2" xfId="19116"/>
    <cellStyle name="Normal 5 2 4 4 6" xfId="11735"/>
    <cellStyle name="Normal 5 2 4 4 7" xfId="5024"/>
    <cellStyle name="Normal 5 2 4 5" xfId="1474"/>
    <cellStyle name="Normal 5 2 4 5 2" xfId="3074"/>
    <cellStyle name="Normal 5 2 4 5 2 2" xfId="16624"/>
    <cellStyle name="Normal 5 2 4 5 2 3" xfId="13045"/>
    <cellStyle name="Normal 5 2 4 5 2 4" xfId="7756"/>
    <cellStyle name="Normal 5 2 4 5 3" xfId="4283"/>
    <cellStyle name="Normal 5 2 4 5 3 2" xfId="17988"/>
    <cellStyle name="Normal 5 2 4 5 3 3" xfId="14409"/>
    <cellStyle name="Normal 5 2 4 5 3 4" xfId="9152"/>
    <cellStyle name="Normal 5 2 4 5 4" xfId="5944"/>
    <cellStyle name="Normal 5 2 4 5 4 2" xfId="15030"/>
    <cellStyle name="Normal 5 2 4 5 5" xfId="10606"/>
    <cellStyle name="Normal 5 2 4 5 5 2" xfId="19433"/>
    <cellStyle name="Normal 5 2 4 5 6" xfId="12052"/>
    <cellStyle name="Normal 5 2 4 5 7" xfId="5350"/>
    <cellStyle name="Normal 5 2 4 6" xfId="2031"/>
    <cellStyle name="Normal 5 2 4 6 2" xfId="15873"/>
    <cellStyle name="Normal 5 2 4 6 3" xfId="12433"/>
    <cellStyle name="Normal 5 2 4 6 4" xfId="6830"/>
    <cellStyle name="Normal 5 2 4 7" xfId="3445"/>
    <cellStyle name="Normal 5 2 4 7 2" xfId="16945"/>
    <cellStyle name="Normal 5 2 4 7 3" xfId="13366"/>
    <cellStyle name="Normal 5 2 4 7 4" xfId="8109"/>
    <cellStyle name="Normal 5 2 4 8" xfId="5670"/>
    <cellStyle name="Normal 5 2 4 8 2" xfId="14756"/>
    <cellStyle name="Normal 5 2 4 9" xfId="9563"/>
    <cellStyle name="Normal 5 2 4 9 2" xfId="18390"/>
    <cellStyle name="Normal 5 2 4_Degree data" xfId="1294"/>
    <cellStyle name="Normal 5 2 5" xfId="195"/>
    <cellStyle name="Normal 5 2 5 10" xfId="10952"/>
    <cellStyle name="Normal 5 2 5 11" xfId="4474"/>
    <cellStyle name="Normal 5 2 5 2" xfId="412"/>
    <cellStyle name="Normal 5 2 5 2 2" xfId="683"/>
    <cellStyle name="Normal 5 2 5 2 2 2" xfId="2412"/>
    <cellStyle name="Normal 5 2 5 2 2 2 2" xfId="16301"/>
    <cellStyle name="Normal 5 2 5 2 2 2 3" xfId="12723"/>
    <cellStyle name="Normal 5 2 5 2 2 2 4" xfId="7433"/>
    <cellStyle name="Normal 5 2 5 2 2 3" xfId="3680"/>
    <cellStyle name="Normal 5 2 5 2 2 3 2" xfId="17326"/>
    <cellStyle name="Normal 5 2 5 2 2 3 3" xfId="13747"/>
    <cellStyle name="Normal 5 2 5 2 2 3 4" xfId="8490"/>
    <cellStyle name="Normal 5 2 5 2 2 4" xfId="6549"/>
    <cellStyle name="Normal 5 2 5 2 2 4 2" xfId="15633"/>
    <cellStyle name="Normal 5 2 5 2 2 5" xfId="9944"/>
    <cellStyle name="Normal 5 2 5 2 2 5 2" xfId="18771"/>
    <cellStyle name="Normal 5 2 5 2 2 6" xfId="11389"/>
    <cellStyle name="Normal 5 2 5 2 2 7" xfId="5027"/>
    <cellStyle name="Normal 5 2 5 2 3" xfId="1040"/>
    <cellStyle name="Normal 5 2 5 2 3 2" xfId="2760"/>
    <cellStyle name="Normal 5 2 5 2 3 2 2" xfId="16774"/>
    <cellStyle name="Normal 5 2 5 2 3 2 3" xfId="13195"/>
    <cellStyle name="Normal 5 2 5 2 3 2 4" xfId="7906"/>
    <cellStyle name="Normal 5 2 5 2 3 3" xfId="4029"/>
    <cellStyle name="Normal 5 2 5 2 3 3 2" xfId="17674"/>
    <cellStyle name="Normal 5 2 5 2 3 3 3" xfId="14095"/>
    <cellStyle name="Normal 5 2 5 2 3 3 4" xfId="8838"/>
    <cellStyle name="Normal 5 2 5 2 3 4" xfId="6313"/>
    <cellStyle name="Normal 5 2 5 2 3 4 2" xfId="15397"/>
    <cellStyle name="Normal 5 2 5 2 3 5" xfId="10292"/>
    <cellStyle name="Normal 5 2 5 2 3 5 2" xfId="19119"/>
    <cellStyle name="Normal 5 2 5 2 3 6" xfId="11738"/>
    <cellStyle name="Normal 5 2 5 2 3 7" xfId="5500"/>
    <cellStyle name="Normal 5 2 5 2 4" xfId="1628"/>
    <cellStyle name="Normal 5 2 5 2 4 2" xfId="3224"/>
    <cellStyle name="Normal 5 2 5 2 4 2 2" xfId="18138"/>
    <cellStyle name="Normal 5 2 5 2 4 2 3" xfId="14559"/>
    <cellStyle name="Normal 5 2 5 2 4 2 4" xfId="9302"/>
    <cellStyle name="Normal 5 2 5 2 4 3" xfId="10756"/>
    <cellStyle name="Normal 5 2 5 2 4 3 2" xfId="19583"/>
    <cellStyle name="Normal 5 2 5 2 4 4" xfId="12202"/>
    <cellStyle name="Normal 5 2 5 2 4 5" xfId="7197"/>
    <cellStyle name="Normal 5 2 5 2 5" xfId="2181"/>
    <cellStyle name="Normal 5 2 5 2 5 2" xfId="17095"/>
    <cellStyle name="Normal 5 2 5 2 5 3" xfId="13516"/>
    <cellStyle name="Normal 5 2 5 2 5 4" xfId="8259"/>
    <cellStyle name="Normal 5 2 5 2 6" xfId="5820"/>
    <cellStyle name="Normal 5 2 5 2 6 2" xfId="14906"/>
    <cellStyle name="Normal 5 2 5 2 7" xfId="9713"/>
    <cellStyle name="Normal 5 2 5 2 7 2" xfId="18540"/>
    <cellStyle name="Normal 5 2 5 2 8" xfId="11157"/>
    <cellStyle name="Normal 5 2 5 2 9" xfId="4791"/>
    <cellStyle name="Normal 5 2 5 2_Degree data" xfId="1263"/>
    <cellStyle name="Normal 5 2 5 3" xfId="682"/>
    <cellStyle name="Normal 5 2 5 3 2" xfId="2411"/>
    <cellStyle name="Normal 5 2 5 3 2 2" xfId="16006"/>
    <cellStyle name="Normal 5 2 5 3 2 3" xfId="12347"/>
    <cellStyle name="Normal 5 2 5 3 2 4" xfId="6992"/>
    <cellStyle name="Normal 5 2 5 3 3" xfId="3679"/>
    <cellStyle name="Normal 5 2 5 3 3 2" xfId="17325"/>
    <cellStyle name="Normal 5 2 5 3 3 3" xfId="13746"/>
    <cellStyle name="Normal 5 2 5 3 3 4" xfId="8489"/>
    <cellStyle name="Normal 5 2 5 3 4" xfId="6108"/>
    <cellStyle name="Normal 5 2 5 3 4 2" xfId="15192"/>
    <cellStyle name="Normal 5 2 5 3 5" xfId="9943"/>
    <cellStyle name="Normal 5 2 5 3 5 2" xfId="18770"/>
    <cellStyle name="Normal 5 2 5 3 6" xfId="11388"/>
    <cellStyle name="Normal 5 2 5 3 7" xfId="4586"/>
    <cellStyle name="Normal 5 2 5 4" xfId="1039"/>
    <cellStyle name="Normal 5 2 5 4 2" xfId="2759"/>
    <cellStyle name="Normal 5 2 5 4 2 2" xfId="16300"/>
    <cellStyle name="Normal 5 2 5 4 2 3" xfId="12722"/>
    <cellStyle name="Normal 5 2 5 4 2 4" xfId="7432"/>
    <cellStyle name="Normal 5 2 5 4 3" xfId="4028"/>
    <cellStyle name="Normal 5 2 5 4 3 2" xfId="17673"/>
    <cellStyle name="Normal 5 2 5 4 3 3" xfId="14094"/>
    <cellStyle name="Normal 5 2 5 4 3 4" xfId="8837"/>
    <cellStyle name="Normal 5 2 5 4 4" xfId="6548"/>
    <cellStyle name="Normal 5 2 5 4 4 2" xfId="15632"/>
    <cellStyle name="Normal 5 2 5 4 5" xfId="10291"/>
    <cellStyle name="Normal 5 2 5 4 5 2" xfId="19118"/>
    <cellStyle name="Normal 5 2 5 4 6" xfId="11737"/>
    <cellStyle name="Normal 5 2 5 4 7" xfId="5026"/>
    <cellStyle name="Normal 5 2 5 5" xfId="1414"/>
    <cellStyle name="Normal 5 2 5 5 2" xfId="3019"/>
    <cellStyle name="Normal 5 2 5 5 2 2" xfId="16569"/>
    <cellStyle name="Normal 5 2 5 5 2 3" xfId="12990"/>
    <cellStyle name="Normal 5 2 5 5 2 4" xfId="7701"/>
    <cellStyle name="Normal 5 2 5 5 3" xfId="4228"/>
    <cellStyle name="Normal 5 2 5 5 3 2" xfId="17933"/>
    <cellStyle name="Normal 5 2 5 5 3 3" xfId="14354"/>
    <cellStyle name="Normal 5 2 5 5 3 4" xfId="9097"/>
    <cellStyle name="Normal 5 2 5 5 4" xfId="5994"/>
    <cellStyle name="Normal 5 2 5 5 4 2" xfId="15080"/>
    <cellStyle name="Normal 5 2 5 5 5" xfId="10551"/>
    <cellStyle name="Normal 5 2 5 5 5 2" xfId="19378"/>
    <cellStyle name="Normal 5 2 5 5 6" xfId="11997"/>
    <cellStyle name="Normal 5 2 5 5 7" xfId="5295"/>
    <cellStyle name="Normal 5 2 5 6" xfId="1976"/>
    <cellStyle name="Normal 5 2 5 6 2" xfId="15923"/>
    <cellStyle name="Normal 5 2 5 6 3" xfId="12276"/>
    <cellStyle name="Normal 5 2 5 6 4" xfId="6880"/>
    <cellStyle name="Normal 5 2 5 7" xfId="3391"/>
    <cellStyle name="Normal 5 2 5 7 2" xfId="16890"/>
    <cellStyle name="Normal 5 2 5 7 3" xfId="13311"/>
    <cellStyle name="Normal 5 2 5 7 4" xfId="8054"/>
    <cellStyle name="Normal 5 2 5 8" xfId="5615"/>
    <cellStyle name="Normal 5 2 5 8 2" xfId="14701"/>
    <cellStyle name="Normal 5 2 5 9" xfId="9508"/>
    <cellStyle name="Normal 5 2 5 9 2" xfId="18335"/>
    <cellStyle name="Normal 5 2 5_Degree data" xfId="1267"/>
    <cellStyle name="Normal 5 2 6" xfId="464"/>
    <cellStyle name="Normal 5 2 6 10" xfId="4529"/>
    <cellStyle name="Normal 5 2 6 2" xfId="684"/>
    <cellStyle name="Normal 5 2 6 2 2" xfId="2413"/>
    <cellStyle name="Normal 5 2 6 2 2 2" xfId="16121"/>
    <cellStyle name="Normal 5 2 6 2 2 3" xfId="12543"/>
    <cellStyle name="Normal 5 2 6 2 2 4" xfId="7252"/>
    <cellStyle name="Normal 5 2 6 2 3" xfId="3681"/>
    <cellStyle name="Normal 5 2 6 2 3 2" xfId="17327"/>
    <cellStyle name="Normal 5 2 6 2 3 3" xfId="13748"/>
    <cellStyle name="Normal 5 2 6 2 3 4" xfId="8491"/>
    <cellStyle name="Normal 5 2 6 2 4" xfId="6368"/>
    <cellStyle name="Normal 5 2 6 2 4 2" xfId="15452"/>
    <cellStyle name="Normal 5 2 6 2 5" xfId="9945"/>
    <cellStyle name="Normal 5 2 6 2 5 2" xfId="18772"/>
    <cellStyle name="Normal 5 2 6 2 6" xfId="11390"/>
    <cellStyle name="Normal 5 2 6 2 7" xfId="4846"/>
    <cellStyle name="Normal 5 2 6 3" xfId="1041"/>
    <cellStyle name="Normal 5 2 6 3 2" xfId="2761"/>
    <cellStyle name="Normal 5 2 6 3 2 2" xfId="16302"/>
    <cellStyle name="Normal 5 2 6 3 2 3" xfId="12724"/>
    <cellStyle name="Normal 5 2 6 3 2 4" xfId="7434"/>
    <cellStyle name="Normal 5 2 6 3 3" xfId="4030"/>
    <cellStyle name="Normal 5 2 6 3 3 2" xfId="17675"/>
    <cellStyle name="Normal 5 2 6 3 3 3" xfId="14096"/>
    <cellStyle name="Normal 5 2 6 3 3 4" xfId="8839"/>
    <cellStyle name="Normal 5 2 6 3 4" xfId="6550"/>
    <cellStyle name="Normal 5 2 6 3 4 2" xfId="15634"/>
    <cellStyle name="Normal 5 2 6 3 5" xfId="10293"/>
    <cellStyle name="Normal 5 2 6 3 5 2" xfId="19120"/>
    <cellStyle name="Normal 5 2 6 3 6" xfId="11739"/>
    <cellStyle name="Normal 5 2 6 3 7" xfId="5028"/>
    <cellStyle name="Normal 5 2 6 4" xfId="1686"/>
    <cellStyle name="Normal 5 2 6 4 2" xfId="3279"/>
    <cellStyle name="Normal 5 2 6 4 2 2" xfId="16829"/>
    <cellStyle name="Normal 5 2 6 4 2 3" xfId="13250"/>
    <cellStyle name="Normal 5 2 6 4 2 4" xfId="7961"/>
    <cellStyle name="Normal 5 2 6 4 3" xfId="4343"/>
    <cellStyle name="Normal 5 2 6 4 3 2" xfId="18193"/>
    <cellStyle name="Normal 5 2 6 4 3 3" xfId="14614"/>
    <cellStyle name="Normal 5 2 6 4 3 4" xfId="9357"/>
    <cellStyle name="Normal 5 2 6 4 4" xfId="6049"/>
    <cellStyle name="Normal 5 2 6 4 4 2" xfId="15135"/>
    <cellStyle name="Normal 5 2 6 4 5" xfId="10811"/>
    <cellStyle name="Normal 5 2 6 4 5 2" xfId="19638"/>
    <cellStyle name="Normal 5 2 6 4 6" xfId="12257"/>
    <cellStyle name="Normal 5 2 6 4 7" xfId="5555"/>
    <cellStyle name="Normal 5 2 6 5" xfId="2236"/>
    <cellStyle name="Normal 5 2 6 5 2" xfId="15978"/>
    <cellStyle name="Normal 5 2 6 5 3" xfId="12266"/>
    <cellStyle name="Normal 5 2 6 5 4" xfId="6935"/>
    <cellStyle name="Normal 5 2 6 6" xfId="3505"/>
    <cellStyle name="Normal 5 2 6 6 2" xfId="17150"/>
    <cellStyle name="Normal 5 2 6 6 3" xfId="13571"/>
    <cellStyle name="Normal 5 2 6 6 4" xfId="8314"/>
    <cellStyle name="Normal 5 2 6 7" xfId="5875"/>
    <cellStyle name="Normal 5 2 6 7 2" xfId="14961"/>
    <cellStyle name="Normal 5 2 6 8" xfId="9768"/>
    <cellStyle name="Normal 5 2 6 8 2" xfId="18595"/>
    <cellStyle name="Normal 5 2 6 9" xfId="11212"/>
    <cellStyle name="Normal 5 2 6_Degree data" xfId="1255"/>
    <cellStyle name="Normal 5 2 7" xfId="306"/>
    <cellStyle name="Normal 5 2 7 2" xfId="685"/>
    <cellStyle name="Normal 5 2 7 2 2" xfId="2414"/>
    <cellStyle name="Normal 5 2 7 2 2 2" xfId="16303"/>
    <cellStyle name="Normal 5 2 7 2 2 3" xfId="12725"/>
    <cellStyle name="Normal 5 2 7 2 2 4" xfId="7435"/>
    <cellStyle name="Normal 5 2 7 2 3" xfId="3682"/>
    <cellStyle name="Normal 5 2 7 2 3 2" xfId="17328"/>
    <cellStyle name="Normal 5 2 7 2 3 3" xfId="13749"/>
    <cellStyle name="Normal 5 2 7 2 3 4" xfId="8492"/>
    <cellStyle name="Normal 5 2 7 2 4" xfId="6551"/>
    <cellStyle name="Normal 5 2 7 2 4 2" xfId="15635"/>
    <cellStyle name="Normal 5 2 7 2 5" xfId="9946"/>
    <cellStyle name="Normal 5 2 7 2 5 2" xfId="18773"/>
    <cellStyle name="Normal 5 2 7 2 6" xfId="11391"/>
    <cellStyle name="Normal 5 2 7 2 7" xfId="5029"/>
    <cellStyle name="Normal 5 2 7 3" xfId="1042"/>
    <cellStyle name="Normal 5 2 7 3 2" xfId="2762"/>
    <cellStyle name="Normal 5 2 7 3 2 2" xfId="16669"/>
    <cellStyle name="Normal 5 2 7 3 2 3" xfId="13090"/>
    <cellStyle name="Normal 5 2 7 3 2 4" xfId="7801"/>
    <cellStyle name="Normal 5 2 7 3 3" xfId="4031"/>
    <cellStyle name="Normal 5 2 7 3 3 2" xfId="17676"/>
    <cellStyle name="Normal 5 2 7 3 3 3" xfId="14097"/>
    <cellStyle name="Normal 5 2 7 3 3 4" xfId="8840"/>
    <cellStyle name="Normal 5 2 7 3 4" xfId="6208"/>
    <cellStyle name="Normal 5 2 7 3 4 2" xfId="15292"/>
    <cellStyle name="Normal 5 2 7 3 5" xfId="10294"/>
    <cellStyle name="Normal 5 2 7 3 5 2" xfId="19121"/>
    <cellStyle name="Normal 5 2 7 3 6" xfId="11740"/>
    <cellStyle name="Normal 5 2 7 3 7" xfId="5395"/>
    <cellStyle name="Normal 5 2 7 4" xfId="1520"/>
    <cellStyle name="Normal 5 2 7 4 2" xfId="3119"/>
    <cellStyle name="Normal 5 2 7 4 2 2" xfId="18033"/>
    <cellStyle name="Normal 5 2 7 4 2 3" xfId="14454"/>
    <cellStyle name="Normal 5 2 7 4 2 4" xfId="9197"/>
    <cellStyle name="Normal 5 2 7 4 3" xfId="10651"/>
    <cellStyle name="Normal 5 2 7 4 3 2" xfId="19478"/>
    <cellStyle name="Normal 5 2 7 4 4" xfId="12097"/>
    <cellStyle name="Normal 5 2 7 4 5" xfId="7092"/>
    <cellStyle name="Normal 5 2 7 5" xfId="2076"/>
    <cellStyle name="Normal 5 2 7 5 2" xfId="16990"/>
    <cellStyle name="Normal 5 2 7 5 3" xfId="13411"/>
    <cellStyle name="Normal 5 2 7 5 4" xfId="8154"/>
    <cellStyle name="Normal 5 2 7 6" xfId="5715"/>
    <cellStyle name="Normal 5 2 7 6 2" xfId="14801"/>
    <cellStyle name="Normal 5 2 7 7" xfId="9608"/>
    <cellStyle name="Normal 5 2 7 7 2" xfId="18435"/>
    <cellStyle name="Normal 5 2 7 8" xfId="11052"/>
    <cellStyle name="Normal 5 2 7 9" xfId="4686"/>
    <cellStyle name="Normal 5 2 7_Degree data" xfId="1309"/>
    <cellStyle name="Normal 5 2 8" xfId="1847"/>
    <cellStyle name="Normal 5 2 8 2" xfId="14974"/>
    <cellStyle name="Normal 5 2 8 3" xfId="12317"/>
    <cellStyle name="Normal 5 2 8 4" xfId="5888"/>
    <cellStyle name="Normal 5 2 9" xfId="3291"/>
    <cellStyle name="Normal 5 2 9 2" xfId="15847"/>
    <cellStyle name="Normal 5 2 9 3" xfId="12470"/>
    <cellStyle name="Normal 5 2 9 4" xfId="6774"/>
    <cellStyle name="Normal 5 3" xfId="126"/>
    <cellStyle name="Normal 5 3 10" xfId="1905"/>
    <cellStyle name="Normal 5 3 10 2" xfId="9437"/>
    <cellStyle name="Normal 5 3 10 2 2" xfId="18264"/>
    <cellStyle name="Normal 5 3 10 3" xfId="10881"/>
    <cellStyle name="Normal 5 3 10 4" xfId="7981"/>
    <cellStyle name="Normal 5 3 11" xfId="1875"/>
    <cellStyle name="Normal 5 3 11 2" xfId="14650"/>
    <cellStyle name="Normal 5 3 11 3" xfId="5564"/>
    <cellStyle name="Normal 5 3 12" xfId="9407"/>
    <cellStyle name="Normal 5 3 12 2" xfId="18234"/>
    <cellStyle name="Normal 5 3 13" xfId="10851"/>
    <cellStyle name="Normal 5 3 14" xfId="4365"/>
    <cellStyle name="Normal 5 3 2" xfId="159"/>
    <cellStyle name="Normal 5 3 2 10" xfId="5589"/>
    <cellStyle name="Normal 5 3 2 10 2" xfId="14675"/>
    <cellStyle name="Normal 5 3 2 11" xfId="9482"/>
    <cellStyle name="Normal 5 3 2 11 2" xfId="18309"/>
    <cellStyle name="Normal 5 3 2 12" xfId="10926"/>
    <cellStyle name="Normal 5 3 2 13" xfId="4400"/>
    <cellStyle name="Normal 5 3 2 2" xfId="229"/>
    <cellStyle name="Normal 5 3 2 2 10" xfId="10983"/>
    <cellStyle name="Normal 5 3 2 2 11" xfId="4504"/>
    <cellStyle name="Normal 5 3 2 2 2" xfId="442"/>
    <cellStyle name="Normal 5 3 2 2 2 2" xfId="689"/>
    <cellStyle name="Normal 5 3 2 2 2 2 2" xfId="2418"/>
    <cellStyle name="Normal 5 3 2 2 2 2 2 2" xfId="16307"/>
    <cellStyle name="Normal 5 3 2 2 2 2 2 3" xfId="12729"/>
    <cellStyle name="Normal 5 3 2 2 2 2 2 4" xfId="7439"/>
    <cellStyle name="Normal 5 3 2 2 2 2 3" xfId="3686"/>
    <cellStyle name="Normal 5 3 2 2 2 2 3 2" xfId="17332"/>
    <cellStyle name="Normal 5 3 2 2 2 2 3 3" xfId="13753"/>
    <cellStyle name="Normal 5 3 2 2 2 2 3 4" xfId="8496"/>
    <cellStyle name="Normal 5 3 2 2 2 2 4" xfId="6555"/>
    <cellStyle name="Normal 5 3 2 2 2 2 4 2" xfId="15639"/>
    <cellStyle name="Normal 5 3 2 2 2 2 5" xfId="9950"/>
    <cellStyle name="Normal 5 3 2 2 2 2 5 2" xfId="18777"/>
    <cellStyle name="Normal 5 3 2 2 2 2 6" xfId="11395"/>
    <cellStyle name="Normal 5 3 2 2 2 2 7" xfId="5033"/>
    <cellStyle name="Normal 5 3 2 2 2 3" xfId="1046"/>
    <cellStyle name="Normal 5 3 2 2 2 3 2" xfId="2766"/>
    <cellStyle name="Normal 5 3 2 2 2 3 2 2" xfId="16804"/>
    <cellStyle name="Normal 5 3 2 2 2 3 2 3" xfId="13225"/>
    <cellStyle name="Normal 5 3 2 2 2 3 2 4" xfId="7936"/>
    <cellStyle name="Normal 5 3 2 2 2 3 3" xfId="4035"/>
    <cellStyle name="Normal 5 3 2 2 2 3 3 2" xfId="17680"/>
    <cellStyle name="Normal 5 3 2 2 2 3 3 3" xfId="14101"/>
    <cellStyle name="Normal 5 3 2 2 2 3 3 4" xfId="8844"/>
    <cellStyle name="Normal 5 3 2 2 2 3 4" xfId="6343"/>
    <cellStyle name="Normal 5 3 2 2 2 3 4 2" xfId="15427"/>
    <cellStyle name="Normal 5 3 2 2 2 3 5" xfId="10298"/>
    <cellStyle name="Normal 5 3 2 2 2 3 5 2" xfId="19125"/>
    <cellStyle name="Normal 5 3 2 2 2 3 6" xfId="11744"/>
    <cellStyle name="Normal 5 3 2 2 2 3 7" xfId="5530"/>
    <cellStyle name="Normal 5 3 2 2 2 4" xfId="1658"/>
    <cellStyle name="Normal 5 3 2 2 2 4 2" xfId="3254"/>
    <cellStyle name="Normal 5 3 2 2 2 4 2 2" xfId="18168"/>
    <cellStyle name="Normal 5 3 2 2 2 4 2 3" xfId="14589"/>
    <cellStyle name="Normal 5 3 2 2 2 4 2 4" xfId="9332"/>
    <cellStyle name="Normal 5 3 2 2 2 4 3" xfId="10786"/>
    <cellStyle name="Normal 5 3 2 2 2 4 3 2" xfId="19613"/>
    <cellStyle name="Normal 5 3 2 2 2 4 4" xfId="12232"/>
    <cellStyle name="Normal 5 3 2 2 2 4 5" xfId="7227"/>
    <cellStyle name="Normal 5 3 2 2 2 5" xfId="2211"/>
    <cellStyle name="Normal 5 3 2 2 2 5 2" xfId="17125"/>
    <cellStyle name="Normal 5 3 2 2 2 5 3" xfId="13546"/>
    <cellStyle name="Normal 5 3 2 2 2 5 4" xfId="8289"/>
    <cellStyle name="Normal 5 3 2 2 2 6" xfId="5850"/>
    <cellStyle name="Normal 5 3 2 2 2 6 2" xfId="14936"/>
    <cellStyle name="Normal 5 3 2 2 2 7" xfId="9743"/>
    <cellStyle name="Normal 5 3 2 2 2 7 2" xfId="18570"/>
    <cellStyle name="Normal 5 3 2 2 2 8" xfId="11187"/>
    <cellStyle name="Normal 5 3 2 2 2 9" xfId="4821"/>
    <cellStyle name="Normal 5 3 2 2 2_Degree data" xfId="1221"/>
    <cellStyle name="Normal 5 3 2 2 3" xfId="688"/>
    <cellStyle name="Normal 5 3 2 2 3 2" xfId="2417"/>
    <cellStyle name="Normal 5 3 2 2 3 2 2" xfId="16037"/>
    <cellStyle name="Normal 5 3 2 2 3 2 3" xfId="12505"/>
    <cellStyle name="Normal 5 3 2 2 3 2 4" xfId="7023"/>
    <cellStyle name="Normal 5 3 2 2 3 3" xfId="3685"/>
    <cellStyle name="Normal 5 3 2 2 3 3 2" xfId="17331"/>
    <cellStyle name="Normal 5 3 2 2 3 3 3" xfId="13752"/>
    <cellStyle name="Normal 5 3 2 2 3 3 4" xfId="8495"/>
    <cellStyle name="Normal 5 3 2 2 3 4" xfId="6139"/>
    <cellStyle name="Normal 5 3 2 2 3 4 2" xfId="15223"/>
    <cellStyle name="Normal 5 3 2 2 3 5" xfId="9949"/>
    <cellStyle name="Normal 5 3 2 2 3 5 2" xfId="18776"/>
    <cellStyle name="Normal 5 3 2 2 3 6" xfId="11394"/>
    <cellStyle name="Normal 5 3 2 2 3 7" xfId="4617"/>
    <cellStyle name="Normal 5 3 2 2 4" xfId="1045"/>
    <cellStyle name="Normal 5 3 2 2 4 2" xfId="2765"/>
    <cellStyle name="Normal 5 3 2 2 4 2 2" xfId="16306"/>
    <cellStyle name="Normal 5 3 2 2 4 2 3" xfId="12728"/>
    <cellStyle name="Normal 5 3 2 2 4 2 4" xfId="7438"/>
    <cellStyle name="Normal 5 3 2 2 4 3" xfId="4034"/>
    <cellStyle name="Normal 5 3 2 2 4 3 2" xfId="17679"/>
    <cellStyle name="Normal 5 3 2 2 4 3 3" xfId="14100"/>
    <cellStyle name="Normal 5 3 2 2 4 3 4" xfId="8843"/>
    <cellStyle name="Normal 5 3 2 2 4 4" xfId="6554"/>
    <cellStyle name="Normal 5 3 2 2 4 4 2" xfId="15638"/>
    <cellStyle name="Normal 5 3 2 2 4 5" xfId="10297"/>
    <cellStyle name="Normal 5 3 2 2 4 5 2" xfId="19124"/>
    <cellStyle name="Normal 5 3 2 2 4 6" xfId="11743"/>
    <cellStyle name="Normal 5 3 2 2 4 7" xfId="5032"/>
    <cellStyle name="Normal 5 3 2 2 5" xfId="1449"/>
    <cellStyle name="Normal 5 3 2 2 5 2" xfId="3050"/>
    <cellStyle name="Normal 5 3 2 2 5 2 2" xfId="16600"/>
    <cellStyle name="Normal 5 3 2 2 5 2 3" xfId="13021"/>
    <cellStyle name="Normal 5 3 2 2 5 2 4" xfId="7732"/>
    <cellStyle name="Normal 5 3 2 2 5 3" xfId="4259"/>
    <cellStyle name="Normal 5 3 2 2 5 3 2" xfId="17964"/>
    <cellStyle name="Normal 5 3 2 2 5 3 3" xfId="14385"/>
    <cellStyle name="Normal 5 3 2 2 5 3 4" xfId="9128"/>
    <cellStyle name="Normal 5 3 2 2 5 4" xfId="6024"/>
    <cellStyle name="Normal 5 3 2 2 5 4 2" xfId="15110"/>
    <cellStyle name="Normal 5 3 2 2 5 5" xfId="10582"/>
    <cellStyle name="Normal 5 3 2 2 5 5 2" xfId="19409"/>
    <cellStyle name="Normal 5 3 2 2 5 6" xfId="12028"/>
    <cellStyle name="Normal 5 3 2 2 5 7" xfId="5326"/>
    <cellStyle name="Normal 5 3 2 2 6" xfId="2007"/>
    <cellStyle name="Normal 5 3 2 2 6 2" xfId="15953"/>
    <cellStyle name="Normal 5 3 2 2 6 3" xfId="10820"/>
    <cellStyle name="Normal 5 3 2 2 6 4" xfId="6910"/>
    <cellStyle name="Normal 5 3 2 2 7" xfId="3421"/>
    <cellStyle name="Normal 5 3 2 2 7 2" xfId="16921"/>
    <cellStyle name="Normal 5 3 2 2 7 3" xfId="13342"/>
    <cellStyle name="Normal 5 3 2 2 7 4" xfId="8085"/>
    <cellStyle name="Normal 5 3 2 2 8" xfId="5646"/>
    <cellStyle name="Normal 5 3 2 2 8 2" xfId="14732"/>
    <cellStyle name="Normal 5 3 2 2 9" xfId="9539"/>
    <cellStyle name="Normal 5 3 2 2 9 2" xfId="18366"/>
    <cellStyle name="Normal 5 3 2 2_Degree data" xfId="1222"/>
    <cellStyle name="Normal 5 3 2 3" xfId="399"/>
    <cellStyle name="Normal 5 3 2 3 10" xfId="4461"/>
    <cellStyle name="Normal 5 3 2 3 2" xfId="690"/>
    <cellStyle name="Normal 5 3 2 3 2 2" xfId="2419"/>
    <cellStyle name="Normal 5 3 2 3 2 2 2" xfId="16098"/>
    <cellStyle name="Normal 5 3 2 3 2 2 3" xfId="12386"/>
    <cellStyle name="Normal 5 3 2 3 2 2 4" xfId="7184"/>
    <cellStyle name="Normal 5 3 2 3 2 3" xfId="3687"/>
    <cellStyle name="Normal 5 3 2 3 2 3 2" xfId="17333"/>
    <cellStyle name="Normal 5 3 2 3 2 3 3" xfId="13754"/>
    <cellStyle name="Normal 5 3 2 3 2 3 4" xfId="8497"/>
    <cellStyle name="Normal 5 3 2 3 2 4" xfId="6300"/>
    <cellStyle name="Normal 5 3 2 3 2 4 2" xfId="15384"/>
    <cellStyle name="Normal 5 3 2 3 2 5" xfId="9951"/>
    <cellStyle name="Normal 5 3 2 3 2 5 2" xfId="18778"/>
    <cellStyle name="Normal 5 3 2 3 2 6" xfId="11396"/>
    <cellStyle name="Normal 5 3 2 3 2 7" xfId="4778"/>
    <cellStyle name="Normal 5 3 2 3 3" xfId="1047"/>
    <cellStyle name="Normal 5 3 2 3 3 2" xfId="2767"/>
    <cellStyle name="Normal 5 3 2 3 3 2 2" xfId="16308"/>
    <cellStyle name="Normal 5 3 2 3 3 2 3" xfId="12730"/>
    <cellStyle name="Normal 5 3 2 3 3 2 4" xfId="7440"/>
    <cellStyle name="Normal 5 3 2 3 3 3" xfId="4036"/>
    <cellStyle name="Normal 5 3 2 3 3 3 2" xfId="17681"/>
    <cellStyle name="Normal 5 3 2 3 3 3 3" xfId="14102"/>
    <cellStyle name="Normal 5 3 2 3 3 3 4" xfId="8845"/>
    <cellStyle name="Normal 5 3 2 3 3 4" xfId="6556"/>
    <cellStyle name="Normal 5 3 2 3 3 4 2" xfId="15640"/>
    <cellStyle name="Normal 5 3 2 3 3 5" xfId="10299"/>
    <cellStyle name="Normal 5 3 2 3 3 5 2" xfId="19126"/>
    <cellStyle name="Normal 5 3 2 3 3 6" xfId="11745"/>
    <cellStyle name="Normal 5 3 2 3 3 7" xfId="5034"/>
    <cellStyle name="Normal 5 3 2 3 4" xfId="1615"/>
    <cellStyle name="Normal 5 3 2 3 4 2" xfId="3211"/>
    <cellStyle name="Normal 5 3 2 3 4 2 2" xfId="16761"/>
    <cellStyle name="Normal 5 3 2 3 4 2 3" xfId="13182"/>
    <cellStyle name="Normal 5 3 2 3 4 2 4" xfId="7893"/>
    <cellStyle name="Normal 5 3 2 3 4 3" xfId="4320"/>
    <cellStyle name="Normal 5 3 2 3 4 3 2" xfId="18125"/>
    <cellStyle name="Normal 5 3 2 3 4 3 3" xfId="14546"/>
    <cellStyle name="Normal 5 3 2 3 4 3 4" xfId="9289"/>
    <cellStyle name="Normal 5 3 2 3 4 4" xfId="5981"/>
    <cellStyle name="Normal 5 3 2 3 4 4 2" xfId="15067"/>
    <cellStyle name="Normal 5 3 2 3 4 5" xfId="10743"/>
    <cellStyle name="Normal 5 3 2 3 4 5 2" xfId="19570"/>
    <cellStyle name="Normal 5 3 2 3 4 6" xfId="12189"/>
    <cellStyle name="Normal 5 3 2 3 4 7" xfId="5487"/>
    <cellStyle name="Normal 5 3 2 3 5" xfId="2168"/>
    <cellStyle name="Normal 5 3 2 3 5 2" xfId="15910"/>
    <cellStyle name="Normal 5 3 2 3 5 3" xfId="12371"/>
    <cellStyle name="Normal 5 3 2 3 5 4" xfId="6867"/>
    <cellStyle name="Normal 5 3 2 3 6" xfId="3482"/>
    <cellStyle name="Normal 5 3 2 3 6 2" xfId="17082"/>
    <cellStyle name="Normal 5 3 2 3 6 3" xfId="13503"/>
    <cellStyle name="Normal 5 3 2 3 6 4" xfId="8246"/>
    <cellStyle name="Normal 5 3 2 3 7" xfId="5807"/>
    <cellStyle name="Normal 5 3 2 3 7 2" xfId="14893"/>
    <cellStyle name="Normal 5 3 2 3 8" xfId="9700"/>
    <cellStyle name="Normal 5 3 2 3 8 2" xfId="18527"/>
    <cellStyle name="Normal 5 3 2 3 9" xfId="11144"/>
    <cellStyle name="Normal 5 3 2 3_Degree data" xfId="1220"/>
    <cellStyle name="Normal 5 3 2 4" xfId="337"/>
    <cellStyle name="Normal 5 3 2 4 2" xfId="691"/>
    <cellStyle name="Normal 5 3 2 4 2 2" xfId="2420"/>
    <cellStyle name="Normal 5 3 2 4 2 2 2" xfId="16309"/>
    <cellStyle name="Normal 5 3 2 4 2 2 3" xfId="12731"/>
    <cellStyle name="Normal 5 3 2 4 2 2 4" xfId="7441"/>
    <cellStyle name="Normal 5 3 2 4 2 3" xfId="3688"/>
    <cellStyle name="Normal 5 3 2 4 2 3 2" xfId="17334"/>
    <cellStyle name="Normal 5 3 2 4 2 3 3" xfId="13755"/>
    <cellStyle name="Normal 5 3 2 4 2 3 4" xfId="8498"/>
    <cellStyle name="Normal 5 3 2 4 2 4" xfId="6557"/>
    <cellStyle name="Normal 5 3 2 4 2 4 2" xfId="15641"/>
    <cellStyle name="Normal 5 3 2 4 2 5" xfId="9952"/>
    <cellStyle name="Normal 5 3 2 4 2 5 2" xfId="18779"/>
    <cellStyle name="Normal 5 3 2 4 2 6" xfId="11397"/>
    <cellStyle name="Normal 5 3 2 4 2 7" xfId="5035"/>
    <cellStyle name="Normal 5 3 2 4 3" xfId="1048"/>
    <cellStyle name="Normal 5 3 2 4 3 2" xfId="2768"/>
    <cellStyle name="Normal 5 3 2 4 3 2 2" xfId="16700"/>
    <cellStyle name="Normal 5 3 2 4 3 2 3" xfId="13121"/>
    <cellStyle name="Normal 5 3 2 4 3 2 4" xfId="7832"/>
    <cellStyle name="Normal 5 3 2 4 3 3" xfId="4037"/>
    <cellStyle name="Normal 5 3 2 4 3 3 2" xfId="17682"/>
    <cellStyle name="Normal 5 3 2 4 3 3 3" xfId="14103"/>
    <cellStyle name="Normal 5 3 2 4 3 3 4" xfId="8846"/>
    <cellStyle name="Normal 5 3 2 4 3 4" xfId="6239"/>
    <cellStyle name="Normal 5 3 2 4 3 4 2" xfId="15323"/>
    <cellStyle name="Normal 5 3 2 4 3 5" xfId="10300"/>
    <cellStyle name="Normal 5 3 2 4 3 5 2" xfId="19127"/>
    <cellStyle name="Normal 5 3 2 4 3 6" xfId="11746"/>
    <cellStyle name="Normal 5 3 2 4 3 7" xfId="5426"/>
    <cellStyle name="Normal 5 3 2 4 4" xfId="1551"/>
    <cellStyle name="Normal 5 3 2 4 4 2" xfId="3150"/>
    <cellStyle name="Normal 5 3 2 4 4 2 2" xfId="18064"/>
    <cellStyle name="Normal 5 3 2 4 4 2 3" xfId="14485"/>
    <cellStyle name="Normal 5 3 2 4 4 2 4" xfId="9228"/>
    <cellStyle name="Normal 5 3 2 4 4 3" xfId="10682"/>
    <cellStyle name="Normal 5 3 2 4 4 3 2" xfId="19509"/>
    <cellStyle name="Normal 5 3 2 4 4 4" xfId="12128"/>
    <cellStyle name="Normal 5 3 2 4 4 5" xfId="7123"/>
    <cellStyle name="Normal 5 3 2 4 5" xfId="2107"/>
    <cellStyle name="Normal 5 3 2 4 5 2" xfId="17021"/>
    <cellStyle name="Normal 5 3 2 4 5 3" xfId="13442"/>
    <cellStyle name="Normal 5 3 2 4 5 4" xfId="8185"/>
    <cellStyle name="Normal 5 3 2 4 6" xfId="5746"/>
    <cellStyle name="Normal 5 3 2 4 6 2" xfId="14832"/>
    <cellStyle name="Normal 5 3 2 4 7" xfId="9639"/>
    <cellStyle name="Normal 5 3 2 4 7 2" xfId="18466"/>
    <cellStyle name="Normal 5 3 2 4 8" xfId="11083"/>
    <cellStyle name="Normal 5 3 2 4 9" xfId="4717"/>
    <cellStyle name="Normal 5 3 2 4_Degree data" xfId="1315"/>
    <cellStyle name="Normal 5 3 2 5" xfId="687"/>
    <cellStyle name="Normal 5 3 2 5 2" xfId="2416"/>
    <cellStyle name="Normal 5 3 2 5 2 2" xfId="15992"/>
    <cellStyle name="Normal 5 3 2 5 2 3" xfId="12272"/>
    <cellStyle name="Normal 5 3 2 5 2 4" xfId="6966"/>
    <cellStyle name="Normal 5 3 2 5 3" xfId="3684"/>
    <cellStyle name="Normal 5 3 2 5 3 2" xfId="17330"/>
    <cellStyle name="Normal 5 3 2 5 3 3" xfId="13751"/>
    <cellStyle name="Normal 5 3 2 5 3 4" xfId="8494"/>
    <cellStyle name="Normal 5 3 2 5 4" xfId="6082"/>
    <cellStyle name="Normal 5 3 2 5 4 2" xfId="15166"/>
    <cellStyle name="Normal 5 3 2 5 5" xfId="9948"/>
    <cellStyle name="Normal 5 3 2 5 5 2" xfId="18775"/>
    <cellStyle name="Normal 5 3 2 5 6" xfId="11393"/>
    <cellStyle name="Normal 5 3 2 5 7" xfId="4560"/>
    <cellStyle name="Normal 5 3 2 6" xfId="1044"/>
    <cellStyle name="Normal 5 3 2 6 2" xfId="2764"/>
    <cellStyle name="Normal 5 3 2 6 2 2" xfId="16305"/>
    <cellStyle name="Normal 5 3 2 6 2 3" xfId="12727"/>
    <cellStyle name="Normal 5 3 2 6 2 4" xfId="7437"/>
    <cellStyle name="Normal 5 3 2 6 3" xfId="4033"/>
    <cellStyle name="Normal 5 3 2 6 3 2" xfId="17678"/>
    <cellStyle name="Normal 5 3 2 6 3 3" xfId="14099"/>
    <cellStyle name="Normal 5 3 2 6 3 4" xfId="8842"/>
    <cellStyle name="Normal 5 3 2 6 4" xfId="6553"/>
    <cellStyle name="Normal 5 3 2 6 4 2" xfId="15637"/>
    <cellStyle name="Normal 5 3 2 6 5" xfId="10296"/>
    <cellStyle name="Normal 5 3 2 6 5 2" xfId="19123"/>
    <cellStyle name="Normal 5 3 2 6 6" xfId="11742"/>
    <cellStyle name="Normal 5 3 2 6 7" xfId="5031"/>
    <cellStyle name="Normal 5 3 2 7" xfId="1383"/>
    <cellStyle name="Normal 5 3 2 7 2" xfId="2993"/>
    <cellStyle name="Normal 5 3 2 7 2 2" xfId="16543"/>
    <cellStyle name="Normal 5 3 2 7 2 3" xfId="12964"/>
    <cellStyle name="Normal 5 3 2 7 2 4" xfId="7675"/>
    <cellStyle name="Normal 5 3 2 7 3" xfId="4214"/>
    <cellStyle name="Normal 5 3 2 7 3 2" xfId="17907"/>
    <cellStyle name="Normal 5 3 2 7 3 3" xfId="14328"/>
    <cellStyle name="Normal 5 3 2 7 3 4" xfId="9071"/>
    <cellStyle name="Normal 5 3 2 7 4" xfId="5920"/>
    <cellStyle name="Normal 5 3 2 7 4 2" xfId="15006"/>
    <cellStyle name="Normal 5 3 2 7 5" xfId="10525"/>
    <cellStyle name="Normal 5 3 2 7 5 2" xfId="19352"/>
    <cellStyle name="Normal 5 3 2 7 6" xfId="11971"/>
    <cellStyle name="Normal 5 3 2 7 7" xfId="5269"/>
    <cellStyle name="Normal 5 3 2 8" xfId="1950"/>
    <cellStyle name="Normal 5 3 2 8 2" xfId="15853"/>
    <cellStyle name="Normal 5 3 2 8 3" xfId="12293"/>
    <cellStyle name="Normal 5 3 2 8 4" xfId="6806"/>
    <cellStyle name="Normal 5 3 2 9" xfId="3376"/>
    <cellStyle name="Normal 5 3 2 9 2" xfId="16862"/>
    <cellStyle name="Normal 5 3 2 9 3" xfId="13283"/>
    <cellStyle name="Normal 5 3 2 9 4" xfId="8026"/>
    <cellStyle name="Normal 5 3 2_Degree data" xfId="1245"/>
    <cellStyle name="Normal 5 3 3" xfId="272"/>
    <cellStyle name="Normal 5 3 3 10" xfId="11026"/>
    <cellStyle name="Normal 5 3 3 11" xfId="4443"/>
    <cellStyle name="Normal 5 3 3 2" xfId="380"/>
    <cellStyle name="Normal 5 3 3 2 2" xfId="693"/>
    <cellStyle name="Normal 5 3 3 2 2 2" xfId="2422"/>
    <cellStyle name="Normal 5 3 3 2 2 2 2" xfId="16311"/>
    <cellStyle name="Normal 5 3 3 2 2 2 3" xfId="12733"/>
    <cellStyle name="Normal 5 3 3 2 2 2 4" xfId="7443"/>
    <cellStyle name="Normal 5 3 3 2 2 3" xfId="3690"/>
    <cellStyle name="Normal 5 3 3 2 2 3 2" xfId="17336"/>
    <cellStyle name="Normal 5 3 3 2 2 3 3" xfId="13757"/>
    <cellStyle name="Normal 5 3 3 2 2 3 4" xfId="8500"/>
    <cellStyle name="Normal 5 3 3 2 2 4" xfId="6559"/>
    <cellStyle name="Normal 5 3 3 2 2 4 2" xfId="15643"/>
    <cellStyle name="Normal 5 3 3 2 2 5" xfId="9954"/>
    <cellStyle name="Normal 5 3 3 2 2 5 2" xfId="18781"/>
    <cellStyle name="Normal 5 3 3 2 2 6" xfId="11399"/>
    <cellStyle name="Normal 5 3 3 2 2 7" xfId="5037"/>
    <cellStyle name="Normal 5 3 3 2 3" xfId="1050"/>
    <cellStyle name="Normal 5 3 3 2 3 2" xfId="2770"/>
    <cellStyle name="Normal 5 3 3 2 3 2 2" xfId="16743"/>
    <cellStyle name="Normal 5 3 3 2 3 2 3" xfId="13164"/>
    <cellStyle name="Normal 5 3 3 2 3 2 4" xfId="7875"/>
    <cellStyle name="Normal 5 3 3 2 3 3" xfId="4039"/>
    <cellStyle name="Normal 5 3 3 2 3 3 2" xfId="17684"/>
    <cellStyle name="Normal 5 3 3 2 3 3 3" xfId="14105"/>
    <cellStyle name="Normal 5 3 3 2 3 3 4" xfId="8848"/>
    <cellStyle name="Normal 5 3 3 2 3 4" xfId="6282"/>
    <cellStyle name="Normal 5 3 3 2 3 4 2" xfId="15366"/>
    <cellStyle name="Normal 5 3 3 2 3 5" xfId="10302"/>
    <cellStyle name="Normal 5 3 3 2 3 5 2" xfId="19129"/>
    <cellStyle name="Normal 5 3 3 2 3 6" xfId="11748"/>
    <cellStyle name="Normal 5 3 3 2 3 7" xfId="5469"/>
    <cellStyle name="Normal 5 3 3 2 4" xfId="1596"/>
    <cellStyle name="Normal 5 3 3 2 4 2" xfId="3193"/>
    <cellStyle name="Normal 5 3 3 2 4 2 2" xfId="18107"/>
    <cellStyle name="Normal 5 3 3 2 4 2 3" xfId="14528"/>
    <cellStyle name="Normal 5 3 3 2 4 2 4" xfId="9271"/>
    <cellStyle name="Normal 5 3 3 2 4 3" xfId="10725"/>
    <cellStyle name="Normal 5 3 3 2 4 3 2" xfId="19552"/>
    <cellStyle name="Normal 5 3 3 2 4 4" xfId="12171"/>
    <cellStyle name="Normal 5 3 3 2 4 5" xfId="7166"/>
    <cellStyle name="Normal 5 3 3 2 5" xfId="2150"/>
    <cellStyle name="Normal 5 3 3 2 5 2" xfId="17064"/>
    <cellStyle name="Normal 5 3 3 2 5 3" xfId="13485"/>
    <cellStyle name="Normal 5 3 3 2 5 4" xfId="8228"/>
    <cellStyle name="Normal 5 3 3 2 6" xfId="5789"/>
    <cellStyle name="Normal 5 3 3 2 6 2" xfId="14875"/>
    <cellStyle name="Normal 5 3 3 2 7" xfId="9682"/>
    <cellStyle name="Normal 5 3 3 2 7 2" xfId="18509"/>
    <cellStyle name="Normal 5 3 3 2 8" xfId="11126"/>
    <cellStyle name="Normal 5 3 3 2 9" xfId="4760"/>
    <cellStyle name="Normal 5 3 3 2_Degree data" xfId="1332"/>
    <cellStyle name="Normal 5 3 3 3" xfId="692"/>
    <cellStyle name="Normal 5 3 3 3 2" xfId="2421"/>
    <cellStyle name="Normal 5 3 3 3 2 2" xfId="16080"/>
    <cellStyle name="Normal 5 3 3 3 2 3" xfId="12391"/>
    <cellStyle name="Normal 5 3 3 3 2 4" xfId="7066"/>
    <cellStyle name="Normal 5 3 3 3 3" xfId="3689"/>
    <cellStyle name="Normal 5 3 3 3 3 2" xfId="17335"/>
    <cellStyle name="Normal 5 3 3 3 3 3" xfId="13756"/>
    <cellStyle name="Normal 5 3 3 3 3 4" xfId="8499"/>
    <cellStyle name="Normal 5 3 3 3 4" xfId="6182"/>
    <cellStyle name="Normal 5 3 3 3 4 2" xfId="15266"/>
    <cellStyle name="Normal 5 3 3 3 5" xfId="9953"/>
    <cellStyle name="Normal 5 3 3 3 5 2" xfId="18780"/>
    <cellStyle name="Normal 5 3 3 3 6" xfId="11398"/>
    <cellStyle name="Normal 5 3 3 3 7" xfId="4660"/>
    <cellStyle name="Normal 5 3 3 4" xfId="1049"/>
    <cellStyle name="Normal 5 3 3 4 2" xfId="2769"/>
    <cellStyle name="Normal 5 3 3 4 2 2" xfId="16310"/>
    <cellStyle name="Normal 5 3 3 4 2 3" xfId="12732"/>
    <cellStyle name="Normal 5 3 3 4 2 4" xfId="7442"/>
    <cellStyle name="Normal 5 3 3 4 3" xfId="4038"/>
    <cellStyle name="Normal 5 3 3 4 3 2" xfId="17683"/>
    <cellStyle name="Normal 5 3 3 4 3 3" xfId="14104"/>
    <cellStyle name="Normal 5 3 3 4 3 4" xfId="8847"/>
    <cellStyle name="Normal 5 3 3 4 4" xfId="6558"/>
    <cellStyle name="Normal 5 3 3 4 4 2" xfId="15642"/>
    <cellStyle name="Normal 5 3 3 4 5" xfId="10301"/>
    <cellStyle name="Normal 5 3 3 4 5 2" xfId="19128"/>
    <cellStyle name="Normal 5 3 3 4 6" xfId="11747"/>
    <cellStyle name="Normal 5 3 3 4 7" xfId="5036"/>
    <cellStyle name="Normal 5 3 3 5" xfId="1494"/>
    <cellStyle name="Normal 5 3 3 5 2" xfId="3093"/>
    <cellStyle name="Normal 5 3 3 5 2 2" xfId="16643"/>
    <cellStyle name="Normal 5 3 3 5 2 3" xfId="13064"/>
    <cellStyle name="Normal 5 3 3 5 2 4" xfId="7775"/>
    <cellStyle name="Normal 5 3 3 5 3" xfId="4302"/>
    <cellStyle name="Normal 5 3 3 5 3 2" xfId="18007"/>
    <cellStyle name="Normal 5 3 3 5 3 3" xfId="14428"/>
    <cellStyle name="Normal 5 3 3 5 3 4" xfId="9171"/>
    <cellStyle name="Normal 5 3 3 5 4" xfId="5963"/>
    <cellStyle name="Normal 5 3 3 5 4 2" xfId="15049"/>
    <cellStyle name="Normal 5 3 3 5 5" xfId="10625"/>
    <cellStyle name="Normal 5 3 3 5 5 2" xfId="19452"/>
    <cellStyle name="Normal 5 3 3 5 6" xfId="12071"/>
    <cellStyle name="Normal 5 3 3 5 7" xfId="5369"/>
    <cellStyle name="Normal 5 3 3 6" xfId="2050"/>
    <cellStyle name="Normal 5 3 3 6 2" xfId="15892"/>
    <cellStyle name="Normal 5 3 3 6 3" xfId="12434"/>
    <cellStyle name="Normal 5 3 3 6 4" xfId="6849"/>
    <cellStyle name="Normal 5 3 3 7" xfId="3464"/>
    <cellStyle name="Normal 5 3 3 7 2" xfId="16964"/>
    <cellStyle name="Normal 5 3 3 7 3" xfId="13385"/>
    <cellStyle name="Normal 5 3 3 7 4" xfId="8128"/>
    <cellStyle name="Normal 5 3 3 8" xfId="5689"/>
    <cellStyle name="Normal 5 3 3 8 2" xfId="14775"/>
    <cellStyle name="Normal 5 3 3 9" xfId="9582"/>
    <cellStyle name="Normal 5 3 3 9 2" xfId="18409"/>
    <cellStyle name="Normal 5 3 3_Degree data" xfId="1314"/>
    <cellStyle name="Normal 5 3 4" xfId="191"/>
    <cellStyle name="Normal 5 3 4 10" xfId="10948"/>
    <cellStyle name="Normal 5 3 4 11" xfId="4470"/>
    <cellStyle name="Normal 5 3 4 2" xfId="408"/>
    <cellStyle name="Normal 5 3 4 2 2" xfId="695"/>
    <cellStyle name="Normal 5 3 4 2 2 2" xfId="2424"/>
    <cellStyle name="Normal 5 3 4 2 2 2 2" xfId="16313"/>
    <cellStyle name="Normal 5 3 4 2 2 2 3" xfId="12735"/>
    <cellStyle name="Normal 5 3 4 2 2 2 4" xfId="7445"/>
    <cellStyle name="Normal 5 3 4 2 2 3" xfId="3692"/>
    <cellStyle name="Normal 5 3 4 2 2 3 2" xfId="17338"/>
    <cellStyle name="Normal 5 3 4 2 2 3 3" xfId="13759"/>
    <cellStyle name="Normal 5 3 4 2 2 3 4" xfId="8502"/>
    <cellStyle name="Normal 5 3 4 2 2 4" xfId="6561"/>
    <cellStyle name="Normal 5 3 4 2 2 4 2" xfId="15645"/>
    <cellStyle name="Normal 5 3 4 2 2 5" xfId="9956"/>
    <cellStyle name="Normal 5 3 4 2 2 5 2" xfId="18783"/>
    <cellStyle name="Normal 5 3 4 2 2 6" xfId="11401"/>
    <cellStyle name="Normal 5 3 4 2 2 7" xfId="5039"/>
    <cellStyle name="Normal 5 3 4 2 3" xfId="1052"/>
    <cellStyle name="Normal 5 3 4 2 3 2" xfId="2772"/>
    <cellStyle name="Normal 5 3 4 2 3 2 2" xfId="16770"/>
    <cellStyle name="Normal 5 3 4 2 3 2 3" xfId="13191"/>
    <cellStyle name="Normal 5 3 4 2 3 2 4" xfId="7902"/>
    <cellStyle name="Normal 5 3 4 2 3 3" xfId="4041"/>
    <cellStyle name="Normal 5 3 4 2 3 3 2" xfId="17686"/>
    <cellStyle name="Normal 5 3 4 2 3 3 3" xfId="14107"/>
    <cellStyle name="Normal 5 3 4 2 3 3 4" xfId="8850"/>
    <cellStyle name="Normal 5 3 4 2 3 4" xfId="6309"/>
    <cellStyle name="Normal 5 3 4 2 3 4 2" xfId="15393"/>
    <cellStyle name="Normal 5 3 4 2 3 5" xfId="10304"/>
    <cellStyle name="Normal 5 3 4 2 3 5 2" xfId="19131"/>
    <cellStyle name="Normal 5 3 4 2 3 6" xfId="11750"/>
    <cellStyle name="Normal 5 3 4 2 3 7" xfId="5496"/>
    <cellStyle name="Normal 5 3 4 2 4" xfId="1624"/>
    <cellStyle name="Normal 5 3 4 2 4 2" xfId="3220"/>
    <cellStyle name="Normal 5 3 4 2 4 2 2" xfId="18134"/>
    <cellStyle name="Normal 5 3 4 2 4 2 3" xfId="14555"/>
    <cellStyle name="Normal 5 3 4 2 4 2 4" xfId="9298"/>
    <cellStyle name="Normal 5 3 4 2 4 3" xfId="10752"/>
    <cellStyle name="Normal 5 3 4 2 4 3 2" xfId="19579"/>
    <cellStyle name="Normal 5 3 4 2 4 4" xfId="12198"/>
    <cellStyle name="Normal 5 3 4 2 4 5" xfId="7193"/>
    <cellStyle name="Normal 5 3 4 2 5" xfId="2177"/>
    <cellStyle name="Normal 5 3 4 2 5 2" xfId="17091"/>
    <cellStyle name="Normal 5 3 4 2 5 3" xfId="13512"/>
    <cellStyle name="Normal 5 3 4 2 5 4" xfId="8255"/>
    <cellStyle name="Normal 5 3 4 2 6" xfId="5816"/>
    <cellStyle name="Normal 5 3 4 2 6 2" xfId="14902"/>
    <cellStyle name="Normal 5 3 4 2 7" xfId="9709"/>
    <cellStyle name="Normal 5 3 4 2 7 2" xfId="18536"/>
    <cellStyle name="Normal 5 3 4 2 8" xfId="11153"/>
    <cellStyle name="Normal 5 3 4 2 9" xfId="4787"/>
    <cellStyle name="Normal 5 3 4 2_Degree data" xfId="1402"/>
    <cellStyle name="Normal 5 3 4 3" xfId="694"/>
    <cellStyle name="Normal 5 3 4 3 2" xfId="2423"/>
    <cellStyle name="Normal 5 3 4 3 2 2" xfId="16002"/>
    <cellStyle name="Normal 5 3 4 3 2 3" xfId="12407"/>
    <cellStyle name="Normal 5 3 4 3 2 4" xfId="6988"/>
    <cellStyle name="Normal 5 3 4 3 3" xfId="3691"/>
    <cellStyle name="Normal 5 3 4 3 3 2" xfId="17337"/>
    <cellStyle name="Normal 5 3 4 3 3 3" xfId="13758"/>
    <cellStyle name="Normal 5 3 4 3 3 4" xfId="8501"/>
    <cellStyle name="Normal 5 3 4 3 4" xfId="6104"/>
    <cellStyle name="Normal 5 3 4 3 4 2" xfId="15188"/>
    <cellStyle name="Normal 5 3 4 3 5" xfId="9955"/>
    <cellStyle name="Normal 5 3 4 3 5 2" xfId="18782"/>
    <cellStyle name="Normal 5 3 4 3 6" xfId="11400"/>
    <cellStyle name="Normal 5 3 4 3 7" xfId="4582"/>
    <cellStyle name="Normal 5 3 4 4" xfId="1051"/>
    <cellStyle name="Normal 5 3 4 4 2" xfId="2771"/>
    <cellStyle name="Normal 5 3 4 4 2 2" xfId="16312"/>
    <cellStyle name="Normal 5 3 4 4 2 3" xfId="12734"/>
    <cellStyle name="Normal 5 3 4 4 2 4" xfId="7444"/>
    <cellStyle name="Normal 5 3 4 4 3" xfId="4040"/>
    <cellStyle name="Normal 5 3 4 4 3 2" xfId="17685"/>
    <cellStyle name="Normal 5 3 4 4 3 3" xfId="14106"/>
    <cellStyle name="Normal 5 3 4 4 3 4" xfId="8849"/>
    <cellStyle name="Normal 5 3 4 4 4" xfId="6560"/>
    <cellStyle name="Normal 5 3 4 4 4 2" xfId="15644"/>
    <cellStyle name="Normal 5 3 4 4 5" xfId="10303"/>
    <cellStyle name="Normal 5 3 4 4 5 2" xfId="19130"/>
    <cellStyle name="Normal 5 3 4 4 6" xfId="11749"/>
    <cellStyle name="Normal 5 3 4 4 7" xfId="5038"/>
    <cellStyle name="Normal 5 3 4 5" xfId="1410"/>
    <cellStyle name="Normal 5 3 4 5 2" xfId="3015"/>
    <cellStyle name="Normal 5 3 4 5 2 2" xfId="16565"/>
    <cellStyle name="Normal 5 3 4 5 2 3" xfId="12986"/>
    <cellStyle name="Normal 5 3 4 5 2 4" xfId="7697"/>
    <cellStyle name="Normal 5 3 4 5 3" xfId="4224"/>
    <cellStyle name="Normal 5 3 4 5 3 2" xfId="17929"/>
    <cellStyle name="Normal 5 3 4 5 3 3" xfId="14350"/>
    <cellStyle name="Normal 5 3 4 5 3 4" xfId="9093"/>
    <cellStyle name="Normal 5 3 4 5 4" xfId="5990"/>
    <cellStyle name="Normal 5 3 4 5 4 2" xfId="15076"/>
    <cellStyle name="Normal 5 3 4 5 5" xfId="10547"/>
    <cellStyle name="Normal 5 3 4 5 5 2" xfId="19374"/>
    <cellStyle name="Normal 5 3 4 5 6" xfId="11993"/>
    <cellStyle name="Normal 5 3 4 5 7" xfId="5291"/>
    <cellStyle name="Normal 5 3 4 6" xfId="1972"/>
    <cellStyle name="Normal 5 3 4 6 2" xfId="15919"/>
    <cellStyle name="Normal 5 3 4 6 3" xfId="12514"/>
    <cellStyle name="Normal 5 3 4 6 4" xfId="6876"/>
    <cellStyle name="Normal 5 3 4 7" xfId="3387"/>
    <cellStyle name="Normal 5 3 4 7 2" xfId="16886"/>
    <cellStyle name="Normal 5 3 4 7 3" xfId="13307"/>
    <cellStyle name="Normal 5 3 4 7 4" xfId="8050"/>
    <cellStyle name="Normal 5 3 4 8" xfId="5611"/>
    <cellStyle name="Normal 5 3 4 8 2" xfId="14697"/>
    <cellStyle name="Normal 5 3 4 9" xfId="9504"/>
    <cellStyle name="Normal 5 3 4 9 2" xfId="18331"/>
    <cellStyle name="Normal 5 3 4_Degree data" xfId="1277"/>
    <cellStyle name="Normal 5 3 5" xfId="302"/>
    <cellStyle name="Normal 5 3 5 2" xfId="696"/>
    <cellStyle name="Normal 5 3 5 2 2" xfId="2425"/>
    <cellStyle name="Normal 5 3 5 2 2 2" xfId="16314"/>
    <cellStyle name="Normal 5 3 5 2 2 3" xfId="12736"/>
    <cellStyle name="Normal 5 3 5 2 2 4" xfId="7446"/>
    <cellStyle name="Normal 5 3 5 2 3" xfId="3693"/>
    <cellStyle name="Normal 5 3 5 2 3 2" xfId="17339"/>
    <cellStyle name="Normal 5 3 5 2 3 3" xfId="13760"/>
    <cellStyle name="Normal 5 3 5 2 3 4" xfId="8503"/>
    <cellStyle name="Normal 5 3 5 2 4" xfId="6562"/>
    <cellStyle name="Normal 5 3 5 2 4 2" xfId="15646"/>
    <cellStyle name="Normal 5 3 5 2 5" xfId="9957"/>
    <cellStyle name="Normal 5 3 5 2 5 2" xfId="18784"/>
    <cellStyle name="Normal 5 3 5 2 6" xfId="11402"/>
    <cellStyle name="Normal 5 3 5 2 7" xfId="5040"/>
    <cellStyle name="Normal 5 3 5 3" xfId="1053"/>
    <cellStyle name="Normal 5 3 5 3 2" xfId="2773"/>
    <cellStyle name="Normal 5 3 5 3 2 2" xfId="16665"/>
    <cellStyle name="Normal 5 3 5 3 2 3" xfId="13086"/>
    <cellStyle name="Normal 5 3 5 3 2 4" xfId="7797"/>
    <cellStyle name="Normal 5 3 5 3 3" xfId="4042"/>
    <cellStyle name="Normal 5 3 5 3 3 2" xfId="17687"/>
    <cellStyle name="Normal 5 3 5 3 3 3" xfId="14108"/>
    <cellStyle name="Normal 5 3 5 3 3 4" xfId="8851"/>
    <cellStyle name="Normal 5 3 5 3 4" xfId="6204"/>
    <cellStyle name="Normal 5 3 5 3 4 2" xfId="15288"/>
    <cellStyle name="Normal 5 3 5 3 5" xfId="10305"/>
    <cellStyle name="Normal 5 3 5 3 5 2" xfId="19132"/>
    <cellStyle name="Normal 5 3 5 3 6" xfId="11751"/>
    <cellStyle name="Normal 5 3 5 3 7" xfId="5391"/>
    <cellStyle name="Normal 5 3 5 4" xfId="1516"/>
    <cellStyle name="Normal 5 3 5 4 2" xfId="3115"/>
    <cellStyle name="Normal 5 3 5 4 2 2" xfId="18029"/>
    <cellStyle name="Normal 5 3 5 4 2 3" xfId="14450"/>
    <cellStyle name="Normal 5 3 5 4 2 4" xfId="9193"/>
    <cellStyle name="Normal 5 3 5 4 3" xfId="10647"/>
    <cellStyle name="Normal 5 3 5 4 3 2" xfId="19474"/>
    <cellStyle name="Normal 5 3 5 4 4" xfId="12093"/>
    <cellStyle name="Normal 5 3 5 4 5" xfId="7088"/>
    <cellStyle name="Normal 5 3 5 5" xfId="2072"/>
    <cellStyle name="Normal 5 3 5 5 2" xfId="16986"/>
    <cellStyle name="Normal 5 3 5 5 3" xfId="13407"/>
    <cellStyle name="Normal 5 3 5 5 4" xfId="8150"/>
    <cellStyle name="Normal 5 3 5 6" xfId="5711"/>
    <cellStyle name="Normal 5 3 5 6 2" xfId="14797"/>
    <cellStyle name="Normal 5 3 5 7" xfId="9604"/>
    <cellStyle name="Normal 5 3 5 7 2" xfId="18431"/>
    <cellStyle name="Normal 5 3 5 8" xfId="11048"/>
    <cellStyle name="Normal 5 3 5 9" xfId="4682"/>
    <cellStyle name="Normal 5 3 5_Degree data" xfId="1364"/>
    <cellStyle name="Normal 5 3 6" xfId="479"/>
    <cellStyle name="Normal 5 3 6 2" xfId="697"/>
    <cellStyle name="Normal 5 3 6 2 2" xfId="2426"/>
    <cellStyle name="Normal 5 3 6 2 2 2" xfId="16315"/>
    <cellStyle name="Normal 5 3 6 2 2 3" xfId="12737"/>
    <cellStyle name="Normal 5 3 6 2 2 4" xfId="7447"/>
    <cellStyle name="Normal 5 3 6 2 3" xfId="3694"/>
    <cellStyle name="Normal 5 3 6 2 3 2" xfId="17340"/>
    <cellStyle name="Normal 5 3 6 2 3 3" xfId="13761"/>
    <cellStyle name="Normal 5 3 6 2 3 4" xfId="8504"/>
    <cellStyle name="Normal 5 3 6 2 4" xfId="6563"/>
    <cellStyle name="Normal 5 3 6 2 4 2" xfId="15647"/>
    <cellStyle name="Normal 5 3 6 2 5" xfId="9958"/>
    <cellStyle name="Normal 5 3 6 2 5 2" xfId="18785"/>
    <cellStyle name="Normal 5 3 6 2 6" xfId="11403"/>
    <cellStyle name="Normal 5 3 6 2 7" xfId="5041"/>
    <cellStyle name="Normal 5 3 6 3" xfId="1054"/>
    <cellStyle name="Normal 5 3 6 3 2" xfId="2774"/>
    <cellStyle name="Normal 5 3 6 3 2 2" xfId="16518"/>
    <cellStyle name="Normal 5 3 6 3 2 3" xfId="12940"/>
    <cellStyle name="Normal 5 3 6 3 2 4" xfId="7650"/>
    <cellStyle name="Normal 5 3 6 3 3" xfId="4043"/>
    <cellStyle name="Normal 5 3 6 3 3 2" xfId="17688"/>
    <cellStyle name="Normal 5 3 6 3 3 3" xfId="14109"/>
    <cellStyle name="Normal 5 3 6 3 3 4" xfId="8852"/>
    <cellStyle name="Normal 5 3 6 3 4" xfId="5877"/>
    <cellStyle name="Normal 5 3 6 3 4 2" xfId="14963"/>
    <cellStyle name="Normal 5 3 6 3 5" xfId="10306"/>
    <cellStyle name="Normal 5 3 6 3 5 2" xfId="19133"/>
    <cellStyle name="Normal 5 3 6 3 6" xfId="11752"/>
    <cellStyle name="Normal 5 3 6 3 7" xfId="5244"/>
    <cellStyle name="Normal 5 3 6 4" xfId="1355"/>
    <cellStyle name="Normal 5 3 6 4 2" xfId="2968"/>
    <cellStyle name="Normal 5 3 6 4 2 2" xfId="17882"/>
    <cellStyle name="Normal 5 3 6 4 2 3" xfId="14303"/>
    <cellStyle name="Normal 5 3 6 4 2 4" xfId="9046"/>
    <cellStyle name="Normal 5 3 6 4 3" xfId="10500"/>
    <cellStyle name="Normal 5 3 6 4 3 2" xfId="19327"/>
    <cellStyle name="Normal 5 3 6 4 4" xfId="11946"/>
    <cellStyle name="Normal 5 3 6 4 5" xfId="6941"/>
    <cellStyle name="Normal 5 3 6 5" xfId="1925"/>
    <cellStyle name="Normal 5 3 6 5 2" xfId="16837"/>
    <cellStyle name="Normal 5 3 6 5 3" xfId="13258"/>
    <cellStyle name="Normal 5 3 6 5 4" xfId="8001"/>
    <cellStyle name="Normal 5 3 6 6" xfId="6057"/>
    <cellStyle name="Normal 5 3 6 6 2" xfId="15141"/>
    <cellStyle name="Normal 5 3 6 7" xfId="9457"/>
    <cellStyle name="Normal 5 3 6 7 2" xfId="18284"/>
    <cellStyle name="Normal 5 3 6 8" xfId="10901"/>
    <cellStyle name="Normal 5 3 6 9" xfId="4535"/>
    <cellStyle name="Normal 5 3 6_Degree data" xfId="1327"/>
    <cellStyle name="Normal 5 3 7" xfId="686"/>
    <cellStyle name="Normal 5 3 7 2" xfId="2415"/>
    <cellStyle name="Normal 5 3 7 2 2" xfId="16304"/>
    <cellStyle name="Normal 5 3 7 2 3" xfId="12726"/>
    <cellStyle name="Normal 5 3 7 2 4" xfId="7436"/>
    <cellStyle name="Normal 5 3 7 3" xfId="3683"/>
    <cellStyle name="Normal 5 3 7 3 2" xfId="17329"/>
    <cellStyle name="Normal 5 3 7 3 3" xfId="13750"/>
    <cellStyle name="Normal 5 3 7 3 4" xfId="8493"/>
    <cellStyle name="Normal 5 3 7 4" xfId="6552"/>
    <cellStyle name="Normal 5 3 7 4 2" xfId="15636"/>
    <cellStyle name="Normal 5 3 7 5" xfId="9947"/>
    <cellStyle name="Normal 5 3 7 5 2" xfId="18774"/>
    <cellStyle name="Normal 5 3 7 6" xfId="11392"/>
    <cellStyle name="Normal 5 3 7 7" xfId="5030"/>
    <cellStyle name="Normal 5 3 8" xfId="1043"/>
    <cellStyle name="Normal 5 3 8 2" xfId="2763"/>
    <cellStyle name="Normal 5 3 8 2 2" xfId="16498"/>
    <cellStyle name="Normal 5 3 8 2 3" xfId="12920"/>
    <cellStyle name="Normal 5 3 8 2 4" xfId="7630"/>
    <cellStyle name="Normal 5 3 8 3" xfId="4032"/>
    <cellStyle name="Normal 5 3 8 3 2" xfId="17677"/>
    <cellStyle name="Normal 5 3 8 3 3" xfId="14098"/>
    <cellStyle name="Normal 5 3 8 3 4" xfId="8841"/>
    <cellStyle name="Normal 5 3 8 4" xfId="5884"/>
    <cellStyle name="Normal 5 3 8 4 2" xfId="14970"/>
    <cellStyle name="Normal 5 3 8 5" xfId="10295"/>
    <cellStyle name="Normal 5 3 8 5 2" xfId="19122"/>
    <cellStyle name="Normal 5 3 8 6" xfId="11741"/>
    <cellStyle name="Normal 5 3 8 7" xfId="5224"/>
    <cellStyle name="Normal 5 3 9" xfId="1329"/>
    <cellStyle name="Normal 5 3 9 2" xfId="2948"/>
    <cellStyle name="Normal 5 3 9 2 2" xfId="17862"/>
    <cellStyle name="Normal 5 3 9 2 3" xfId="14283"/>
    <cellStyle name="Normal 5 3 9 2 4" xfId="9026"/>
    <cellStyle name="Normal 5 3 9 3" xfId="10480"/>
    <cellStyle name="Normal 5 3 9 3 2" xfId="19307"/>
    <cellStyle name="Normal 5 3 9 4" xfId="11926"/>
    <cellStyle name="Normal 5 3 9 5" xfId="6770"/>
    <cellStyle name="Normal 5 3_Degree data" xfId="1341"/>
    <cellStyle name="Normal 5 4" xfId="105"/>
    <cellStyle name="Normal 5 4 10" xfId="1871"/>
    <cellStyle name="Normal 5 4 10 2" xfId="14672"/>
    <cellStyle name="Normal 5 4 10 3" xfId="5586"/>
    <cellStyle name="Normal 5 4 11" xfId="9406"/>
    <cellStyle name="Normal 5 4 11 2" xfId="18233"/>
    <cellStyle name="Normal 5 4 12" xfId="10847"/>
    <cellStyle name="Normal 5 4 13" xfId="4399"/>
    <cellStyle name="Normal 5 4 2" xfId="271"/>
    <cellStyle name="Normal 5 4 2 10" xfId="11025"/>
    <cellStyle name="Normal 5 4 2 11" xfId="4442"/>
    <cellStyle name="Normal 5 4 2 2" xfId="379"/>
    <cellStyle name="Normal 5 4 2 2 2" xfId="700"/>
    <cellStyle name="Normal 5 4 2 2 2 2" xfId="2429"/>
    <cellStyle name="Normal 5 4 2 2 2 2 2" xfId="16318"/>
    <cellStyle name="Normal 5 4 2 2 2 2 3" xfId="12740"/>
    <cellStyle name="Normal 5 4 2 2 2 2 4" xfId="7450"/>
    <cellStyle name="Normal 5 4 2 2 2 3" xfId="3697"/>
    <cellStyle name="Normal 5 4 2 2 2 3 2" xfId="17343"/>
    <cellStyle name="Normal 5 4 2 2 2 3 3" xfId="13764"/>
    <cellStyle name="Normal 5 4 2 2 2 3 4" xfId="8507"/>
    <cellStyle name="Normal 5 4 2 2 2 4" xfId="6566"/>
    <cellStyle name="Normal 5 4 2 2 2 4 2" xfId="15650"/>
    <cellStyle name="Normal 5 4 2 2 2 5" xfId="9961"/>
    <cellStyle name="Normal 5 4 2 2 2 5 2" xfId="18788"/>
    <cellStyle name="Normal 5 4 2 2 2 6" xfId="11406"/>
    <cellStyle name="Normal 5 4 2 2 2 7" xfId="5044"/>
    <cellStyle name="Normal 5 4 2 2 3" xfId="1057"/>
    <cellStyle name="Normal 5 4 2 2 3 2" xfId="2777"/>
    <cellStyle name="Normal 5 4 2 2 3 2 2" xfId="16742"/>
    <cellStyle name="Normal 5 4 2 2 3 2 3" xfId="13163"/>
    <cellStyle name="Normal 5 4 2 2 3 2 4" xfId="7874"/>
    <cellStyle name="Normal 5 4 2 2 3 3" xfId="4046"/>
    <cellStyle name="Normal 5 4 2 2 3 3 2" xfId="17691"/>
    <cellStyle name="Normal 5 4 2 2 3 3 3" xfId="14112"/>
    <cellStyle name="Normal 5 4 2 2 3 3 4" xfId="8855"/>
    <cellStyle name="Normal 5 4 2 2 3 4" xfId="6281"/>
    <cellStyle name="Normal 5 4 2 2 3 4 2" xfId="15365"/>
    <cellStyle name="Normal 5 4 2 2 3 5" xfId="10309"/>
    <cellStyle name="Normal 5 4 2 2 3 5 2" xfId="19136"/>
    <cellStyle name="Normal 5 4 2 2 3 6" xfId="11755"/>
    <cellStyle name="Normal 5 4 2 2 3 7" xfId="5468"/>
    <cellStyle name="Normal 5 4 2 2 4" xfId="1594"/>
    <cellStyle name="Normal 5 4 2 2 4 2" xfId="3192"/>
    <cellStyle name="Normal 5 4 2 2 4 2 2" xfId="18106"/>
    <cellStyle name="Normal 5 4 2 2 4 2 3" xfId="14527"/>
    <cellStyle name="Normal 5 4 2 2 4 2 4" xfId="9270"/>
    <cellStyle name="Normal 5 4 2 2 4 3" xfId="10724"/>
    <cellStyle name="Normal 5 4 2 2 4 3 2" xfId="19551"/>
    <cellStyle name="Normal 5 4 2 2 4 4" xfId="12170"/>
    <cellStyle name="Normal 5 4 2 2 4 5" xfId="7165"/>
    <cellStyle name="Normal 5 4 2 2 5" xfId="2149"/>
    <cellStyle name="Normal 5 4 2 2 5 2" xfId="17063"/>
    <cellStyle name="Normal 5 4 2 2 5 3" xfId="13484"/>
    <cellStyle name="Normal 5 4 2 2 5 4" xfId="8227"/>
    <cellStyle name="Normal 5 4 2 2 6" xfId="5788"/>
    <cellStyle name="Normal 5 4 2 2 6 2" xfId="14874"/>
    <cellStyle name="Normal 5 4 2 2 7" xfId="9681"/>
    <cellStyle name="Normal 5 4 2 2 7 2" xfId="18508"/>
    <cellStyle name="Normal 5 4 2 2 8" xfId="11125"/>
    <cellStyle name="Normal 5 4 2 2 9" xfId="4759"/>
    <cellStyle name="Normal 5 4 2 2_Degree data" xfId="1316"/>
    <cellStyle name="Normal 5 4 2 3" xfId="699"/>
    <cellStyle name="Normal 5 4 2 3 2" xfId="2428"/>
    <cellStyle name="Normal 5 4 2 3 2 2" xfId="16079"/>
    <cellStyle name="Normal 5 4 2 3 2 3" xfId="12501"/>
    <cellStyle name="Normal 5 4 2 3 2 4" xfId="7065"/>
    <cellStyle name="Normal 5 4 2 3 3" xfId="3696"/>
    <cellStyle name="Normal 5 4 2 3 3 2" xfId="17342"/>
    <cellStyle name="Normal 5 4 2 3 3 3" xfId="13763"/>
    <cellStyle name="Normal 5 4 2 3 3 4" xfId="8506"/>
    <cellStyle name="Normal 5 4 2 3 4" xfId="6181"/>
    <cellStyle name="Normal 5 4 2 3 4 2" xfId="15265"/>
    <cellStyle name="Normal 5 4 2 3 5" xfId="9960"/>
    <cellStyle name="Normal 5 4 2 3 5 2" xfId="18787"/>
    <cellStyle name="Normal 5 4 2 3 6" xfId="11405"/>
    <cellStyle name="Normal 5 4 2 3 7" xfId="4659"/>
    <cellStyle name="Normal 5 4 2 4" xfId="1056"/>
    <cellStyle name="Normal 5 4 2 4 2" xfId="2776"/>
    <cellStyle name="Normal 5 4 2 4 2 2" xfId="16317"/>
    <cellStyle name="Normal 5 4 2 4 2 3" xfId="12739"/>
    <cellStyle name="Normal 5 4 2 4 2 4" xfId="7449"/>
    <cellStyle name="Normal 5 4 2 4 3" xfId="4045"/>
    <cellStyle name="Normal 5 4 2 4 3 2" xfId="17690"/>
    <cellStyle name="Normal 5 4 2 4 3 3" xfId="14111"/>
    <cellStyle name="Normal 5 4 2 4 3 4" xfId="8854"/>
    <cellStyle name="Normal 5 4 2 4 4" xfId="6565"/>
    <cellStyle name="Normal 5 4 2 4 4 2" xfId="15649"/>
    <cellStyle name="Normal 5 4 2 4 5" xfId="10308"/>
    <cellStyle name="Normal 5 4 2 4 5 2" xfId="19135"/>
    <cellStyle name="Normal 5 4 2 4 6" xfId="11754"/>
    <cellStyle name="Normal 5 4 2 4 7" xfId="5043"/>
    <cellStyle name="Normal 5 4 2 5" xfId="1492"/>
    <cellStyle name="Normal 5 4 2 5 2" xfId="3092"/>
    <cellStyle name="Normal 5 4 2 5 2 2" xfId="16642"/>
    <cellStyle name="Normal 5 4 2 5 2 3" xfId="13063"/>
    <cellStyle name="Normal 5 4 2 5 2 4" xfId="7774"/>
    <cellStyle name="Normal 5 4 2 5 3" xfId="4301"/>
    <cellStyle name="Normal 5 4 2 5 3 2" xfId="18006"/>
    <cellStyle name="Normal 5 4 2 5 3 3" xfId="14427"/>
    <cellStyle name="Normal 5 4 2 5 3 4" xfId="9170"/>
    <cellStyle name="Normal 5 4 2 5 4" xfId="5962"/>
    <cellStyle name="Normal 5 4 2 5 4 2" xfId="15048"/>
    <cellStyle name="Normal 5 4 2 5 5" xfId="10624"/>
    <cellStyle name="Normal 5 4 2 5 5 2" xfId="19451"/>
    <cellStyle name="Normal 5 4 2 5 6" xfId="12070"/>
    <cellStyle name="Normal 5 4 2 5 7" xfId="5368"/>
    <cellStyle name="Normal 5 4 2 6" xfId="2049"/>
    <cellStyle name="Normal 5 4 2 6 2" xfId="15891"/>
    <cellStyle name="Normal 5 4 2 6 3" xfId="12489"/>
    <cellStyle name="Normal 5 4 2 6 4" xfId="6848"/>
    <cellStyle name="Normal 5 4 2 7" xfId="3463"/>
    <cellStyle name="Normal 5 4 2 7 2" xfId="16963"/>
    <cellStyle name="Normal 5 4 2 7 3" xfId="13384"/>
    <cellStyle name="Normal 5 4 2 7 4" xfId="8127"/>
    <cellStyle name="Normal 5 4 2 8" xfId="5688"/>
    <cellStyle name="Normal 5 4 2 8 2" xfId="14774"/>
    <cellStyle name="Normal 5 4 2 9" xfId="9581"/>
    <cellStyle name="Normal 5 4 2 9 2" xfId="18408"/>
    <cellStyle name="Normal 5 4 2_Degree data" xfId="1219"/>
    <cellStyle name="Normal 5 4 3" xfId="227"/>
    <cellStyle name="Normal 5 4 3 10" xfId="10982"/>
    <cellStyle name="Normal 5 4 3 11" xfId="4503"/>
    <cellStyle name="Normal 5 4 3 2" xfId="441"/>
    <cellStyle name="Normal 5 4 3 2 2" xfId="702"/>
    <cellStyle name="Normal 5 4 3 2 2 2" xfId="2431"/>
    <cellStyle name="Normal 5 4 3 2 2 2 2" xfId="16320"/>
    <cellStyle name="Normal 5 4 3 2 2 2 3" xfId="12742"/>
    <cellStyle name="Normal 5 4 3 2 2 2 4" xfId="7452"/>
    <cellStyle name="Normal 5 4 3 2 2 3" xfId="3699"/>
    <cellStyle name="Normal 5 4 3 2 2 3 2" xfId="17345"/>
    <cellStyle name="Normal 5 4 3 2 2 3 3" xfId="13766"/>
    <cellStyle name="Normal 5 4 3 2 2 3 4" xfId="8509"/>
    <cellStyle name="Normal 5 4 3 2 2 4" xfId="6568"/>
    <cellStyle name="Normal 5 4 3 2 2 4 2" xfId="15652"/>
    <cellStyle name="Normal 5 4 3 2 2 5" xfId="9963"/>
    <cellStyle name="Normal 5 4 3 2 2 5 2" xfId="18790"/>
    <cellStyle name="Normal 5 4 3 2 2 6" xfId="11408"/>
    <cellStyle name="Normal 5 4 3 2 2 7" xfId="5046"/>
    <cellStyle name="Normal 5 4 3 2 3" xfId="1059"/>
    <cellStyle name="Normal 5 4 3 2 3 2" xfId="2779"/>
    <cellStyle name="Normal 5 4 3 2 3 2 2" xfId="16803"/>
    <cellStyle name="Normal 5 4 3 2 3 2 3" xfId="13224"/>
    <cellStyle name="Normal 5 4 3 2 3 2 4" xfId="7935"/>
    <cellStyle name="Normal 5 4 3 2 3 3" xfId="4048"/>
    <cellStyle name="Normal 5 4 3 2 3 3 2" xfId="17693"/>
    <cellStyle name="Normal 5 4 3 2 3 3 3" xfId="14114"/>
    <cellStyle name="Normal 5 4 3 2 3 3 4" xfId="8857"/>
    <cellStyle name="Normal 5 4 3 2 3 4" xfId="6342"/>
    <cellStyle name="Normal 5 4 3 2 3 4 2" xfId="15426"/>
    <cellStyle name="Normal 5 4 3 2 3 5" xfId="10311"/>
    <cellStyle name="Normal 5 4 3 2 3 5 2" xfId="19138"/>
    <cellStyle name="Normal 5 4 3 2 3 6" xfId="11757"/>
    <cellStyle name="Normal 5 4 3 2 3 7" xfId="5529"/>
    <cellStyle name="Normal 5 4 3 2 4" xfId="1657"/>
    <cellStyle name="Normal 5 4 3 2 4 2" xfId="3253"/>
    <cellStyle name="Normal 5 4 3 2 4 2 2" xfId="18167"/>
    <cellStyle name="Normal 5 4 3 2 4 2 3" xfId="14588"/>
    <cellStyle name="Normal 5 4 3 2 4 2 4" xfId="9331"/>
    <cellStyle name="Normal 5 4 3 2 4 3" xfId="10785"/>
    <cellStyle name="Normal 5 4 3 2 4 3 2" xfId="19612"/>
    <cellStyle name="Normal 5 4 3 2 4 4" xfId="12231"/>
    <cellStyle name="Normal 5 4 3 2 4 5" xfId="7226"/>
    <cellStyle name="Normal 5 4 3 2 5" xfId="2210"/>
    <cellStyle name="Normal 5 4 3 2 5 2" xfId="17124"/>
    <cellStyle name="Normal 5 4 3 2 5 3" xfId="13545"/>
    <cellStyle name="Normal 5 4 3 2 5 4" xfId="8288"/>
    <cellStyle name="Normal 5 4 3 2 6" xfId="5849"/>
    <cellStyle name="Normal 5 4 3 2 6 2" xfId="14935"/>
    <cellStyle name="Normal 5 4 3 2 7" xfId="9742"/>
    <cellStyle name="Normal 5 4 3 2 7 2" xfId="18569"/>
    <cellStyle name="Normal 5 4 3 2 8" xfId="11186"/>
    <cellStyle name="Normal 5 4 3 2 9" xfId="4820"/>
    <cellStyle name="Normal 5 4 3 2_Degree data" xfId="1278"/>
    <cellStyle name="Normal 5 4 3 3" xfId="701"/>
    <cellStyle name="Normal 5 4 3 3 2" xfId="2430"/>
    <cellStyle name="Normal 5 4 3 3 2 2" xfId="16036"/>
    <cellStyle name="Normal 5 4 3 3 2 3" xfId="12339"/>
    <cellStyle name="Normal 5 4 3 3 2 4" xfId="7022"/>
    <cellStyle name="Normal 5 4 3 3 3" xfId="3698"/>
    <cellStyle name="Normal 5 4 3 3 3 2" xfId="17344"/>
    <cellStyle name="Normal 5 4 3 3 3 3" xfId="13765"/>
    <cellStyle name="Normal 5 4 3 3 3 4" xfId="8508"/>
    <cellStyle name="Normal 5 4 3 3 4" xfId="6138"/>
    <cellStyle name="Normal 5 4 3 3 4 2" xfId="15222"/>
    <cellStyle name="Normal 5 4 3 3 5" xfId="9962"/>
    <cellStyle name="Normal 5 4 3 3 5 2" xfId="18789"/>
    <cellStyle name="Normal 5 4 3 3 6" xfId="11407"/>
    <cellStyle name="Normal 5 4 3 3 7" xfId="4616"/>
    <cellStyle name="Normal 5 4 3 4" xfId="1058"/>
    <cellStyle name="Normal 5 4 3 4 2" xfId="2778"/>
    <cellStyle name="Normal 5 4 3 4 2 2" xfId="16319"/>
    <cellStyle name="Normal 5 4 3 4 2 3" xfId="12741"/>
    <cellStyle name="Normal 5 4 3 4 2 4" xfId="7451"/>
    <cellStyle name="Normal 5 4 3 4 3" xfId="4047"/>
    <cellStyle name="Normal 5 4 3 4 3 2" xfId="17692"/>
    <cellStyle name="Normal 5 4 3 4 3 3" xfId="14113"/>
    <cellStyle name="Normal 5 4 3 4 3 4" xfId="8856"/>
    <cellStyle name="Normal 5 4 3 4 4" xfId="6567"/>
    <cellStyle name="Normal 5 4 3 4 4 2" xfId="15651"/>
    <cellStyle name="Normal 5 4 3 4 5" xfId="10310"/>
    <cellStyle name="Normal 5 4 3 4 5 2" xfId="19137"/>
    <cellStyle name="Normal 5 4 3 4 6" xfId="11756"/>
    <cellStyle name="Normal 5 4 3 4 7" xfId="5045"/>
    <cellStyle name="Normal 5 4 3 5" xfId="1447"/>
    <cellStyle name="Normal 5 4 3 5 2" xfId="3049"/>
    <cellStyle name="Normal 5 4 3 5 2 2" xfId="16599"/>
    <cellStyle name="Normal 5 4 3 5 2 3" xfId="13020"/>
    <cellStyle name="Normal 5 4 3 5 2 4" xfId="7731"/>
    <cellStyle name="Normal 5 4 3 5 3" xfId="4258"/>
    <cellStyle name="Normal 5 4 3 5 3 2" xfId="17963"/>
    <cellStyle name="Normal 5 4 3 5 3 3" xfId="14384"/>
    <cellStyle name="Normal 5 4 3 5 3 4" xfId="9127"/>
    <cellStyle name="Normal 5 4 3 5 4" xfId="6023"/>
    <cellStyle name="Normal 5 4 3 5 4 2" xfId="15109"/>
    <cellStyle name="Normal 5 4 3 5 5" xfId="10581"/>
    <cellStyle name="Normal 5 4 3 5 5 2" xfId="19408"/>
    <cellStyle name="Normal 5 4 3 5 6" xfId="12027"/>
    <cellStyle name="Normal 5 4 3 5 7" xfId="5325"/>
    <cellStyle name="Normal 5 4 3 6" xfId="2006"/>
    <cellStyle name="Normal 5 4 3 6 2" xfId="15952"/>
    <cellStyle name="Normal 5 4 3 6 3" xfId="12260"/>
    <cellStyle name="Normal 5 4 3 6 4" xfId="6909"/>
    <cellStyle name="Normal 5 4 3 7" xfId="3420"/>
    <cellStyle name="Normal 5 4 3 7 2" xfId="16920"/>
    <cellStyle name="Normal 5 4 3 7 3" xfId="13341"/>
    <cellStyle name="Normal 5 4 3 7 4" xfId="8084"/>
    <cellStyle name="Normal 5 4 3 8" xfId="5645"/>
    <cellStyle name="Normal 5 4 3 8 2" xfId="14731"/>
    <cellStyle name="Normal 5 4 3 9" xfId="9538"/>
    <cellStyle name="Normal 5 4 3 9 2" xfId="18365"/>
    <cellStyle name="Normal 5 4 3_Degree data" xfId="1333"/>
    <cellStyle name="Normal 5 4 4" xfId="336"/>
    <cellStyle name="Normal 5 4 4 2" xfId="703"/>
    <cellStyle name="Normal 5 4 4 2 2" xfId="2432"/>
    <cellStyle name="Normal 5 4 4 2 2 2" xfId="16321"/>
    <cellStyle name="Normal 5 4 4 2 2 3" xfId="12743"/>
    <cellStyle name="Normal 5 4 4 2 2 4" xfId="7453"/>
    <cellStyle name="Normal 5 4 4 2 3" xfId="3700"/>
    <cellStyle name="Normal 5 4 4 2 3 2" xfId="17346"/>
    <cellStyle name="Normal 5 4 4 2 3 3" xfId="13767"/>
    <cellStyle name="Normal 5 4 4 2 3 4" xfId="8510"/>
    <cellStyle name="Normal 5 4 4 2 4" xfId="6569"/>
    <cellStyle name="Normal 5 4 4 2 4 2" xfId="15653"/>
    <cellStyle name="Normal 5 4 4 2 5" xfId="9964"/>
    <cellStyle name="Normal 5 4 4 2 5 2" xfId="18791"/>
    <cellStyle name="Normal 5 4 4 2 6" xfId="11409"/>
    <cellStyle name="Normal 5 4 4 2 7" xfId="5047"/>
    <cellStyle name="Normal 5 4 4 3" xfId="1060"/>
    <cellStyle name="Normal 5 4 4 3 2" xfId="2780"/>
    <cellStyle name="Normal 5 4 4 3 2 2" xfId="16699"/>
    <cellStyle name="Normal 5 4 4 3 2 3" xfId="13120"/>
    <cellStyle name="Normal 5 4 4 3 2 4" xfId="7831"/>
    <cellStyle name="Normal 5 4 4 3 3" xfId="4049"/>
    <cellStyle name="Normal 5 4 4 3 3 2" xfId="17694"/>
    <cellStyle name="Normal 5 4 4 3 3 3" xfId="14115"/>
    <cellStyle name="Normal 5 4 4 3 3 4" xfId="8858"/>
    <cellStyle name="Normal 5 4 4 3 4" xfId="6238"/>
    <cellStyle name="Normal 5 4 4 3 4 2" xfId="15322"/>
    <cellStyle name="Normal 5 4 4 3 5" xfId="10312"/>
    <cellStyle name="Normal 5 4 4 3 5 2" xfId="19139"/>
    <cellStyle name="Normal 5 4 4 3 6" xfId="11758"/>
    <cellStyle name="Normal 5 4 4 3 7" xfId="5425"/>
    <cellStyle name="Normal 5 4 4 4" xfId="1550"/>
    <cellStyle name="Normal 5 4 4 4 2" xfId="3149"/>
    <cellStyle name="Normal 5 4 4 4 2 2" xfId="18063"/>
    <cellStyle name="Normal 5 4 4 4 2 3" xfId="14484"/>
    <cellStyle name="Normal 5 4 4 4 2 4" xfId="9227"/>
    <cellStyle name="Normal 5 4 4 4 3" xfId="10681"/>
    <cellStyle name="Normal 5 4 4 4 3 2" xfId="19508"/>
    <cellStyle name="Normal 5 4 4 4 4" xfId="12127"/>
    <cellStyle name="Normal 5 4 4 4 5" xfId="7122"/>
    <cellStyle name="Normal 5 4 4 5" xfId="2106"/>
    <cellStyle name="Normal 5 4 4 5 2" xfId="17020"/>
    <cellStyle name="Normal 5 4 4 5 3" xfId="13441"/>
    <cellStyle name="Normal 5 4 4 5 4" xfId="8184"/>
    <cellStyle name="Normal 5 4 4 6" xfId="5745"/>
    <cellStyle name="Normal 5 4 4 6 2" xfId="14831"/>
    <cellStyle name="Normal 5 4 4 7" xfId="9638"/>
    <cellStyle name="Normal 5 4 4 7 2" xfId="18465"/>
    <cellStyle name="Normal 5 4 4 8" xfId="11082"/>
    <cellStyle name="Normal 5 4 4 9" xfId="4716"/>
    <cellStyle name="Normal 5 4 4_Degree data" xfId="1325"/>
    <cellStyle name="Normal 5 4 5" xfId="490"/>
    <cellStyle name="Normal 5 4 5 2" xfId="704"/>
    <cellStyle name="Normal 5 4 5 2 2" xfId="2433"/>
    <cellStyle name="Normal 5 4 5 2 2 2" xfId="16322"/>
    <cellStyle name="Normal 5 4 5 2 2 3" xfId="12744"/>
    <cellStyle name="Normal 5 4 5 2 2 4" xfId="7454"/>
    <cellStyle name="Normal 5 4 5 2 3" xfId="3701"/>
    <cellStyle name="Normal 5 4 5 2 3 2" xfId="17347"/>
    <cellStyle name="Normal 5 4 5 2 3 3" xfId="13768"/>
    <cellStyle name="Normal 5 4 5 2 3 4" xfId="8511"/>
    <cellStyle name="Normal 5 4 5 2 4" xfId="6570"/>
    <cellStyle name="Normal 5 4 5 2 4 2" xfId="15654"/>
    <cellStyle name="Normal 5 4 5 2 5" xfId="9965"/>
    <cellStyle name="Normal 5 4 5 2 5 2" xfId="18792"/>
    <cellStyle name="Normal 5 4 5 2 6" xfId="11410"/>
    <cellStyle name="Normal 5 4 5 2 7" xfId="5048"/>
    <cellStyle name="Normal 5 4 5 3" xfId="1061"/>
    <cellStyle name="Normal 5 4 5 3 2" xfId="2781"/>
    <cellStyle name="Normal 5 4 5 3 2 2" xfId="16540"/>
    <cellStyle name="Normal 5 4 5 3 2 3" xfId="12962"/>
    <cellStyle name="Normal 5 4 5 3 2 4" xfId="7672"/>
    <cellStyle name="Normal 5 4 5 3 3" xfId="4050"/>
    <cellStyle name="Normal 5 4 5 3 3 2" xfId="17695"/>
    <cellStyle name="Normal 5 4 5 3 3 3" xfId="14116"/>
    <cellStyle name="Normal 5 4 5 3 3 4" xfId="8859"/>
    <cellStyle name="Normal 5 4 5 3 4" xfId="6738"/>
    <cellStyle name="Normal 5 4 5 3 4 2" xfId="15821"/>
    <cellStyle name="Normal 5 4 5 3 5" xfId="10313"/>
    <cellStyle name="Normal 5 4 5 3 5 2" xfId="19140"/>
    <cellStyle name="Normal 5 4 5 3 6" xfId="11759"/>
    <cellStyle name="Normal 5 4 5 3 7" xfId="5266"/>
    <cellStyle name="Normal 5 4 5 4" xfId="1379"/>
    <cellStyle name="Normal 5 4 5 4 2" xfId="2990"/>
    <cellStyle name="Normal 5 4 5 4 2 2" xfId="17904"/>
    <cellStyle name="Normal 5 4 5 4 2 3" xfId="14325"/>
    <cellStyle name="Normal 5 4 5 4 2 4" xfId="9068"/>
    <cellStyle name="Normal 5 4 5 4 3" xfId="10522"/>
    <cellStyle name="Normal 5 4 5 4 3 2" xfId="19349"/>
    <cellStyle name="Normal 5 4 5 4 4" xfId="11968"/>
    <cellStyle name="Normal 5 4 5 4 5" xfId="6963"/>
    <cellStyle name="Normal 5 4 5 5" xfId="1947"/>
    <cellStyle name="Normal 5 4 5 5 2" xfId="16859"/>
    <cellStyle name="Normal 5 4 5 5 3" xfId="13280"/>
    <cellStyle name="Normal 5 4 5 5 4" xfId="8023"/>
    <cellStyle name="Normal 5 4 5 6" xfId="6079"/>
    <cellStyle name="Normal 5 4 5 6 2" xfId="15163"/>
    <cellStyle name="Normal 5 4 5 7" xfId="9479"/>
    <cellStyle name="Normal 5 4 5 7 2" xfId="18306"/>
    <cellStyle name="Normal 5 4 5 8" xfId="10923"/>
    <cellStyle name="Normal 5 4 5 9" xfId="4557"/>
    <cellStyle name="Normal 5 4 5_Degree data" xfId="1448"/>
    <cellStyle name="Normal 5 4 6" xfId="698"/>
    <cellStyle name="Normal 5 4 6 2" xfId="2427"/>
    <cellStyle name="Normal 5 4 6 2 2" xfId="16316"/>
    <cellStyle name="Normal 5 4 6 2 3" xfId="12738"/>
    <cellStyle name="Normal 5 4 6 2 4" xfId="7448"/>
    <cellStyle name="Normal 5 4 6 3" xfId="3695"/>
    <cellStyle name="Normal 5 4 6 3 2" xfId="17341"/>
    <cellStyle name="Normal 5 4 6 3 3" xfId="13762"/>
    <cellStyle name="Normal 5 4 6 3 4" xfId="8505"/>
    <cellStyle name="Normal 5 4 6 4" xfId="6564"/>
    <cellStyle name="Normal 5 4 6 4 2" xfId="15648"/>
    <cellStyle name="Normal 5 4 6 5" xfId="9959"/>
    <cellStyle name="Normal 5 4 6 5 2" xfId="18786"/>
    <cellStyle name="Normal 5 4 6 6" xfId="11404"/>
    <cellStyle name="Normal 5 4 6 7" xfId="5042"/>
    <cellStyle name="Normal 5 4 7" xfId="1055"/>
    <cellStyle name="Normal 5 4 7 2" xfId="2775"/>
    <cellStyle name="Normal 5 4 7 2 2" xfId="16497"/>
    <cellStyle name="Normal 5 4 7 2 3" xfId="12919"/>
    <cellStyle name="Normal 5 4 7 2 4" xfId="7629"/>
    <cellStyle name="Normal 5 4 7 3" xfId="4044"/>
    <cellStyle name="Normal 5 4 7 3 2" xfId="17689"/>
    <cellStyle name="Normal 5 4 7 3 3" xfId="14110"/>
    <cellStyle name="Normal 5 4 7 3 4" xfId="8853"/>
    <cellStyle name="Normal 5 4 7 4" xfId="5918"/>
    <cellStyle name="Normal 5 4 7 4 2" xfId="15004"/>
    <cellStyle name="Normal 5 4 7 5" xfId="10307"/>
    <cellStyle name="Normal 5 4 7 5 2" xfId="19134"/>
    <cellStyle name="Normal 5 4 7 6" xfId="11753"/>
    <cellStyle name="Normal 5 4 7 7" xfId="5223"/>
    <cellStyle name="Normal 5 4 8" xfId="1308"/>
    <cellStyle name="Normal 5 4 8 2" xfId="2947"/>
    <cellStyle name="Normal 5 4 8 2 2" xfId="17861"/>
    <cellStyle name="Normal 5 4 8 2 3" xfId="14282"/>
    <cellStyle name="Normal 5 4 8 2 4" xfId="9025"/>
    <cellStyle name="Normal 5 4 8 3" xfId="10479"/>
    <cellStyle name="Normal 5 4 8 3 2" xfId="19306"/>
    <cellStyle name="Normal 5 4 8 4" xfId="11925"/>
    <cellStyle name="Normal 5 4 8 5" xfId="6805"/>
    <cellStyle name="Normal 5 4 9" xfId="1904"/>
    <cellStyle name="Normal 5 4 9 2" xfId="9436"/>
    <cellStyle name="Normal 5 4 9 2 2" xfId="18263"/>
    <cellStyle name="Normal 5 4 9 3" xfId="10880"/>
    <cellStyle name="Normal 5 4 9 4" xfId="7980"/>
    <cellStyle name="Normal 5 4_Degree data" xfId="1279"/>
    <cellStyle name="Normal 5 5" xfId="147"/>
    <cellStyle name="Normal 5 5 10" xfId="5574"/>
    <cellStyle name="Normal 5 5 10 2" xfId="14660"/>
    <cellStyle name="Normal 5 5 11" xfId="9394"/>
    <cellStyle name="Normal 5 5 11 2" xfId="18221"/>
    <cellStyle name="Normal 5 5 12" xfId="10834"/>
    <cellStyle name="Normal 5 5 13" xfId="4387"/>
    <cellStyle name="Normal 5 5 2" xfId="259"/>
    <cellStyle name="Normal 5 5 2 10" xfId="11013"/>
    <cellStyle name="Normal 5 5 2 11" xfId="4430"/>
    <cellStyle name="Normal 5 5 2 2" xfId="367"/>
    <cellStyle name="Normal 5 5 2 2 2" xfId="707"/>
    <cellStyle name="Normal 5 5 2 2 2 2" xfId="2436"/>
    <cellStyle name="Normal 5 5 2 2 2 2 2" xfId="16325"/>
    <cellStyle name="Normal 5 5 2 2 2 2 3" xfId="12747"/>
    <cellStyle name="Normal 5 5 2 2 2 2 4" xfId="7457"/>
    <cellStyle name="Normal 5 5 2 2 2 3" xfId="3704"/>
    <cellStyle name="Normal 5 5 2 2 2 3 2" xfId="17350"/>
    <cellStyle name="Normal 5 5 2 2 2 3 3" xfId="13771"/>
    <cellStyle name="Normal 5 5 2 2 2 3 4" xfId="8514"/>
    <cellStyle name="Normal 5 5 2 2 2 4" xfId="6573"/>
    <cellStyle name="Normal 5 5 2 2 2 4 2" xfId="15657"/>
    <cellStyle name="Normal 5 5 2 2 2 5" xfId="9968"/>
    <cellStyle name="Normal 5 5 2 2 2 5 2" xfId="18795"/>
    <cellStyle name="Normal 5 5 2 2 2 6" xfId="11413"/>
    <cellStyle name="Normal 5 5 2 2 2 7" xfId="5051"/>
    <cellStyle name="Normal 5 5 2 2 3" xfId="1064"/>
    <cellStyle name="Normal 5 5 2 2 3 2" xfId="2784"/>
    <cellStyle name="Normal 5 5 2 2 3 2 2" xfId="16730"/>
    <cellStyle name="Normal 5 5 2 2 3 2 3" xfId="13151"/>
    <cellStyle name="Normal 5 5 2 2 3 2 4" xfId="7862"/>
    <cellStyle name="Normal 5 5 2 2 3 3" xfId="4053"/>
    <cellStyle name="Normal 5 5 2 2 3 3 2" xfId="17698"/>
    <cellStyle name="Normal 5 5 2 2 3 3 3" xfId="14119"/>
    <cellStyle name="Normal 5 5 2 2 3 3 4" xfId="8862"/>
    <cellStyle name="Normal 5 5 2 2 3 4" xfId="6269"/>
    <cellStyle name="Normal 5 5 2 2 3 4 2" xfId="15353"/>
    <cellStyle name="Normal 5 5 2 2 3 5" xfId="10316"/>
    <cellStyle name="Normal 5 5 2 2 3 5 2" xfId="19143"/>
    <cellStyle name="Normal 5 5 2 2 3 6" xfId="11762"/>
    <cellStyle name="Normal 5 5 2 2 3 7" xfId="5456"/>
    <cellStyle name="Normal 5 5 2 2 4" xfId="1582"/>
    <cellStyle name="Normal 5 5 2 2 4 2" xfId="3180"/>
    <cellStyle name="Normal 5 5 2 2 4 2 2" xfId="18094"/>
    <cellStyle name="Normal 5 5 2 2 4 2 3" xfId="14515"/>
    <cellStyle name="Normal 5 5 2 2 4 2 4" xfId="9258"/>
    <cellStyle name="Normal 5 5 2 2 4 3" xfId="10712"/>
    <cellStyle name="Normal 5 5 2 2 4 3 2" xfId="19539"/>
    <cellStyle name="Normal 5 5 2 2 4 4" xfId="12158"/>
    <cellStyle name="Normal 5 5 2 2 4 5" xfId="7153"/>
    <cellStyle name="Normal 5 5 2 2 5" xfId="2137"/>
    <cellStyle name="Normal 5 5 2 2 5 2" xfId="17051"/>
    <cellStyle name="Normal 5 5 2 2 5 3" xfId="13472"/>
    <cellStyle name="Normal 5 5 2 2 5 4" xfId="8215"/>
    <cellStyle name="Normal 5 5 2 2 6" xfId="5776"/>
    <cellStyle name="Normal 5 5 2 2 6 2" xfId="14862"/>
    <cellStyle name="Normal 5 5 2 2 7" xfId="9669"/>
    <cellStyle name="Normal 5 5 2 2 7 2" xfId="18496"/>
    <cellStyle name="Normal 5 5 2 2 8" xfId="11113"/>
    <cellStyle name="Normal 5 5 2 2 9" xfId="4747"/>
    <cellStyle name="Normal 5 5 2 2_Degree data" xfId="1310"/>
    <cellStyle name="Normal 5 5 2 3" xfId="706"/>
    <cellStyle name="Normal 5 5 2 3 2" xfId="2435"/>
    <cellStyle name="Normal 5 5 2 3 2 2" xfId="16067"/>
    <cellStyle name="Normal 5 5 2 3 2 3" xfId="12323"/>
    <cellStyle name="Normal 5 5 2 3 2 4" xfId="7053"/>
    <cellStyle name="Normal 5 5 2 3 3" xfId="3703"/>
    <cellStyle name="Normal 5 5 2 3 3 2" xfId="17349"/>
    <cellStyle name="Normal 5 5 2 3 3 3" xfId="13770"/>
    <cellStyle name="Normal 5 5 2 3 3 4" xfId="8513"/>
    <cellStyle name="Normal 5 5 2 3 4" xfId="6169"/>
    <cellStyle name="Normal 5 5 2 3 4 2" xfId="15253"/>
    <cellStyle name="Normal 5 5 2 3 5" xfId="9967"/>
    <cellStyle name="Normal 5 5 2 3 5 2" xfId="18794"/>
    <cellStyle name="Normal 5 5 2 3 6" xfId="11412"/>
    <cellStyle name="Normal 5 5 2 3 7" xfId="4647"/>
    <cellStyle name="Normal 5 5 2 4" xfId="1063"/>
    <cellStyle name="Normal 5 5 2 4 2" xfId="2783"/>
    <cellStyle name="Normal 5 5 2 4 2 2" xfId="16324"/>
    <cellStyle name="Normal 5 5 2 4 2 3" xfId="12746"/>
    <cellStyle name="Normal 5 5 2 4 2 4" xfId="7456"/>
    <cellStyle name="Normal 5 5 2 4 3" xfId="4052"/>
    <cellStyle name="Normal 5 5 2 4 3 2" xfId="17697"/>
    <cellStyle name="Normal 5 5 2 4 3 3" xfId="14118"/>
    <cellStyle name="Normal 5 5 2 4 3 4" xfId="8861"/>
    <cellStyle name="Normal 5 5 2 4 4" xfId="6572"/>
    <cellStyle name="Normal 5 5 2 4 4 2" xfId="15656"/>
    <cellStyle name="Normal 5 5 2 4 5" xfId="10315"/>
    <cellStyle name="Normal 5 5 2 4 5 2" xfId="19142"/>
    <cellStyle name="Normal 5 5 2 4 6" xfId="11761"/>
    <cellStyle name="Normal 5 5 2 4 7" xfId="5050"/>
    <cellStyle name="Normal 5 5 2 5" xfId="1480"/>
    <cellStyle name="Normal 5 5 2 5 2" xfId="3080"/>
    <cellStyle name="Normal 5 5 2 5 2 2" xfId="16630"/>
    <cellStyle name="Normal 5 5 2 5 2 3" xfId="13051"/>
    <cellStyle name="Normal 5 5 2 5 2 4" xfId="7762"/>
    <cellStyle name="Normal 5 5 2 5 3" xfId="4289"/>
    <cellStyle name="Normal 5 5 2 5 3 2" xfId="17994"/>
    <cellStyle name="Normal 5 5 2 5 3 3" xfId="14415"/>
    <cellStyle name="Normal 5 5 2 5 3 4" xfId="9158"/>
    <cellStyle name="Normal 5 5 2 5 4" xfId="5950"/>
    <cellStyle name="Normal 5 5 2 5 4 2" xfId="15036"/>
    <cellStyle name="Normal 5 5 2 5 5" xfId="10612"/>
    <cellStyle name="Normal 5 5 2 5 5 2" xfId="19439"/>
    <cellStyle name="Normal 5 5 2 5 6" xfId="12058"/>
    <cellStyle name="Normal 5 5 2 5 7" xfId="5356"/>
    <cellStyle name="Normal 5 5 2 6" xfId="2037"/>
    <cellStyle name="Normal 5 5 2 6 2" xfId="15879"/>
    <cellStyle name="Normal 5 5 2 6 3" xfId="12299"/>
    <cellStyle name="Normal 5 5 2 6 4" xfId="6836"/>
    <cellStyle name="Normal 5 5 2 7" xfId="3451"/>
    <cellStyle name="Normal 5 5 2 7 2" xfId="16951"/>
    <cellStyle name="Normal 5 5 2 7 3" xfId="13372"/>
    <cellStyle name="Normal 5 5 2 7 4" xfId="8115"/>
    <cellStyle name="Normal 5 5 2 8" xfId="5676"/>
    <cellStyle name="Normal 5 5 2 8 2" xfId="14762"/>
    <cellStyle name="Normal 5 5 2 9" xfId="9569"/>
    <cellStyle name="Normal 5 5 2 9 2" xfId="18396"/>
    <cellStyle name="Normal 5 5 2_Degree data" xfId="1213"/>
    <cellStyle name="Normal 5 5 3" xfId="216"/>
    <cellStyle name="Normal 5 5 3 10" xfId="10970"/>
    <cellStyle name="Normal 5 5 3 11" xfId="4492"/>
    <cellStyle name="Normal 5 5 3 2" xfId="430"/>
    <cellStyle name="Normal 5 5 3 2 2" xfId="709"/>
    <cellStyle name="Normal 5 5 3 2 2 2" xfId="2438"/>
    <cellStyle name="Normal 5 5 3 2 2 2 2" xfId="16327"/>
    <cellStyle name="Normal 5 5 3 2 2 2 3" xfId="12749"/>
    <cellStyle name="Normal 5 5 3 2 2 2 4" xfId="7459"/>
    <cellStyle name="Normal 5 5 3 2 2 3" xfId="3706"/>
    <cellStyle name="Normal 5 5 3 2 2 3 2" xfId="17352"/>
    <cellStyle name="Normal 5 5 3 2 2 3 3" xfId="13773"/>
    <cellStyle name="Normal 5 5 3 2 2 3 4" xfId="8516"/>
    <cellStyle name="Normal 5 5 3 2 2 4" xfId="6575"/>
    <cellStyle name="Normal 5 5 3 2 2 4 2" xfId="15659"/>
    <cellStyle name="Normal 5 5 3 2 2 5" xfId="9970"/>
    <cellStyle name="Normal 5 5 3 2 2 5 2" xfId="18797"/>
    <cellStyle name="Normal 5 5 3 2 2 6" xfId="11415"/>
    <cellStyle name="Normal 5 5 3 2 2 7" xfId="5053"/>
    <cellStyle name="Normal 5 5 3 2 3" xfId="1066"/>
    <cellStyle name="Normal 5 5 3 2 3 2" xfId="2786"/>
    <cellStyle name="Normal 5 5 3 2 3 2 2" xfId="16792"/>
    <cellStyle name="Normal 5 5 3 2 3 2 3" xfId="13213"/>
    <cellStyle name="Normal 5 5 3 2 3 2 4" xfId="7924"/>
    <cellStyle name="Normal 5 5 3 2 3 3" xfId="4055"/>
    <cellStyle name="Normal 5 5 3 2 3 3 2" xfId="17700"/>
    <cellStyle name="Normal 5 5 3 2 3 3 3" xfId="14121"/>
    <cellStyle name="Normal 5 5 3 2 3 3 4" xfId="8864"/>
    <cellStyle name="Normal 5 5 3 2 3 4" xfId="6331"/>
    <cellStyle name="Normal 5 5 3 2 3 4 2" xfId="15415"/>
    <cellStyle name="Normal 5 5 3 2 3 5" xfId="10318"/>
    <cellStyle name="Normal 5 5 3 2 3 5 2" xfId="19145"/>
    <cellStyle name="Normal 5 5 3 2 3 6" xfId="11764"/>
    <cellStyle name="Normal 5 5 3 2 3 7" xfId="5518"/>
    <cellStyle name="Normal 5 5 3 2 4" xfId="1646"/>
    <cellStyle name="Normal 5 5 3 2 4 2" xfId="3242"/>
    <cellStyle name="Normal 5 5 3 2 4 2 2" xfId="18156"/>
    <cellStyle name="Normal 5 5 3 2 4 2 3" xfId="14577"/>
    <cellStyle name="Normal 5 5 3 2 4 2 4" xfId="9320"/>
    <cellStyle name="Normal 5 5 3 2 4 3" xfId="10774"/>
    <cellStyle name="Normal 5 5 3 2 4 3 2" xfId="19601"/>
    <cellStyle name="Normal 5 5 3 2 4 4" xfId="12220"/>
    <cellStyle name="Normal 5 5 3 2 4 5" xfId="7215"/>
    <cellStyle name="Normal 5 5 3 2 5" xfId="2199"/>
    <cellStyle name="Normal 5 5 3 2 5 2" xfId="17113"/>
    <cellStyle name="Normal 5 5 3 2 5 3" xfId="13534"/>
    <cellStyle name="Normal 5 5 3 2 5 4" xfId="8277"/>
    <cellStyle name="Normal 5 5 3 2 6" xfId="5838"/>
    <cellStyle name="Normal 5 5 3 2 6 2" xfId="14924"/>
    <cellStyle name="Normal 5 5 3 2 7" xfId="9731"/>
    <cellStyle name="Normal 5 5 3 2 7 2" xfId="18558"/>
    <cellStyle name="Normal 5 5 3 2 8" xfId="11175"/>
    <cellStyle name="Normal 5 5 3 2 9" xfId="4809"/>
    <cellStyle name="Normal 5 5 3 2_Degree data" xfId="1258"/>
    <cellStyle name="Normal 5 5 3 3" xfId="708"/>
    <cellStyle name="Normal 5 5 3 3 2" xfId="2437"/>
    <cellStyle name="Normal 5 5 3 3 2 2" xfId="16024"/>
    <cellStyle name="Normal 5 5 3 3 2 3" xfId="12343"/>
    <cellStyle name="Normal 5 5 3 3 2 4" xfId="7010"/>
    <cellStyle name="Normal 5 5 3 3 3" xfId="3705"/>
    <cellStyle name="Normal 5 5 3 3 3 2" xfId="17351"/>
    <cellStyle name="Normal 5 5 3 3 3 3" xfId="13772"/>
    <cellStyle name="Normal 5 5 3 3 3 4" xfId="8515"/>
    <cellStyle name="Normal 5 5 3 3 4" xfId="6126"/>
    <cellStyle name="Normal 5 5 3 3 4 2" xfId="15210"/>
    <cellStyle name="Normal 5 5 3 3 5" xfId="9969"/>
    <cellStyle name="Normal 5 5 3 3 5 2" xfId="18796"/>
    <cellStyle name="Normal 5 5 3 3 6" xfId="11414"/>
    <cellStyle name="Normal 5 5 3 3 7" xfId="4604"/>
    <cellStyle name="Normal 5 5 3 4" xfId="1065"/>
    <cellStyle name="Normal 5 5 3 4 2" xfId="2785"/>
    <cellStyle name="Normal 5 5 3 4 2 2" xfId="16326"/>
    <cellStyle name="Normal 5 5 3 4 2 3" xfId="12748"/>
    <cellStyle name="Normal 5 5 3 4 2 4" xfId="7458"/>
    <cellStyle name="Normal 5 5 3 4 3" xfId="4054"/>
    <cellStyle name="Normal 5 5 3 4 3 2" xfId="17699"/>
    <cellStyle name="Normal 5 5 3 4 3 3" xfId="14120"/>
    <cellStyle name="Normal 5 5 3 4 3 4" xfId="8863"/>
    <cellStyle name="Normal 5 5 3 4 4" xfId="6574"/>
    <cellStyle name="Normal 5 5 3 4 4 2" xfId="15658"/>
    <cellStyle name="Normal 5 5 3 4 5" xfId="10317"/>
    <cellStyle name="Normal 5 5 3 4 5 2" xfId="19144"/>
    <cellStyle name="Normal 5 5 3 4 6" xfId="11763"/>
    <cellStyle name="Normal 5 5 3 4 7" xfId="5052"/>
    <cellStyle name="Normal 5 5 3 5" xfId="1435"/>
    <cellStyle name="Normal 5 5 3 5 2" xfId="3037"/>
    <cellStyle name="Normal 5 5 3 5 2 2" xfId="16587"/>
    <cellStyle name="Normal 5 5 3 5 2 3" xfId="13008"/>
    <cellStyle name="Normal 5 5 3 5 2 4" xfId="7719"/>
    <cellStyle name="Normal 5 5 3 5 3" xfId="4246"/>
    <cellStyle name="Normal 5 5 3 5 3 2" xfId="17951"/>
    <cellStyle name="Normal 5 5 3 5 3 3" xfId="14372"/>
    <cellStyle name="Normal 5 5 3 5 3 4" xfId="9115"/>
    <cellStyle name="Normal 5 5 3 5 4" xfId="6012"/>
    <cellStyle name="Normal 5 5 3 5 4 2" xfId="15098"/>
    <cellStyle name="Normal 5 5 3 5 5" xfId="10569"/>
    <cellStyle name="Normal 5 5 3 5 5 2" xfId="19396"/>
    <cellStyle name="Normal 5 5 3 5 6" xfId="12015"/>
    <cellStyle name="Normal 5 5 3 5 7" xfId="5313"/>
    <cellStyle name="Normal 5 5 3 6" xfId="1994"/>
    <cellStyle name="Normal 5 5 3 6 2" xfId="15941"/>
    <cellStyle name="Normal 5 5 3 6 3" xfId="12364"/>
    <cellStyle name="Normal 5 5 3 6 4" xfId="6898"/>
    <cellStyle name="Normal 5 5 3 7" xfId="3409"/>
    <cellStyle name="Normal 5 5 3 7 2" xfId="16908"/>
    <cellStyle name="Normal 5 5 3 7 3" xfId="13329"/>
    <cellStyle name="Normal 5 5 3 7 4" xfId="8072"/>
    <cellStyle name="Normal 5 5 3 8" xfId="5633"/>
    <cellStyle name="Normal 5 5 3 8 2" xfId="14719"/>
    <cellStyle name="Normal 5 5 3 9" xfId="9526"/>
    <cellStyle name="Normal 5 5 3 9 2" xfId="18353"/>
    <cellStyle name="Normal 5 5 3_Degree data" xfId="1275"/>
    <cellStyle name="Normal 5 5 4" xfId="324"/>
    <cellStyle name="Normal 5 5 4 2" xfId="710"/>
    <cellStyle name="Normal 5 5 4 2 2" xfId="2439"/>
    <cellStyle name="Normal 5 5 4 2 2 2" xfId="16328"/>
    <cellStyle name="Normal 5 5 4 2 2 3" xfId="12750"/>
    <cellStyle name="Normal 5 5 4 2 2 4" xfId="7460"/>
    <cellStyle name="Normal 5 5 4 2 3" xfId="3707"/>
    <cellStyle name="Normal 5 5 4 2 3 2" xfId="17353"/>
    <cellStyle name="Normal 5 5 4 2 3 3" xfId="13774"/>
    <cellStyle name="Normal 5 5 4 2 3 4" xfId="8517"/>
    <cellStyle name="Normal 5 5 4 2 4" xfId="6576"/>
    <cellStyle name="Normal 5 5 4 2 4 2" xfId="15660"/>
    <cellStyle name="Normal 5 5 4 2 5" xfId="9971"/>
    <cellStyle name="Normal 5 5 4 2 5 2" xfId="18798"/>
    <cellStyle name="Normal 5 5 4 2 6" xfId="11416"/>
    <cellStyle name="Normal 5 5 4 2 7" xfId="5054"/>
    <cellStyle name="Normal 5 5 4 3" xfId="1067"/>
    <cellStyle name="Normal 5 5 4 3 2" xfId="2787"/>
    <cellStyle name="Normal 5 5 4 3 2 2" xfId="16687"/>
    <cellStyle name="Normal 5 5 4 3 2 3" xfId="13108"/>
    <cellStyle name="Normal 5 5 4 3 2 4" xfId="7819"/>
    <cellStyle name="Normal 5 5 4 3 3" xfId="4056"/>
    <cellStyle name="Normal 5 5 4 3 3 2" xfId="17701"/>
    <cellStyle name="Normal 5 5 4 3 3 3" xfId="14122"/>
    <cellStyle name="Normal 5 5 4 3 3 4" xfId="8865"/>
    <cellStyle name="Normal 5 5 4 3 4" xfId="6226"/>
    <cellStyle name="Normal 5 5 4 3 4 2" xfId="15310"/>
    <cellStyle name="Normal 5 5 4 3 5" xfId="10319"/>
    <cellStyle name="Normal 5 5 4 3 5 2" xfId="19146"/>
    <cellStyle name="Normal 5 5 4 3 6" xfId="11765"/>
    <cellStyle name="Normal 5 5 4 3 7" xfId="5413"/>
    <cellStyle name="Normal 5 5 4 4" xfId="1538"/>
    <cellStyle name="Normal 5 5 4 4 2" xfId="3137"/>
    <cellStyle name="Normal 5 5 4 4 2 2" xfId="18051"/>
    <cellStyle name="Normal 5 5 4 4 2 3" xfId="14472"/>
    <cellStyle name="Normal 5 5 4 4 2 4" xfId="9215"/>
    <cellStyle name="Normal 5 5 4 4 3" xfId="10669"/>
    <cellStyle name="Normal 5 5 4 4 3 2" xfId="19496"/>
    <cellStyle name="Normal 5 5 4 4 4" xfId="12115"/>
    <cellStyle name="Normal 5 5 4 4 5" xfId="7110"/>
    <cellStyle name="Normal 5 5 4 5" xfId="2094"/>
    <cellStyle name="Normal 5 5 4 5 2" xfId="17008"/>
    <cellStyle name="Normal 5 5 4 5 3" xfId="13429"/>
    <cellStyle name="Normal 5 5 4 5 4" xfId="8172"/>
    <cellStyle name="Normal 5 5 4 6" xfId="5733"/>
    <cellStyle name="Normal 5 5 4 6 2" xfId="14819"/>
    <cellStyle name="Normal 5 5 4 7" xfId="9626"/>
    <cellStyle name="Normal 5 5 4 7 2" xfId="18453"/>
    <cellStyle name="Normal 5 5 4 8" xfId="11070"/>
    <cellStyle name="Normal 5 5 4 9" xfId="4704"/>
    <cellStyle name="Normal 5 5 4_Degree data" xfId="1286"/>
    <cellStyle name="Normal 5 5 5" xfId="705"/>
    <cellStyle name="Normal 5 5 5 2" xfId="2434"/>
    <cellStyle name="Normal 5 5 5 2 2" xfId="15981"/>
    <cellStyle name="Normal 5 5 5 2 3" xfId="12485"/>
    <cellStyle name="Normal 5 5 5 2 4" xfId="6951"/>
    <cellStyle name="Normal 5 5 5 3" xfId="3702"/>
    <cellStyle name="Normal 5 5 5 3 2" xfId="17348"/>
    <cellStyle name="Normal 5 5 5 3 3" xfId="13769"/>
    <cellStyle name="Normal 5 5 5 3 4" xfId="8512"/>
    <cellStyle name="Normal 5 5 5 4" xfId="6067"/>
    <cellStyle name="Normal 5 5 5 4 2" xfId="15151"/>
    <cellStyle name="Normal 5 5 5 5" xfId="9966"/>
    <cellStyle name="Normal 5 5 5 5 2" xfId="18793"/>
    <cellStyle name="Normal 5 5 5 6" xfId="11411"/>
    <cellStyle name="Normal 5 5 5 7" xfId="4545"/>
    <cellStyle name="Normal 5 5 6" xfId="1062"/>
    <cellStyle name="Normal 5 5 6 2" xfId="2782"/>
    <cellStyle name="Normal 5 5 6 2 2" xfId="16323"/>
    <cellStyle name="Normal 5 5 6 2 3" xfId="12745"/>
    <cellStyle name="Normal 5 5 6 2 4" xfId="7455"/>
    <cellStyle name="Normal 5 5 6 3" xfId="4051"/>
    <cellStyle name="Normal 5 5 6 3 2" xfId="17696"/>
    <cellStyle name="Normal 5 5 6 3 3" xfId="14117"/>
    <cellStyle name="Normal 5 5 6 3 4" xfId="8860"/>
    <cellStyle name="Normal 5 5 6 4" xfId="6571"/>
    <cellStyle name="Normal 5 5 6 4 2" xfId="15655"/>
    <cellStyle name="Normal 5 5 6 5" xfId="10314"/>
    <cellStyle name="Normal 5 5 6 5 2" xfId="19141"/>
    <cellStyle name="Normal 5 5 6 6" xfId="11760"/>
    <cellStyle name="Normal 5 5 6 7" xfId="5049"/>
    <cellStyle name="Normal 5 5 7" xfId="1367"/>
    <cellStyle name="Normal 5 5 7 2" xfId="2978"/>
    <cellStyle name="Normal 5 5 7 2 2" xfId="16528"/>
    <cellStyle name="Normal 5 5 7 2 3" xfId="12950"/>
    <cellStyle name="Normal 5 5 7 2 4" xfId="7660"/>
    <cellStyle name="Normal 5 5 7 3" xfId="4204"/>
    <cellStyle name="Normal 5 5 7 3 2" xfId="17892"/>
    <cellStyle name="Normal 5 5 7 3 3" xfId="14313"/>
    <cellStyle name="Normal 5 5 7 3 4" xfId="9056"/>
    <cellStyle name="Normal 5 5 7 4" xfId="5906"/>
    <cellStyle name="Normal 5 5 7 4 2" xfId="14992"/>
    <cellStyle name="Normal 5 5 7 5" xfId="10510"/>
    <cellStyle name="Normal 5 5 7 5 2" xfId="19337"/>
    <cellStyle name="Normal 5 5 7 6" xfId="11956"/>
    <cellStyle name="Normal 5 5 7 7" xfId="5254"/>
    <cellStyle name="Normal 5 5 8" xfId="1935"/>
    <cellStyle name="Normal 5 5 8 2" xfId="9467"/>
    <cellStyle name="Normal 5 5 8 2 2" xfId="18294"/>
    <cellStyle name="Normal 5 5 8 3" xfId="10911"/>
    <cellStyle name="Normal 5 5 8 4" xfId="6793"/>
    <cellStyle name="Normal 5 5 9" xfId="1859"/>
    <cellStyle name="Normal 5 5 9 2" xfId="16847"/>
    <cellStyle name="Normal 5 5 9 3" xfId="13268"/>
    <cellStyle name="Normal 5 5 9 4" xfId="8011"/>
    <cellStyle name="Normal 5 5_Degree data" xfId="1324"/>
    <cellStyle name="Normal 5 6" xfId="250"/>
    <cellStyle name="Normal 5 6 10" xfId="11004"/>
    <cellStyle name="Normal 5 6 11" xfId="4421"/>
    <cellStyle name="Normal 5 6 2" xfId="358"/>
    <cellStyle name="Normal 5 6 2 2" xfId="712"/>
    <cellStyle name="Normal 5 6 2 2 2" xfId="2441"/>
    <cellStyle name="Normal 5 6 2 2 2 2" xfId="16330"/>
    <cellStyle name="Normal 5 6 2 2 2 3" xfId="12752"/>
    <cellStyle name="Normal 5 6 2 2 2 4" xfId="7462"/>
    <cellStyle name="Normal 5 6 2 2 3" xfId="3709"/>
    <cellStyle name="Normal 5 6 2 2 3 2" xfId="17355"/>
    <cellStyle name="Normal 5 6 2 2 3 3" xfId="13776"/>
    <cellStyle name="Normal 5 6 2 2 3 4" xfId="8519"/>
    <cellStyle name="Normal 5 6 2 2 4" xfId="6578"/>
    <cellStyle name="Normal 5 6 2 2 4 2" xfId="15662"/>
    <cellStyle name="Normal 5 6 2 2 5" xfId="9973"/>
    <cellStyle name="Normal 5 6 2 2 5 2" xfId="18800"/>
    <cellStyle name="Normal 5 6 2 2 6" xfId="11418"/>
    <cellStyle name="Normal 5 6 2 2 7" xfId="5056"/>
    <cellStyle name="Normal 5 6 2 3" xfId="1069"/>
    <cellStyle name="Normal 5 6 2 3 2" xfId="2789"/>
    <cellStyle name="Normal 5 6 2 3 2 2" xfId="16721"/>
    <cellStyle name="Normal 5 6 2 3 2 3" xfId="13142"/>
    <cellStyle name="Normal 5 6 2 3 2 4" xfId="7853"/>
    <cellStyle name="Normal 5 6 2 3 3" xfId="4058"/>
    <cellStyle name="Normal 5 6 2 3 3 2" xfId="17703"/>
    <cellStyle name="Normal 5 6 2 3 3 3" xfId="14124"/>
    <cellStyle name="Normal 5 6 2 3 3 4" xfId="8867"/>
    <cellStyle name="Normal 5 6 2 3 4" xfId="6260"/>
    <cellStyle name="Normal 5 6 2 3 4 2" xfId="15344"/>
    <cellStyle name="Normal 5 6 2 3 5" xfId="10321"/>
    <cellStyle name="Normal 5 6 2 3 5 2" xfId="19148"/>
    <cellStyle name="Normal 5 6 2 3 6" xfId="11767"/>
    <cellStyle name="Normal 5 6 2 3 7" xfId="5447"/>
    <cellStyle name="Normal 5 6 2 4" xfId="1573"/>
    <cellStyle name="Normal 5 6 2 4 2" xfId="3171"/>
    <cellStyle name="Normal 5 6 2 4 2 2" xfId="18085"/>
    <cellStyle name="Normal 5 6 2 4 2 3" xfId="14506"/>
    <cellStyle name="Normal 5 6 2 4 2 4" xfId="9249"/>
    <cellStyle name="Normal 5 6 2 4 3" xfId="10703"/>
    <cellStyle name="Normal 5 6 2 4 3 2" xfId="19530"/>
    <cellStyle name="Normal 5 6 2 4 4" xfId="12149"/>
    <cellStyle name="Normal 5 6 2 4 5" xfId="7144"/>
    <cellStyle name="Normal 5 6 2 5" xfId="2128"/>
    <cellStyle name="Normal 5 6 2 5 2" xfId="17042"/>
    <cellStyle name="Normal 5 6 2 5 3" xfId="13463"/>
    <cellStyle name="Normal 5 6 2 5 4" xfId="8206"/>
    <cellStyle name="Normal 5 6 2 6" xfId="5767"/>
    <cellStyle name="Normal 5 6 2 6 2" xfId="14853"/>
    <cellStyle name="Normal 5 6 2 7" xfId="9660"/>
    <cellStyle name="Normal 5 6 2 7 2" xfId="18487"/>
    <cellStyle name="Normal 5 6 2 8" xfId="11104"/>
    <cellStyle name="Normal 5 6 2 9" xfId="4738"/>
    <cellStyle name="Normal 5 6 2_Degree data" xfId="1326"/>
    <cellStyle name="Normal 5 6 3" xfId="711"/>
    <cellStyle name="Normal 5 6 3 2" xfId="2440"/>
    <cellStyle name="Normal 5 6 3 2 2" xfId="16058"/>
    <cellStyle name="Normal 5 6 3 2 3" xfId="12334"/>
    <cellStyle name="Normal 5 6 3 2 4" xfId="7044"/>
    <cellStyle name="Normal 5 6 3 3" xfId="3708"/>
    <cellStyle name="Normal 5 6 3 3 2" xfId="17354"/>
    <cellStyle name="Normal 5 6 3 3 3" xfId="13775"/>
    <cellStyle name="Normal 5 6 3 3 4" xfId="8518"/>
    <cellStyle name="Normal 5 6 3 4" xfId="6160"/>
    <cellStyle name="Normal 5 6 3 4 2" xfId="15244"/>
    <cellStyle name="Normal 5 6 3 5" xfId="9972"/>
    <cellStyle name="Normal 5 6 3 5 2" xfId="18799"/>
    <cellStyle name="Normal 5 6 3 6" xfId="11417"/>
    <cellStyle name="Normal 5 6 3 7" xfId="4638"/>
    <cellStyle name="Normal 5 6 4" xfId="1068"/>
    <cellStyle name="Normal 5 6 4 2" xfId="2788"/>
    <cellStyle name="Normal 5 6 4 2 2" xfId="16329"/>
    <cellStyle name="Normal 5 6 4 2 3" xfId="12751"/>
    <cellStyle name="Normal 5 6 4 2 4" xfId="7461"/>
    <cellStyle name="Normal 5 6 4 3" xfId="4057"/>
    <cellStyle name="Normal 5 6 4 3 2" xfId="17702"/>
    <cellStyle name="Normal 5 6 4 3 3" xfId="14123"/>
    <cellStyle name="Normal 5 6 4 3 4" xfId="8866"/>
    <cellStyle name="Normal 5 6 4 4" xfId="6577"/>
    <cellStyle name="Normal 5 6 4 4 2" xfId="15661"/>
    <cellStyle name="Normal 5 6 4 5" xfId="10320"/>
    <cellStyle name="Normal 5 6 4 5 2" xfId="19147"/>
    <cellStyle name="Normal 5 6 4 6" xfId="11766"/>
    <cellStyle name="Normal 5 6 4 7" xfId="5055"/>
    <cellStyle name="Normal 5 6 5" xfId="1471"/>
    <cellStyle name="Normal 5 6 5 2" xfId="3071"/>
    <cellStyle name="Normal 5 6 5 2 2" xfId="16621"/>
    <cellStyle name="Normal 5 6 5 2 3" xfId="13042"/>
    <cellStyle name="Normal 5 6 5 2 4" xfId="7753"/>
    <cellStyle name="Normal 5 6 5 3" xfId="4280"/>
    <cellStyle name="Normal 5 6 5 3 2" xfId="17985"/>
    <cellStyle name="Normal 5 6 5 3 3" xfId="14406"/>
    <cellStyle name="Normal 5 6 5 3 4" xfId="9149"/>
    <cellStyle name="Normal 5 6 5 4" xfId="5941"/>
    <cellStyle name="Normal 5 6 5 4 2" xfId="15027"/>
    <cellStyle name="Normal 5 6 5 5" xfId="10603"/>
    <cellStyle name="Normal 5 6 5 5 2" xfId="19430"/>
    <cellStyle name="Normal 5 6 5 6" xfId="12049"/>
    <cellStyle name="Normal 5 6 5 7" xfId="5347"/>
    <cellStyle name="Normal 5 6 6" xfId="2028"/>
    <cellStyle name="Normal 5 6 6 2" xfId="15870"/>
    <cellStyle name="Normal 5 6 6 3" xfId="12447"/>
    <cellStyle name="Normal 5 6 6 4" xfId="6827"/>
    <cellStyle name="Normal 5 6 7" xfId="3442"/>
    <cellStyle name="Normal 5 6 7 2" xfId="16942"/>
    <cellStyle name="Normal 5 6 7 3" xfId="13363"/>
    <cellStyle name="Normal 5 6 7 4" xfId="8106"/>
    <cellStyle name="Normal 5 6 8" xfId="5667"/>
    <cellStyle name="Normal 5 6 8 2" xfId="14753"/>
    <cellStyle name="Normal 5 6 9" xfId="9560"/>
    <cellStyle name="Normal 5 6 9 2" xfId="18387"/>
    <cellStyle name="Normal 5 6_Degree data" xfId="1303"/>
    <cellStyle name="Normal 5 7" xfId="463"/>
    <cellStyle name="Normal 5 7 10" xfId="4526"/>
    <cellStyle name="Normal 5 7 2" xfId="713"/>
    <cellStyle name="Normal 5 7 2 2" xfId="2442"/>
    <cellStyle name="Normal 5 7 2 2 2" xfId="16118"/>
    <cellStyle name="Normal 5 7 2 2 3" xfId="12540"/>
    <cellStyle name="Normal 5 7 2 2 4" xfId="7249"/>
    <cellStyle name="Normal 5 7 2 3" xfId="3710"/>
    <cellStyle name="Normal 5 7 2 3 2" xfId="17356"/>
    <cellStyle name="Normal 5 7 2 3 3" xfId="13777"/>
    <cellStyle name="Normal 5 7 2 3 4" xfId="8520"/>
    <cellStyle name="Normal 5 7 2 4" xfId="6365"/>
    <cellStyle name="Normal 5 7 2 4 2" xfId="15449"/>
    <cellStyle name="Normal 5 7 2 5" xfId="9974"/>
    <cellStyle name="Normal 5 7 2 5 2" xfId="18801"/>
    <cellStyle name="Normal 5 7 2 6" xfId="11419"/>
    <cellStyle name="Normal 5 7 2 7" xfId="4843"/>
    <cellStyle name="Normal 5 7 3" xfId="1070"/>
    <cellStyle name="Normal 5 7 3 2" xfId="2790"/>
    <cellStyle name="Normal 5 7 3 2 2" xfId="16331"/>
    <cellStyle name="Normal 5 7 3 2 3" xfId="12753"/>
    <cellStyle name="Normal 5 7 3 2 4" xfId="7463"/>
    <cellStyle name="Normal 5 7 3 3" xfId="4059"/>
    <cellStyle name="Normal 5 7 3 3 2" xfId="17704"/>
    <cellStyle name="Normal 5 7 3 3 3" xfId="14125"/>
    <cellStyle name="Normal 5 7 3 3 4" xfId="8868"/>
    <cellStyle name="Normal 5 7 3 4" xfId="6579"/>
    <cellStyle name="Normal 5 7 3 4 2" xfId="15663"/>
    <cellStyle name="Normal 5 7 3 5" xfId="10322"/>
    <cellStyle name="Normal 5 7 3 5 2" xfId="19149"/>
    <cellStyle name="Normal 5 7 3 6" xfId="11768"/>
    <cellStyle name="Normal 5 7 3 7" xfId="5057"/>
    <cellStyle name="Normal 5 7 4" xfId="1681"/>
    <cellStyle name="Normal 5 7 4 2" xfId="3276"/>
    <cellStyle name="Normal 5 7 4 2 2" xfId="16826"/>
    <cellStyle name="Normal 5 7 4 2 3" xfId="13247"/>
    <cellStyle name="Normal 5 7 4 2 4" xfId="7958"/>
    <cellStyle name="Normal 5 7 4 3" xfId="4340"/>
    <cellStyle name="Normal 5 7 4 3 2" xfId="18190"/>
    <cellStyle name="Normal 5 7 4 3 3" xfId="14611"/>
    <cellStyle name="Normal 5 7 4 3 4" xfId="9354"/>
    <cellStyle name="Normal 5 7 4 4" xfId="6046"/>
    <cellStyle name="Normal 5 7 4 4 2" xfId="15132"/>
    <cellStyle name="Normal 5 7 4 5" xfId="10808"/>
    <cellStyle name="Normal 5 7 4 5 2" xfId="19635"/>
    <cellStyle name="Normal 5 7 4 6" xfId="12254"/>
    <cellStyle name="Normal 5 7 4 7" xfId="5552"/>
    <cellStyle name="Normal 5 7 5" xfId="2233"/>
    <cellStyle name="Normal 5 7 5 2" xfId="15975"/>
    <cellStyle name="Normal 5 7 5 3" xfId="12355"/>
    <cellStyle name="Normal 5 7 5 4" xfId="6932"/>
    <cellStyle name="Normal 5 7 6" xfId="3502"/>
    <cellStyle name="Normal 5 7 6 2" xfId="17147"/>
    <cellStyle name="Normal 5 7 6 3" xfId="13568"/>
    <cellStyle name="Normal 5 7 6 4" xfId="8311"/>
    <cellStyle name="Normal 5 7 7" xfId="5872"/>
    <cellStyle name="Normal 5 7 7 2" xfId="14958"/>
    <cellStyle name="Normal 5 7 8" xfId="9765"/>
    <cellStyle name="Normal 5 7 8 2" xfId="18592"/>
    <cellStyle name="Normal 5 7 9" xfId="11209"/>
    <cellStyle name="Normal 5 7_Degree data" xfId="1257"/>
    <cellStyle name="Normal 5 8" xfId="478"/>
    <cellStyle name="Normal 5 8 2" xfId="714"/>
    <cellStyle name="Normal 5 8 2 2" xfId="2443"/>
    <cellStyle name="Normal 5 8 2 2 2" xfId="16332"/>
    <cellStyle name="Normal 5 8 2 2 3" xfId="12754"/>
    <cellStyle name="Normal 5 8 2 2 4" xfId="7464"/>
    <cellStyle name="Normal 5 8 2 3" xfId="3711"/>
    <cellStyle name="Normal 5 8 2 3 2" xfId="17357"/>
    <cellStyle name="Normal 5 8 2 3 3" xfId="13778"/>
    <cellStyle name="Normal 5 8 2 3 4" xfId="8521"/>
    <cellStyle name="Normal 5 8 2 4" xfId="6580"/>
    <cellStyle name="Normal 5 8 2 4 2" xfId="15664"/>
    <cellStyle name="Normal 5 8 2 5" xfId="9975"/>
    <cellStyle name="Normal 5 8 2 5 2" xfId="18802"/>
    <cellStyle name="Normal 5 8 2 6" xfId="11420"/>
    <cellStyle name="Normal 5 8 2 7" xfId="5058"/>
    <cellStyle name="Normal 5 8 3" xfId="1071"/>
    <cellStyle name="Normal 5 8 3 2" xfId="2791"/>
    <cellStyle name="Normal 5 8 3 2 2" xfId="16517"/>
    <cellStyle name="Normal 5 8 3 2 3" xfId="12939"/>
    <cellStyle name="Normal 5 8 3 2 4" xfId="7649"/>
    <cellStyle name="Normal 5 8 3 3" xfId="4060"/>
    <cellStyle name="Normal 5 8 3 3 2" xfId="17705"/>
    <cellStyle name="Normal 5 8 3 3 3" xfId="14126"/>
    <cellStyle name="Normal 5 8 3 3 4" xfId="8869"/>
    <cellStyle name="Normal 5 8 3 4" xfId="6742"/>
    <cellStyle name="Normal 5 8 3 4 2" xfId="15825"/>
    <cellStyle name="Normal 5 8 3 5" xfId="10323"/>
    <cellStyle name="Normal 5 8 3 5 2" xfId="19150"/>
    <cellStyle name="Normal 5 8 3 6" xfId="11769"/>
    <cellStyle name="Normal 5 8 3 7" xfId="5243"/>
    <cellStyle name="Normal 5 8 4" xfId="1354"/>
    <cellStyle name="Normal 5 8 4 2" xfId="2967"/>
    <cellStyle name="Normal 5 8 4 2 2" xfId="17881"/>
    <cellStyle name="Normal 5 8 4 2 3" xfId="14302"/>
    <cellStyle name="Normal 5 8 4 2 4" xfId="9045"/>
    <cellStyle name="Normal 5 8 4 3" xfId="10499"/>
    <cellStyle name="Normal 5 8 4 3 2" xfId="19326"/>
    <cellStyle name="Normal 5 8 4 4" xfId="11945"/>
    <cellStyle name="Normal 5 8 4 5" xfId="6940"/>
    <cellStyle name="Normal 5 8 5" xfId="1924"/>
    <cellStyle name="Normal 5 8 5 2" xfId="16836"/>
    <cellStyle name="Normal 5 8 5 3" xfId="13257"/>
    <cellStyle name="Normal 5 8 5 4" xfId="8000"/>
    <cellStyle name="Normal 5 8 6" xfId="6056"/>
    <cellStyle name="Normal 5 8 6 2" xfId="15140"/>
    <cellStyle name="Normal 5 8 7" xfId="9456"/>
    <cellStyle name="Normal 5 8 7 2" xfId="18283"/>
    <cellStyle name="Normal 5 8 8" xfId="10900"/>
    <cellStyle name="Normal 5 8 9" xfId="4534"/>
    <cellStyle name="Normal 5 8_Degree data" xfId="1688"/>
    <cellStyle name="Normal 5 9" xfId="672"/>
    <cellStyle name="Normal 5 9 2" xfId="2401"/>
    <cellStyle name="Normal 5 9 2 2" xfId="16290"/>
    <cellStyle name="Normal 5 9 2 3" xfId="12712"/>
    <cellStyle name="Normal 5 9 2 4" xfId="7422"/>
    <cellStyle name="Normal 5 9 3" xfId="3669"/>
    <cellStyle name="Normal 5 9 3 2" xfId="17315"/>
    <cellStyle name="Normal 5 9 3 3" xfId="13736"/>
    <cellStyle name="Normal 5 9 3 4" xfId="8479"/>
    <cellStyle name="Normal 5 9 4" xfId="6538"/>
    <cellStyle name="Normal 5 9 4 2" xfId="15622"/>
    <cellStyle name="Normal 5 9 5" xfId="9933"/>
    <cellStyle name="Normal 5 9 5 2" xfId="18760"/>
    <cellStyle name="Normal 5 9 6" xfId="11378"/>
    <cellStyle name="Normal 5 9 7" xfId="5016"/>
    <cellStyle name="Normal 5_Degree data" xfId="1320"/>
    <cellStyle name="Normal 50" xfId="91"/>
    <cellStyle name="Normal 51" xfId="92"/>
    <cellStyle name="Normal 52" xfId="82"/>
    <cellStyle name="Normal 53" xfId="114"/>
    <cellStyle name="Normal 54" xfId="115"/>
    <cellStyle name="Normal 55" xfId="116"/>
    <cellStyle name="Normal 56" xfId="40"/>
    <cellStyle name="Normal 57" xfId="26"/>
    <cellStyle name="Normal 57 10" xfId="457"/>
    <cellStyle name="Normal 57 10 10" xfId="4519"/>
    <cellStyle name="Normal 57 10 2" xfId="716"/>
    <cellStyle name="Normal 57 10 2 2" xfId="2445"/>
    <cellStyle name="Normal 57 10 2 2 2" xfId="16111"/>
    <cellStyle name="Normal 57 10 2 2 3" xfId="12533"/>
    <cellStyle name="Normal 57 10 2 2 4" xfId="7242"/>
    <cellStyle name="Normal 57 10 2 3" xfId="3713"/>
    <cellStyle name="Normal 57 10 2 3 2" xfId="17359"/>
    <cellStyle name="Normal 57 10 2 3 3" xfId="13780"/>
    <cellStyle name="Normal 57 10 2 3 4" xfId="8523"/>
    <cellStyle name="Normal 57 10 2 4" xfId="6358"/>
    <cellStyle name="Normal 57 10 2 4 2" xfId="15442"/>
    <cellStyle name="Normal 57 10 2 5" xfId="9977"/>
    <cellStyle name="Normal 57 10 2 5 2" xfId="18804"/>
    <cellStyle name="Normal 57 10 2 6" xfId="11422"/>
    <cellStyle name="Normal 57 10 2 7" xfId="4836"/>
    <cellStyle name="Normal 57 10 3" xfId="1073"/>
    <cellStyle name="Normal 57 10 3 2" xfId="2793"/>
    <cellStyle name="Normal 57 10 3 2 2" xfId="16334"/>
    <cellStyle name="Normal 57 10 3 2 3" xfId="12756"/>
    <cellStyle name="Normal 57 10 3 2 4" xfId="7466"/>
    <cellStyle name="Normal 57 10 3 3" xfId="4062"/>
    <cellStyle name="Normal 57 10 3 3 2" xfId="17707"/>
    <cellStyle name="Normal 57 10 3 3 3" xfId="14128"/>
    <cellStyle name="Normal 57 10 3 3 4" xfId="8871"/>
    <cellStyle name="Normal 57 10 3 4" xfId="6582"/>
    <cellStyle name="Normal 57 10 3 4 2" xfId="15666"/>
    <cellStyle name="Normal 57 10 3 5" xfId="10325"/>
    <cellStyle name="Normal 57 10 3 5 2" xfId="19152"/>
    <cellStyle name="Normal 57 10 3 6" xfId="11771"/>
    <cellStyle name="Normal 57 10 3 7" xfId="5060"/>
    <cellStyle name="Normal 57 10 4" xfId="1673"/>
    <cellStyle name="Normal 57 10 4 2" xfId="3269"/>
    <cellStyle name="Normal 57 10 4 2 2" xfId="16819"/>
    <cellStyle name="Normal 57 10 4 2 3" xfId="13240"/>
    <cellStyle name="Normal 57 10 4 2 4" xfId="7951"/>
    <cellStyle name="Normal 57 10 4 3" xfId="4333"/>
    <cellStyle name="Normal 57 10 4 3 2" xfId="18183"/>
    <cellStyle name="Normal 57 10 4 3 3" xfId="14604"/>
    <cellStyle name="Normal 57 10 4 3 4" xfId="9347"/>
    <cellStyle name="Normal 57 10 4 4" xfId="6039"/>
    <cellStyle name="Normal 57 10 4 4 2" xfId="15125"/>
    <cellStyle name="Normal 57 10 4 5" xfId="10801"/>
    <cellStyle name="Normal 57 10 4 5 2" xfId="19628"/>
    <cellStyle name="Normal 57 10 4 6" xfId="12247"/>
    <cellStyle name="Normal 57 10 4 7" xfId="5545"/>
    <cellStyle name="Normal 57 10 5" xfId="2226"/>
    <cellStyle name="Normal 57 10 5 2" xfId="15968"/>
    <cellStyle name="Normal 57 10 5 3" xfId="12310"/>
    <cellStyle name="Normal 57 10 5 4" xfId="6925"/>
    <cellStyle name="Normal 57 10 6" xfId="3495"/>
    <cellStyle name="Normal 57 10 6 2" xfId="17140"/>
    <cellStyle name="Normal 57 10 6 3" xfId="13561"/>
    <cellStyle name="Normal 57 10 6 4" xfId="8304"/>
    <cellStyle name="Normal 57 10 7" xfId="5865"/>
    <cellStyle name="Normal 57 10 7 2" xfId="14951"/>
    <cellStyle name="Normal 57 10 8" xfId="9758"/>
    <cellStyle name="Normal 57 10 8 2" xfId="18585"/>
    <cellStyle name="Normal 57 10 9" xfId="11202"/>
    <cellStyle name="Normal 57 10_Degree data" xfId="1690"/>
    <cellStyle name="Normal 57 11" xfId="295"/>
    <cellStyle name="Normal 57 11 2" xfId="717"/>
    <cellStyle name="Normal 57 11 2 2" xfId="2446"/>
    <cellStyle name="Normal 57 11 2 2 2" xfId="16335"/>
    <cellStyle name="Normal 57 11 2 2 3" xfId="12757"/>
    <cellStyle name="Normal 57 11 2 2 4" xfId="7467"/>
    <cellStyle name="Normal 57 11 2 3" xfId="3714"/>
    <cellStyle name="Normal 57 11 2 3 2" xfId="17360"/>
    <cellStyle name="Normal 57 11 2 3 3" xfId="13781"/>
    <cellStyle name="Normal 57 11 2 3 4" xfId="8524"/>
    <cellStyle name="Normal 57 11 2 4" xfId="6583"/>
    <cellStyle name="Normal 57 11 2 4 2" xfId="15667"/>
    <cellStyle name="Normal 57 11 2 5" xfId="9978"/>
    <cellStyle name="Normal 57 11 2 5 2" xfId="18805"/>
    <cellStyle name="Normal 57 11 2 6" xfId="11423"/>
    <cellStyle name="Normal 57 11 2 7" xfId="5061"/>
    <cellStyle name="Normal 57 11 3" xfId="1074"/>
    <cellStyle name="Normal 57 11 3 2" xfId="2794"/>
    <cellStyle name="Normal 57 11 3 2 2" xfId="16658"/>
    <cellStyle name="Normal 57 11 3 2 3" xfId="13079"/>
    <cellStyle name="Normal 57 11 3 2 4" xfId="7790"/>
    <cellStyle name="Normal 57 11 3 3" xfId="4063"/>
    <cellStyle name="Normal 57 11 3 3 2" xfId="17708"/>
    <cellStyle name="Normal 57 11 3 3 3" xfId="14129"/>
    <cellStyle name="Normal 57 11 3 3 4" xfId="8872"/>
    <cellStyle name="Normal 57 11 3 4" xfId="6197"/>
    <cellStyle name="Normal 57 11 3 4 2" xfId="15281"/>
    <cellStyle name="Normal 57 11 3 5" xfId="10326"/>
    <cellStyle name="Normal 57 11 3 5 2" xfId="19153"/>
    <cellStyle name="Normal 57 11 3 6" xfId="11772"/>
    <cellStyle name="Normal 57 11 3 7" xfId="5384"/>
    <cellStyle name="Normal 57 11 4" xfId="1509"/>
    <cellStyle name="Normal 57 11 4 2" xfId="3108"/>
    <cellStyle name="Normal 57 11 4 2 2" xfId="18022"/>
    <cellStyle name="Normal 57 11 4 2 3" xfId="14443"/>
    <cellStyle name="Normal 57 11 4 2 4" xfId="9186"/>
    <cellStyle name="Normal 57 11 4 3" xfId="10640"/>
    <cellStyle name="Normal 57 11 4 3 2" xfId="19467"/>
    <cellStyle name="Normal 57 11 4 4" xfId="12086"/>
    <cellStyle name="Normal 57 11 4 5" xfId="7081"/>
    <cellStyle name="Normal 57 11 5" xfId="2065"/>
    <cellStyle name="Normal 57 11 5 2" xfId="16979"/>
    <cellStyle name="Normal 57 11 5 3" xfId="13400"/>
    <cellStyle name="Normal 57 11 5 4" xfId="8143"/>
    <cellStyle name="Normal 57 11 6" xfId="5704"/>
    <cellStyle name="Normal 57 11 6 2" xfId="14790"/>
    <cellStyle name="Normal 57 11 7" xfId="9597"/>
    <cellStyle name="Normal 57 11 7 2" xfId="18424"/>
    <cellStyle name="Normal 57 11 8" xfId="11041"/>
    <cellStyle name="Normal 57 11 9" xfId="4675"/>
    <cellStyle name="Normal 57 11_Degree data" xfId="1691"/>
    <cellStyle name="Normal 57 12" xfId="474"/>
    <cellStyle name="Normal 57 12 2" xfId="718"/>
    <cellStyle name="Normal 57 12 2 2" xfId="2447"/>
    <cellStyle name="Normal 57 12 2 2 2" xfId="16336"/>
    <cellStyle name="Normal 57 12 2 2 3" xfId="12758"/>
    <cellStyle name="Normal 57 12 2 2 4" xfId="7468"/>
    <cellStyle name="Normal 57 12 2 3" xfId="3715"/>
    <cellStyle name="Normal 57 12 2 3 2" xfId="17361"/>
    <cellStyle name="Normal 57 12 2 3 3" xfId="13782"/>
    <cellStyle name="Normal 57 12 2 3 4" xfId="8525"/>
    <cellStyle name="Normal 57 12 2 4" xfId="6584"/>
    <cellStyle name="Normal 57 12 2 4 2" xfId="15668"/>
    <cellStyle name="Normal 57 12 2 5" xfId="9979"/>
    <cellStyle name="Normal 57 12 2 5 2" xfId="18806"/>
    <cellStyle name="Normal 57 12 2 6" xfId="11424"/>
    <cellStyle name="Normal 57 12 2 7" xfId="5062"/>
    <cellStyle name="Normal 57 12 3" xfId="1075"/>
    <cellStyle name="Normal 57 12 3 2" xfId="2795"/>
    <cellStyle name="Normal 57 12 3 2 2" xfId="16513"/>
    <cellStyle name="Normal 57 12 3 2 3" xfId="12935"/>
    <cellStyle name="Normal 57 12 3 2 4" xfId="7645"/>
    <cellStyle name="Normal 57 12 3 3" xfId="4064"/>
    <cellStyle name="Normal 57 12 3 3 2" xfId="17709"/>
    <cellStyle name="Normal 57 12 3 3 3" xfId="14130"/>
    <cellStyle name="Normal 57 12 3 3 4" xfId="8873"/>
    <cellStyle name="Normal 57 12 3 4" xfId="6736"/>
    <cellStyle name="Normal 57 12 3 4 2" xfId="15819"/>
    <cellStyle name="Normal 57 12 3 5" xfId="10327"/>
    <cellStyle name="Normal 57 12 3 5 2" xfId="19154"/>
    <cellStyle name="Normal 57 12 3 6" xfId="11773"/>
    <cellStyle name="Normal 57 12 3 7" xfId="5239"/>
    <cellStyle name="Normal 57 12 4" xfId="1350"/>
    <cellStyle name="Normal 57 12 4 2" xfId="2963"/>
    <cellStyle name="Normal 57 12 4 2 2" xfId="17877"/>
    <cellStyle name="Normal 57 12 4 2 3" xfId="14298"/>
    <cellStyle name="Normal 57 12 4 2 4" xfId="9041"/>
    <cellStyle name="Normal 57 12 4 3" xfId="10495"/>
    <cellStyle name="Normal 57 12 4 3 2" xfId="19322"/>
    <cellStyle name="Normal 57 12 4 4" xfId="11941"/>
    <cellStyle name="Normal 57 12 4 5" xfId="6936"/>
    <cellStyle name="Normal 57 12 5" xfId="1920"/>
    <cellStyle name="Normal 57 12 5 2" xfId="16832"/>
    <cellStyle name="Normal 57 12 5 3" xfId="13253"/>
    <cellStyle name="Normal 57 12 5 4" xfId="7996"/>
    <cellStyle name="Normal 57 12 6" xfId="6052"/>
    <cellStyle name="Normal 57 12 6 2" xfId="15136"/>
    <cellStyle name="Normal 57 12 7" xfId="9452"/>
    <cellStyle name="Normal 57 12 7 2" xfId="18279"/>
    <cellStyle name="Normal 57 12 8" xfId="10896"/>
    <cellStyle name="Normal 57 12 9" xfId="4530"/>
    <cellStyle name="Normal 57 12_Degree data" xfId="1692"/>
    <cellStyle name="Normal 57 13" xfId="715"/>
    <cellStyle name="Normal 57 13 2" xfId="2444"/>
    <cellStyle name="Normal 57 13 2 2" xfId="16333"/>
    <cellStyle name="Normal 57 13 2 3" xfId="12755"/>
    <cellStyle name="Normal 57 13 2 4" xfId="7465"/>
    <cellStyle name="Normal 57 13 3" xfId="3712"/>
    <cellStyle name="Normal 57 13 3 2" xfId="17358"/>
    <cellStyle name="Normal 57 13 3 3" xfId="13779"/>
    <cellStyle name="Normal 57 13 3 4" xfId="8522"/>
    <cellStyle name="Normal 57 13 4" xfId="6581"/>
    <cellStyle name="Normal 57 13 4 2" xfId="15665"/>
    <cellStyle name="Normal 57 13 5" xfId="9976"/>
    <cellStyle name="Normal 57 13 5 2" xfId="18803"/>
    <cellStyle name="Normal 57 13 6" xfId="11421"/>
    <cellStyle name="Normal 57 13 7" xfId="5059"/>
    <cellStyle name="Normal 57 14" xfId="1072"/>
    <cellStyle name="Normal 57 14 2" xfId="2792"/>
    <cellStyle name="Normal 57 14 2 2" xfId="16483"/>
    <cellStyle name="Normal 57 14 2 3" xfId="12905"/>
    <cellStyle name="Normal 57 14 2 4" xfId="7615"/>
    <cellStyle name="Normal 57 14 3" xfId="4061"/>
    <cellStyle name="Normal 57 14 3 2" xfId="17706"/>
    <cellStyle name="Normal 57 14 3 3" xfId="14127"/>
    <cellStyle name="Normal 57 14 3 4" xfId="8870"/>
    <cellStyle name="Normal 57 14 4" xfId="5876"/>
    <cellStyle name="Normal 57 14 4 2" xfId="14962"/>
    <cellStyle name="Normal 57 14 5" xfId="10324"/>
    <cellStyle name="Normal 57 14 5 2" xfId="19151"/>
    <cellStyle name="Normal 57 14 6" xfId="11770"/>
    <cellStyle name="Normal 57 14 7" xfId="5209"/>
    <cellStyle name="Normal 57 15" xfId="1262"/>
    <cellStyle name="Normal 57 15 2" xfId="2933"/>
    <cellStyle name="Normal 57 15 2 2" xfId="17847"/>
    <cellStyle name="Normal 57 15 2 3" xfId="14268"/>
    <cellStyle name="Normal 57 15 2 4" xfId="9011"/>
    <cellStyle name="Normal 57 15 3" xfId="10465"/>
    <cellStyle name="Normal 57 15 3 2" xfId="19292"/>
    <cellStyle name="Normal 57 15 4" xfId="11911"/>
    <cellStyle name="Normal 57 15 5" xfId="6763"/>
    <cellStyle name="Normal 57 16" xfId="1890"/>
    <cellStyle name="Normal 57 16 2" xfId="9422"/>
    <cellStyle name="Normal 57 16 2 2" xfId="18249"/>
    <cellStyle name="Normal 57 16 3" xfId="10866"/>
    <cellStyle name="Normal 57 16 4" xfId="7965"/>
    <cellStyle name="Normal 57 17" xfId="1842"/>
    <cellStyle name="Normal 57 17 2" xfId="14645"/>
    <cellStyle name="Normal 57 17 3" xfId="5559"/>
    <cellStyle name="Normal 57 18" xfId="9379"/>
    <cellStyle name="Normal 57 18 2" xfId="18206"/>
    <cellStyle name="Normal 57 19" xfId="10817"/>
    <cellStyle name="Normal 57 2" xfId="36"/>
    <cellStyle name="Normal 57 20" xfId="4358"/>
    <cellStyle name="Normal 57 3" xfId="97"/>
    <cellStyle name="Normal 57 3 10" xfId="1272"/>
    <cellStyle name="Normal 57 3 10 2" xfId="2937"/>
    <cellStyle name="Normal 57 3 10 2 2" xfId="17851"/>
    <cellStyle name="Normal 57 3 10 2 3" xfId="14272"/>
    <cellStyle name="Normal 57 3 10 2 4" xfId="9015"/>
    <cellStyle name="Normal 57 3 10 3" xfId="10469"/>
    <cellStyle name="Normal 57 3 10 3 2" xfId="19296"/>
    <cellStyle name="Normal 57 3 10 4" xfId="11915"/>
    <cellStyle name="Normal 57 3 10 5" xfId="6776"/>
    <cellStyle name="Normal 57 3 11" xfId="1894"/>
    <cellStyle name="Normal 57 3 11 2" xfId="9426"/>
    <cellStyle name="Normal 57 3 11 2 2" xfId="18253"/>
    <cellStyle name="Normal 57 3 11 3" xfId="10870"/>
    <cellStyle name="Normal 57 3 11 4" xfId="7969"/>
    <cellStyle name="Normal 57 3 12" xfId="1849"/>
    <cellStyle name="Normal 57 3 12 2" xfId="14651"/>
    <cellStyle name="Normal 57 3 12 3" xfId="5565"/>
    <cellStyle name="Normal 57 3 13" xfId="9386"/>
    <cellStyle name="Normal 57 3 13 2" xfId="18213"/>
    <cellStyle name="Normal 57 3 14" xfId="10825"/>
    <cellStyle name="Normal 57 3 15" xfId="4371"/>
    <cellStyle name="Normal 57 3 2" xfId="127"/>
    <cellStyle name="Normal 57 3 2 10" xfId="1876"/>
    <cellStyle name="Normal 57 3 2 10 2" xfId="14676"/>
    <cellStyle name="Normal 57 3 2 10 3" xfId="5590"/>
    <cellStyle name="Normal 57 3 2 11" xfId="9408"/>
    <cellStyle name="Normal 57 3 2 11 2" xfId="18235"/>
    <cellStyle name="Normal 57 3 2 12" xfId="10852"/>
    <cellStyle name="Normal 57 3 2 13" xfId="4401"/>
    <cellStyle name="Normal 57 3 2 2" xfId="273"/>
    <cellStyle name="Normal 57 3 2 2 10" xfId="11027"/>
    <cellStyle name="Normal 57 3 2 2 11" xfId="4444"/>
    <cellStyle name="Normal 57 3 2 2 2" xfId="381"/>
    <cellStyle name="Normal 57 3 2 2 2 2" xfId="722"/>
    <cellStyle name="Normal 57 3 2 2 2 2 2" xfId="2451"/>
    <cellStyle name="Normal 57 3 2 2 2 2 2 2" xfId="16340"/>
    <cellStyle name="Normal 57 3 2 2 2 2 2 3" xfId="12762"/>
    <cellStyle name="Normal 57 3 2 2 2 2 2 4" xfId="7472"/>
    <cellStyle name="Normal 57 3 2 2 2 2 3" xfId="3719"/>
    <cellStyle name="Normal 57 3 2 2 2 2 3 2" xfId="17365"/>
    <cellStyle name="Normal 57 3 2 2 2 2 3 3" xfId="13786"/>
    <cellStyle name="Normal 57 3 2 2 2 2 3 4" xfId="8529"/>
    <cellStyle name="Normal 57 3 2 2 2 2 4" xfId="6588"/>
    <cellStyle name="Normal 57 3 2 2 2 2 4 2" xfId="15672"/>
    <cellStyle name="Normal 57 3 2 2 2 2 5" xfId="9983"/>
    <cellStyle name="Normal 57 3 2 2 2 2 5 2" xfId="18810"/>
    <cellStyle name="Normal 57 3 2 2 2 2 6" xfId="11428"/>
    <cellStyle name="Normal 57 3 2 2 2 2 7" xfId="5066"/>
    <cellStyle name="Normal 57 3 2 2 2 3" xfId="1079"/>
    <cellStyle name="Normal 57 3 2 2 2 3 2" xfId="2799"/>
    <cellStyle name="Normal 57 3 2 2 2 3 2 2" xfId="16744"/>
    <cellStyle name="Normal 57 3 2 2 2 3 2 3" xfId="13165"/>
    <cellStyle name="Normal 57 3 2 2 2 3 2 4" xfId="7876"/>
    <cellStyle name="Normal 57 3 2 2 2 3 3" xfId="4068"/>
    <cellStyle name="Normal 57 3 2 2 2 3 3 2" xfId="17713"/>
    <cellStyle name="Normal 57 3 2 2 2 3 3 3" xfId="14134"/>
    <cellStyle name="Normal 57 3 2 2 2 3 3 4" xfId="8877"/>
    <cellStyle name="Normal 57 3 2 2 2 3 4" xfId="6283"/>
    <cellStyle name="Normal 57 3 2 2 2 3 4 2" xfId="15367"/>
    <cellStyle name="Normal 57 3 2 2 2 3 5" xfId="10331"/>
    <cellStyle name="Normal 57 3 2 2 2 3 5 2" xfId="19158"/>
    <cellStyle name="Normal 57 3 2 2 2 3 6" xfId="11777"/>
    <cellStyle name="Normal 57 3 2 2 2 3 7" xfId="5470"/>
    <cellStyle name="Normal 57 3 2 2 2 4" xfId="1597"/>
    <cellStyle name="Normal 57 3 2 2 2 4 2" xfId="3194"/>
    <cellStyle name="Normal 57 3 2 2 2 4 2 2" xfId="18108"/>
    <cellStyle name="Normal 57 3 2 2 2 4 2 3" xfId="14529"/>
    <cellStyle name="Normal 57 3 2 2 2 4 2 4" xfId="9272"/>
    <cellStyle name="Normal 57 3 2 2 2 4 3" xfId="10726"/>
    <cellStyle name="Normal 57 3 2 2 2 4 3 2" xfId="19553"/>
    <cellStyle name="Normal 57 3 2 2 2 4 4" xfId="12172"/>
    <cellStyle name="Normal 57 3 2 2 2 4 5" xfId="7167"/>
    <cellStyle name="Normal 57 3 2 2 2 5" xfId="2151"/>
    <cellStyle name="Normal 57 3 2 2 2 5 2" xfId="17065"/>
    <cellStyle name="Normal 57 3 2 2 2 5 3" xfId="13486"/>
    <cellStyle name="Normal 57 3 2 2 2 5 4" xfId="8229"/>
    <cellStyle name="Normal 57 3 2 2 2 6" xfId="5790"/>
    <cellStyle name="Normal 57 3 2 2 2 6 2" xfId="14876"/>
    <cellStyle name="Normal 57 3 2 2 2 7" xfId="9683"/>
    <cellStyle name="Normal 57 3 2 2 2 7 2" xfId="18510"/>
    <cellStyle name="Normal 57 3 2 2 2 8" xfId="11127"/>
    <cellStyle name="Normal 57 3 2 2 2 9" xfId="4761"/>
    <cellStyle name="Normal 57 3 2 2 2_Degree data" xfId="1696"/>
    <cellStyle name="Normal 57 3 2 2 3" xfId="721"/>
    <cellStyle name="Normal 57 3 2 2 3 2" xfId="2450"/>
    <cellStyle name="Normal 57 3 2 2 3 2 2" xfId="16081"/>
    <cellStyle name="Normal 57 3 2 2 3 2 3" xfId="12329"/>
    <cellStyle name="Normal 57 3 2 2 3 2 4" xfId="7067"/>
    <cellStyle name="Normal 57 3 2 2 3 3" xfId="3718"/>
    <cellStyle name="Normal 57 3 2 2 3 3 2" xfId="17364"/>
    <cellStyle name="Normal 57 3 2 2 3 3 3" xfId="13785"/>
    <cellStyle name="Normal 57 3 2 2 3 3 4" xfId="8528"/>
    <cellStyle name="Normal 57 3 2 2 3 4" xfId="6183"/>
    <cellStyle name="Normal 57 3 2 2 3 4 2" xfId="15267"/>
    <cellStyle name="Normal 57 3 2 2 3 5" xfId="9982"/>
    <cellStyle name="Normal 57 3 2 2 3 5 2" xfId="18809"/>
    <cellStyle name="Normal 57 3 2 2 3 6" xfId="11427"/>
    <cellStyle name="Normal 57 3 2 2 3 7" xfId="4661"/>
    <cellStyle name="Normal 57 3 2 2 4" xfId="1078"/>
    <cellStyle name="Normal 57 3 2 2 4 2" xfId="2798"/>
    <cellStyle name="Normal 57 3 2 2 4 2 2" xfId="16339"/>
    <cellStyle name="Normal 57 3 2 2 4 2 3" xfId="12761"/>
    <cellStyle name="Normal 57 3 2 2 4 2 4" xfId="7471"/>
    <cellStyle name="Normal 57 3 2 2 4 3" xfId="4067"/>
    <cellStyle name="Normal 57 3 2 2 4 3 2" xfId="17712"/>
    <cellStyle name="Normal 57 3 2 2 4 3 3" xfId="14133"/>
    <cellStyle name="Normal 57 3 2 2 4 3 4" xfId="8876"/>
    <cellStyle name="Normal 57 3 2 2 4 4" xfId="6587"/>
    <cellStyle name="Normal 57 3 2 2 4 4 2" xfId="15671"/>
    <cellStyle name="Normal 57 3 2 2 4 5" xfId="10330"/>
    <cellStyle name="Normal 57 3 2 2 4 5 2" xfId="19157"/>
    <cellStyle name="Normal 57 3 2 2 4 6" xfId="11776"/>
    <cellStyle name="Normal 57 3 2 2 4 7" xfId="5065"/>
    <cellStyle name="Normal 57 3 2 2 5" xfId="1495"/>
    <cellStyle name="Normal 57 3 2 2 5 2" xfId="3094"/>
    <cellStyle name="Normal 57 3 2 2 5 2 2" xfId="16644"/>
    <cellStyle name="Normal 57 3 2 2 5 2 3" xfId="13065"/>
    <cellStyle name="Normal 57 3 2 2 5 2 4" xfId="7776"/>
    <cellStyle name="Normal 57 3 2 2 5 3" xfId="4303"/>
    <cellStyle name="Normal 57 3 2 2 5 3 2" xfId="18008"/>
    <cellStyle name="Normal 57 3 2 2 5 3 3" xfId="14429"/>
    <cellStyle name="Normal 57 3 2 2 5 3 4" xfId="9172"/>
    <cellStyle name="Normal 57 3 2 2 5 4" xfId="5964"/>
    <cellStyle name="Normal 57 3 2 2 5 4 2" xfId="15050"/>
    <cellStyle name="Normal 57 3 2 2 5 5" xfId="10626"/>
    <cellStyle name="Normal 57 3 2 2 5 5 2" xfId="19453"/>
    <cellStyle name="Normal 57 3 2 2 5 6" xfId="12072"/>
    <cellStyle name="Normal 57 3 2 2 5 7" xfId="5370"/>
    <cellStyle name="Normal 57 3 2 2 6" xfId="2051"/>
    <cellStyle name="Normal 57 3 2 2 6 2" xfId="15893"/>
    <cellStyle name="Normal 57 3 2 2 6 3" xfId="12373"/>
    <cellStyle name="Normal 57 3 2 2 6 4" xfId="6850"/>
    <cellStyle name="Normal 57 3 2 2 7" xfId="3465"/>
    <cellStyle name="Normal 57 3 2 2 7 2" xfId="16965"/>
    <cellStyle name="Normal 57 3 2 2 7 3" xfId="13386"/>
    <cellStyle name="Normal 57 3 2 2 7 4" xfId="8129"/>
    <cellStyle name="Normal 57 3 2 2 8" xfId="5690"/>
    <cellStyle name="Normal 57 3 2 2 8 2" xfId="14776"/>
    <cellStyle name="Normal 57 3 2 2 9" xfId="9583"/>
    <cellStyle name="Normal 57 3 2 2 9 2" xfId="18410"/>
    <cellStyle name="Normal 57 3 2 2_Degree data" xfId="1695"/>
    <cellStyle name="Normal 57 3 2 3" xfId="230"/>
    <cellStyle name="Normal 57 3 2 3 10" xfId="10984"/>
    <cellStyle name="Normal 57 3 2 3 11" xfId="4505"/>
    <cellStyle name="Normal 57 3 2 3 2" xfId="443"/>
    <cellStyle name="Normal 57 3 2 3 2 2" xfId="724"/>
    <cellStyle name="Normal 57 3 2 3 2 2 2" xfId="2453"/>
    <cellStyle name="Normal 57 3 2 3 2 2 2 2" xfId="16342"/>
    <cellStyle name="Normal 57 3 2 3 2 2 2 3" xfId="12764"/>
    <cellStyle name="Normal 57 3 2 3 2 2 2 4" xfId="7474"/>
    <cellStyle name="Normal 57 3 2 3 2 2 3" xfId="3721"/>
    <cellStyle name="Normal 57 3 2 3 2 2 3 2" xfId="17367"/>
    <cellStyle name="Normal 57 3 2 3 2 2 3 3" xfId="13788"/>
    <cellStyle name="Normal 57 3 2 3 2 2 3 4" xfId="8531"/>
    <cellStyle name="Normal 57 3 2 3 2 2 4" xfId="6590"/>
    <cellStyle name="Normal 57 3 2 3 2 2 4 2" xfId="15674"/>
    <cellStyle name="Normal 57 3 2 3 2 2 5" xfId="9985"/>
    <cellStyle name="Normal 57 3 2 3 2 2 5 2" xfId="18812"/>
    <cellStyle name="Normal 57 3 2 3 2 2 6" xfId="11430"/>
    <cellStyle name="Normal 57 3 2 3 2 2 7" xfId="5068"/>
    <cellStyle name="Normal 57 3 2 3 2 3" xfId="1081"/>
    <cellStyle name="Normal 57 3 2 3 2 3 2" xfId="2801"/>
    <cellStyle name="Normal 57 3 2 3 2 3 2 2" xfId="16805"/>
    <cellStyle name="Normal 57 3 2 3 2 3 2 3" xfId="13226"/>
    <cellStyle name="Normal 57 3 2 3 2 3 2 4" xfId="7937"/>
    <cellStyle name="Normal 57 3 2 3 2 3 3" xfId="4070"/>
    <cellStyle name="Normal 57 3 2 3 2 3 3 2" xfId="17715"/>
    <cellStyle name="Normal 57 3 2 3 2 3 3 3" xfId="14136"/>
    <cellStyle name="Normal 57 3 2 3 2 3 3 4" xfId="8879"/>
    <cellStyle name="Normal 57 3 2 3 2 3 4" xfId="6344"/>
    <cellStyle name="Normal 57 3 2 3 2 3 4 2" xfId="15428"/>
    <cellStyle name="Normal 57 3 2 3 2 3 5" xfId="10333"/>
    <cellStyle name="Normal 57 3 2 3 2 3 5 2" xfId="19160"/>
    <cellStyle name="Normal 57 3 2 3 2 3 6" xfId="11779"/>
    <cellStyle name="Normal 57 3 2 3 2 3 7" xfId="5531"/>
    <cellStyle name="Normal 57 3 2 3 2 4" xfId="1659"/>
    <cellStyle name="Normal 57 3 2 3 2 4 2" xfId="3255"/>
    <cellStyle name="Normal 57 3 2 3 2 4 2 2" xfId="18169"/>
    <cellStyle name="Normal 57 3 2 3 2 4 2 3" xfId="14590"/>
    <cellStyle name="Normal 57 3 2 3 2 4 2 4" xfId="9333"/>
    <cellStyle name="Normal 57 3 2 3 2 4 3" xfId="10787"/>
    <cellStyle name="Normal 57 3 2 3 2 4 3 2" xfId="19614"/>
    <cellStyle name="Normal 57 3 2 3 2 4 4" xfId="12233"/>
    <cellStyle name="Normal 57 3 2 3 2 4 5" xfId="7228"/>
    <cellStyle name="Normal 57 3 2 3 2 5" xfId="2212"/>
    <cellStyle name="Normal 57 3 2 3 2 5 2" xfId="17126"/>
    <cellStyle name="Normal 57 3 2 3 2 5 3" xfId="13547"/>
    <cellStyle name="Normal 57 3 2 3 2 5 4" xfId="8290"/>
    <cellStyle name="Normal 57 3 2 3 2 6" xfId="5851"/>
    <cellStyle name="Normal 57 3 2 3 2 6 2" xfId="14937"/>
    <cellStyle name="Normal 57 3 2 3 2 7" xfId="9744"/>
    <cellStyle name="Normal 57 3 2 3 2 7 2" xfId="18571"/>
    <cellStyle name="Normal 57 3 2 3 2 8" xfId="11188"/>
    <cellStyle name="Normal 57 3 2 3 2 9" xfId="4822"/>
    <cellStyle name="Normal 57 3 2 3 2_Degree data" xfId="1698"/>
    <cellStyle name="Normal 57 3 2 3 3" xfId="723"/>
    <cellStyle name="Normal 57 3 2 3 3 2" xfId="2452"/>
    <cellStyle name="Normal 57 3 2 3 3 2 2" xfId="16038"/>
    <cellStyle name="Normal 57 3 2 3 3 2 3" xfId="12402"/>
    <cellStyle name="Normal 57 3 2 3 3 2 4" xfId="7024"/>
    <cellStyle name="Normal 57 3 2 3 3 3" xfId="3720"/>
    <cellStyle name="Normal 57 3 2 3 3 3 2" xfId="17366"/>
    <cellStyle name="Normal 57 3 2 3 3 3 3" xfId="13787"/>
    <cellStyle name="Normal 57 3 2 3 3 3 4" xfId="8530"/>
    <cellStyle name="Normal 57 3 2 3 3 4" xfId="6140"/>
    <cellStyle name="Normal 57 3 2 3 3 4 2" xfId="15224"/>
    <cellStyle name="Normal 57 3 2 3 3 5" xfId="9984"/>
    <cellStyle name="Normal 57 3 2 3 3 5 2" xfId="18811"/>
    <cellStyle name="Normal 57 3 2 3 3 6" xfId="11429"/>
    <cellStyle name="Normal 57 3 2 3 3 7" xfId="4618"/>
    <cellStyle name="Normal 57 3 2 3 4" xfId="1080"/>
    <cellStyle name="Normal 57 3 2 3 4 2" xfId="2800"/>
    <cellStyle name="Normal 57 3 2 3 4 2 2" xfId="16341"/>
    <cellStyle name="Normal 57 3 2 3 4 2 3" xfId="12763"/>
    <cellStyle name="Normal 57 3 2 3 4 2 4" xfId="7473"/>
    <cellStyle name="Normal 57 3 2 3 4 3" xfId="4069"/>
    <cellStyle name="Normal 57 3 2 3 4 3 2" xfId="17714"/>
    <cellStyle name="Normal 57 3 2 3 4 3 3" xfId="14135"/>
    <cellStyle name="Normal 57 3 2 3 4 3 4" xfId="8878"/>
    <cellStyle name="Normal 57 3 2 3 4 4" xfId="6589"/>
    <cellStyle name="Normal 57 3 2 3 4 4 2" xfId="15673"/>
    <cellStyle name="Normal 57 3 2 3 4 5" xfId="10332"/>
    <cellStyle name="Normal 57 3 2 3 4 5 2" xfId="19159"/>
    <cellStyle name="Normal 57 3 2 3 4 6" xfId="11778"/>
    <cellStyle name="Normal 57 3 2 3 4 7" xfId="5067"/>
    <cellStyle name="Normal 57 3 2 3 5" xfId="1450"/>
    <cellStyle name="Normal 57 3 2 3 5 2" xfId="3051"/>
    <cellStyle name="Normal 57 3 2 3 5 2 2" xfId="16601"/>
    <cellStyle name="Normal 57 3 2 3 5 2 3" xfId="13022"/>
    <cellStyle name="Normal 57 3 2 3 5 2 4" xfId="7733"/>
    <cellStyle name="Normal 57 3 2 3 5 3" xfId="4260"/>
    <cellStyle name="Normal 57 3 2 3 5 3 2" xfId="17965"/>
    <cellStyle name="Normal 57 3 2 3 5 3 3" xfId="14386"/>
    <cellStyle name="Normal 57 3 2 3 5 3 4" xfId="9129"/>
    <cellStyle name="Normal 57 3 2 3 5 4" xfId="6025"/>
    <cellStyle name="Normal 57 3 2 3 5 4 2" xfId="15111"/>
    <cellStyle name="Normal 57 3 2 3 5 5" xfId="10583"/>
    <cellStyle name="Normal 57 3 2 3 5 5 2" xfId="19410"/>
    <cellStyle name="Normal 57 3 2 3 5 6" xfId="12029"/>
    <cellStyle name="Normal 57 3 2 3 5 7" xfId="5327"/>
    <cellStyle name="Normal 57 3 2 3 6" xfId="2008"/>
    <cellStyle name="Normal 57 3 2 3 6 2" xfId="15954"/>
    <cellStyle name="Normal 57 3 2 3 6 3" xfId="12490"/>
    <cellStyle name="Normal 57 3 2 3 6 4" xfId="6911"/>
    <cellStyle name="Normal 57 3 2 3 7" xfId="3422"/>
    <cellStyle name="Normal 57 3 2 3 7 2" xfId="16922"/>
    <cellStyle name="Normal 57 3 2 3 7 3" xfId="13343"/>
    <cellStyle name="Normal 57 3 2 3 7 4" xfId="8086"/>
    <cellStyle name="Normal 57 3 2 3 8" xfId="5647"/>
    <cellStyle name="Normal 57 3 2 3 8 2" xfId="14733"/>
    <cellStyle name="Normal 57 3 2 3 9" xfId="9540"/>
    <cellStyle name="Normal 57 3 2 3 9 2" xfId="18367"/>
    <cellStyle name="Normal 57 3 2 3_Degree data" xfId="1697"/>
    <cellStyle name="Normal 57 3 2 4" xfId="338"/>
    <cellStyle name="Normal 57 3 2 4 2" xfId="725"/>
    <cellStyle name="Normal 57 3 2 4 2 2" xfId="2454"/>
    <cellStyle name="Normal 57 3 2 4 2 2 2" xfId="16343"/>
    <cellStyle name="Normal 57 3 2 4 2 2 3" xfId="12765"/>
    <cellStyle name="Normal 57 3 2 4 2 2 4" xfId="7475"/>
    <cellStyle name="Normal 57 3 2 4 2 3" xfId="3722"/>
    <cellStyle name="Normal 57 3 2 4 2 3 2" xfId="17368"/>
    <cellStyle name="Normal 57 3 2 4 2 3 3" xfId="13789"/>
    <cellStyle name="Normal 57 3 2 4 2 3 4" xfId="8532"/>
    <cellStyle name="Normal 57 3 2 4 2 4" xfId="6591"/>
    <cellStyle name="Normal 57 3 2 4 2 4 2" xfId="15675"/>
    <cellStyle name="Normal 57 3 2 4 2 5" xfId="9986"/>
    <cellStyle name="Normal 57 3 2 4 2 5 2" xfId="18813"/>
    <cellStyle name="Normal 57 3 2 4 2 6" xfId="11431"/>
    <cellStyle name="Normal 57 3 2 4 2 7" xfId="5069"/>
    <cellStyle name="Normal 57 3 2 4 3" xfId="1082"/>
    <cellStyle name="Normal 57 3 2 4 3 2" xfId="2802"/>
    <cellStyle name="Normal 57 3 2 4 3 2 2" xfId="16701"/>
    <cellStyle name="Normal 57 3 2 4 3 2 3" xfId="13122"/>
    <cellStyle name="Normal 57 3 2 4 3 2 4" xfId="7833"/>
    <cellStyle name="Normal 57 3 2 4 3 3" xfId="4071"/>
    <cellStyle name="Normal 57 3 2 4 3 3 2" xfId="17716"/>
    <cellStyle name="Normal 57 3 2 4 3 3 3" xfId="14137"/>
    <cellStyle name="Normal 57 3 2 4 3 3 4" xfId="8880"/>
    <cellStyle name="Normal 57 3 2 4 3 4" xfId="6240"/>
    <cellStyle name="Normal 57 3 2 4 3 4 2" xfId="15324"/>
    <cellStyle name="Normal 57 3 2 4 3 5" xfId="10334"/>
    <cellStyle name="Normal 57 3 2 4 3 5 2" xfId="19161"/>
    <cellStyle name="Normal 57 3 2 4 3 6" xfId="11780"/>
    <cellStyle name="Normal 57 3 2 4 3 7" xfId="5427"/>
    <cellStyle name="Normal 57 3 2 4 4" xfId="1552"/>
    <cellStyle name="Normal 57 3 2 4 4 2" xfId="3151"/>
    <cellStyle name="Normal 57 3 2 4 4 2 2" xfId="18065"/>
    <cellStyle name="Normal 57 3 2 4 4 2 3" xfId="14486"/>
    <cellStyle name="Normal 57 3 2 4 4 2 4" xfId="9229"/>
    <cellStyle name="Normal 57 3 2 4 4 3" xfId="10683"/>
    <cellStyle name="Normal 57 3 2 4 4 3 2" xfId="19510"/>
    <cellStyle name="Normal 57 3 2 4 4 4" xfId="12129"/>
    <cellStyle name="Normal 57 3 2 4 4 5" xfId="7124"/>
    <cellStyle name="Normal 57 3 2 4 5" xfId="2108"/>
    <cellStyle name="Normal 57 3 2 4 5 2" xfId="17022"/>
    <cellStyle name="Normal 57 3 2 4 5 3" xfId="13443"/>
    <cellStyle name="Normal 57 3 2 4 5 4" xfId="8186"/>
    <cellStyle name="Normal 57 3 2 4 6" xfId="5747"/>
    <cellStyle name="Normal 57 3 2 4 6 2" xfId="14833"/>
    <cellStyle name="Normal 57 3 2 4 7" xfId="9640"/>
    <cellStyle name="Normal 57 3 2 4 7 2" xfId="18467"/>
    <cellStyle name="Normal 57 3 2 4 8" xfId="11084"/>
    <cellStyle name="Normal 57 3 2 4 9" xfId="4718"/>
    <cellStyle name="Normal 57 3 2 4_Degree data" xfId="1699"/>
    <cellStyle name="Normal 57 3 2 5" xfId="491"/>
    <cellStyle name="Normal 57 3 2 5 2" xfId="726"/>
    <cellStyle name="Normal 57 3 2 5 2 2" xfId="2455"/>
    <cellStyle name="Normal 57 3 2 5 2 2 2" xfId="16344"/>
    <cellStyle name="Normal 57 3 2 5 2 2 3" xfId="12766"/>
    <cellStyle name="Normal 57 3 2 5 2 2 4" xfId="7476"/>
    <cellStyle name="Normal 57 3 2 5 2 3" xfId="3723"/>
    <cellStyle name="Normal 57 3 2 5 2 3 2" xfId="17369"/>
    <cellStyle name="Normal 57 3 2 5 2 3 3" xfId="13790"/>
    <cellStyle name="Normal 57 3 2 5 2 3 4" xfId="8533"/>
    <cellStyle name="Normal 57 3 2 5 2 4" xfId="6592"/>
    <cellStyle name="Normal 57 3 2 5 2 4 2" xfId="15676"/>
    <cellStyle name="Normal 57 3 2 5 2 5" xfId="9987"/>
    <cellStyle name="Normal 57 3 2 5 2 5 2" xfId="18814"/>
    <cellStyle name="Normal 57 3 2 5 2 6" xfId="11432"/>
    <cellStyle name="Normal 57 3 2 5 2 7" xfId="5070"/>
    <cellStyle name="Normal 57 3 2 5 3" xfId="1083"/>
    <cellStyle name="Normal 57 3 2 5 3 2" xfId="2803"/>
    <cellStyle name="Normal 57 3 2 5 3 2 2" xfId="16544"/>
    <cellStyle name="Normal 57 3 2 5 3 2 3" xfId="12965"/>
    <cellStyle name="Normal 57 3 2 5 3 2 4" xfId="7676"/>
    <cellStyle name="Normal 57 3 2 5 3 3" xfId="4072"/>
    <cellStyle name="Normal 57 3 2 5 3 3 2" xfId="17717"/>
    <cellStyle name="Normal 57 3 2 5 3 3 3" xfId="14138"/>
    <cellStyle name="Normal 57 3 2 5 3 3 4" xfId="8881"/>
    <cellStyle name="Normal 57 3 2 5 3 4" xfId="6752"/>
    <cellStyle name="Normal 57 3 2 5 3 4 2" xfId="15835"/>
    <cellStyle name="Normal 57 3 2 5 3 5" xfId="10335"/>
    <cellStyle name="Normal 57 3 2 5 3 5 2" xfId="19162"/>
    <cellStyle name="Normal 57 3 2 5 3 6" xfId="11781"/>
    <cellStyle name="Normal 57 3 2 5 3 7" xfId="5270"/>
    <cellStyle name="Normal 57 3 2 5 4" xfId="1384"/>
    <cellStyle name="Normal 57 3 2 5 4 2" xfId="2994"/>
    <cellStyle name="Normal 57 3 2 5 4 2 2" xfId="17908"/>
    <cellStyle name="Normal 57 3 2 5 4 2 3" xfId="14329"/>
    <cellStyle name="Normal 57 3 2 5 4 2 4" xfId="9072"/>
    <cellStyle name="Normal 57 3 2 5 4 3" xfId="10526"/>
    <cellStyle name="Normal 57 3 2 5 4 3 2" xfId="19353"/>
    <cellStyle name="Normal 57 3 2 5 4 4" xfId="11972"/>
    <cellStyle name="Normal 57 3 2 5 4 5" xfId="6967"/>
    <cellStyle name="Normal 57 3 2 5 5" xfId="1951"/>
    <cellStyle name="Normal 57 3 2 5 5 2" xfId="16863"/>
    <cellStyle name="Normal 57 3 2 5 5 3" xfId="13284"/>
    <cellStyle name="Normal 57 3 2 5 5 4" xfId="8027"/>
    <cellStyle name="Normal 57 3 2 5 6" xfId="6083"/>
    <cellStyle name="Normal 57 3 2 5 6 2" xfId="15167"/>
    <cellStyle name="Normal 57 3 2 5 7" xfId="9483"/>
    <cellStyle name="Normal 57 3 2 5 7 2" xfId="18310"/>
    <cellStyle name="Normal 57 3 2 5 8" xfId="10927"/>
    <cellStyle name="Normal 57 3 2 5 9" xfId="4561"/>
    <cellStyle name="Normal 57 3 2 5_Degree data" xfId="1700"/>
    <cellStyle name="Normal 57 3 2 6" xfId="720"/>
    <cellStyle name="Normal 57 3 2 6 2" xfId="2449"/>
    <cellStyle name="Normal 57 3 2 6 2 2" xfId="16338"/>
    <cellStyle name="Normal 57 3 2 6 2 3" xfId="12760"/>
    <cellStyle name="Normal 57 3 2 6 2 4" xfId="7470"/>
    <cellStyle name="Normal 57 3 2 6 3" xfId="3717"/>
    <cellStyle name="Normal 57 3 2 6 3 2" xfId="17363"/>
    <cellStyle name="Normal 57 3 2 6 3 3" xfId="13784"/>
    <cellStyle name="Normal 57 3 2 6 3 4" xfId="8527"/>
    <cellStyle name="Normal 57 3 2 6 4" xfId="6586"/>
    <cellStyle name="Normal 57 3 2 6 4 2" xfId="15670"/>
    <cellStyle name="Normal 57 3 2 6 5" xfId="9981"/>
    <cellStyle name="Normal 57 3 2 6 5 2" xfId="18808"/>
    <cellStyle name="Normal 57 3 2 6 6" xfId="11426"/>
    <cellStyle name="Normal 57 3 2 6 7" xfId="5064"/>
    <cellStyle name="Normal 57 3 2 7" xfId="1077"/>
    <cellStyle name="Normal 57 3 2 7 2" xfId="2797"/>
    <cellStyle name="Normal 57 3 2 7 2 2" xfId="16499"/>
    <cellStyle name="Normal 57 3 2 7 2 3" xfId="12921"/>
    <cellStyle name="Normal 57 3 2 7 2 4" xfId="7631"/>
    <cellStyle name="Normal 57 3 2 7 3" xfId="4066"/>
    <cellStyle name="Normal 57 3 2 7 3 2" xfId="17711"/>
    <cellStyle name="Normal 57 3 2 7 3 3" xfId="14132"/>
    <cellStyle name="Normal 57 3 2 7 3 4" xfId="8875"/>
    <cellStyle name="Normal 57 3 2 7 4" xfId="5921"/>
    <cellStyle name="Normal 57 3 2 7 4 2" xfId="15007"/>
    <cellStyle name="Normal 57 3 2 7 5" xfId="10329"/>
    <cellStyle name="Normal 57 3 2 7 5 2" xfId="19156"/>
    <cellStyle name="Normal 57 3 2 7 6" xfId="11775"/>
    <cellStyle name="Normal 57 3 2 7 7" xfId="5225"/>
    <cellStyle name="Normal 57 3 2 8" xfId="1330"/>
    <cellStyle name="Normal 57 3 2 8 2" xfId="2949"/>
    <cellStyle name="Normal 57 3 2 8 2 2" xfId="17863"/>
    <cellStyle name="Normal 57 3 2 8 2 3" xfId="14284"/>
    <cellStyle name="Normal 57 3 2 8 2 4" xfId="9027"/>
    <cellStyle name="Normal 57 3 2 8 3" xfId="10481"/>
    <cellStyle name="Normal 57 3 2 8 3 2" xfId="19308"/>
    <cellStyle name="Normal 57 3 2 8 4" xfId="11927"/>
    <cellStyle name="Normal 57 3 2 8 5" xfId="6807"/>
    <cellStyle name="Normal 57 3 2 9" xfId="1906"/>
    <cellStyle name="Normal 57 3 2 9 2" xfId="9438"/>
    <cellStyle name="Normal 57 3 2 9 2 2" xfId="18265"/>
    <cellStyle name="Normal 57 3 2 9 3" xfId="10882"/>
    <cellStyle name="Normal 57 3 2 9 4" xfId="7982"/>
    <cellStyle name="Normal 57 3 2_Degree data" xfId="1694"/>
    <cellStyle name="Normal 57 3 3" xfId="149"/>
    <cellStyle name="Normal 57 3 3 10" xfId="5576"/>
    <cellStyle name="Normal 57 3 3 10 2" xfId="14662"/>
    <cellStyle name="Normal 57 3 3 11" xfId="9396"/>
    <cellStyle name="Normal 57 3 3 11 2" xfId="18223"/>
    <cellStyle name="Normal 57 3 3 12" xfId="10836"/>
    <cellStyle name="Normal 57 3 3 13" xfId="4389"/>
    <cellStyle name="Normal 57 3 3 2" xfId="261"/>
    <cellStyle name="Normal 57 3 3 2 10" xfId="11015"/>
    <cellStyle name="Normal 57 3 3 2 11" xfId="4432"/>
    <cellStyle name="Normal 57 3 3 2 2" xfId="369"/>
    <cellStyle name="Normal 57 3 3 2 2 2" xfId="729"/>
    <cellStyle name="Normal 57 3 3 2 2 2 2" xfId="2458"/>
    <cellStyle name="Normal 57 3 3 2 2 2 2 2" xfId="16347"/>
    <cellStyle name="Normal 57 3 3 2 2 2 2 3" xfId="12769"/>
    <cellStyle name="Normal 57 3 3 2 2 2 2 4" xfId="7479"/>
    <cellStyle name="Normal 57 3 3 2 2 2 3" xfId="3726"/>
    <cellStyle name="Normal 57 3 3 2 2 2 3 2" xfId="17372"/>
    <cellStyle name="Normal 57 3 3 2 2 2 3 3" xfId="13793"/>
    <cellStyle name="Normal 57 3 3 2 2 2 3 4" xfId="8536"/>
    <cellStyle name="Normal 57 3 3 2 2 2 4" xfId="6595"/>
    <cellStyle name="Normal 57 3 3 2 2 2 4 2" xfId="15679"/>
    <cellStyle name="Normal 57 3 3 2 2 2 5" xfId="9990"/>
    <cellStyle name="Normal 57 3 3 2 2 2 5 2" xfId="18817"/>
    <cellStyle name="Normal 57 3 3 2 2 2 6" xfId="11435"/>
    <cellStyle name="Normal 57 3 3 2 2 2 7" xfId="5073"/>
    <cellStyle name="Normal 57 3 3 2 2 3" xfId="1086"/>
    <cellStyle name="Normal 57 3 3 2 2 3 2" xfId="2806"/>
    <cellStyle name="Normal 57 3 3 2 2 3 2 2" xfId="16732"/>
    <cellStyle name="Normal 57 3 3 2 2 3 2 3" xfId="13153"/>
    <cellStyle name="Normal 57 3 3 2 2 3 2 4" xfId="7864"/>
    <cellStyle name="Normal 57 3 3 2 2 3 3" xfId="4075"/>
    <cellStyle name="Normal 57 3 3 2 2 3 3 2" xfId="17720"/>
    <cellStyle name="Normal 57 3 3 2 2 3 3 3" xfId="14141"/>
    <cellStyle name="Normal 57 3 3 2 2 3 3 4" xfId="8884"/>
    <cellStyle name="Normal 57 3 3 2 2 3 4" xfId="6271"/>
    <cellStyle name="Normal 57 3 3 2 2 3 4 2" xfId="15355"/>
    <cellStyle name="Normal 57 3 3 2 2 3 5" xfId="10338"/>
    <cellStyle name="Normal 57 3 3 2 2 3 5 2" xfId="19165"/>
    <cellStyle name="Normal 57 3 3 2 2 3 6" xfId="11784"/>
    <cellStyle name="Normal 57 3 3 2 2 3 7" xfId="5458"/>
    <cellStyle name="Normal 57 3 3 2 2 4" xfId="1584"/>
    <cellStyle name="Normal 57 3 3 2 2 4 2" xfId="3182"/>
    <cellStyle name="Normal 57 3 3 2 2 4 2 2" xfId="18096"/>
    <cellStyle name="Normal 57 3 3 2 2 4 2 3" xfId="14517"/>
    <cellStyle name="Normal 57 3 3 2 2 4 2 4" xfId="9260"/>
    <cellStyle name="Normal 57 3 3 2 2 4 3" xfId="10714"/>
    <cellStyle name="Normal 57 3 3 2 2 4 3 2" xfId="19541"/>
    <cellStyle name="Normal 57 3 3 2 2 4 4" xfId="12160"/>
    <cellStyle name="Normal 57 3 3 2 2 4 5" xfId="7155"/>
    <cellStyle name="Normal 57 3 3 2 2 5" xfId="2139"/>
    <cellStyle name="Normal 57 3 3 2 2 5 2" xfId="17053"/>
    <cellStyle name="Normal 57 3 3 2 2 5 3" xfId="13474"/>
    <cellStyle name="Normal 57 3 3 2 2 5 4" xfId="8217"/>
    <cellStyle name="Normal 57 3 3 2 2 6" xfId="5778"/>
    <cellStyle name="Normal 57 3 3 2 2 6 2" xfId="14864"/>
    <cellStyle name="Normal 57 3 3 2 2 7" xfId="9671"/>
    <cellStyle name="Normal 57 3 3 2 2 7 2" xfId="18498"/>
    <cellStyle name="Normal 57 3 3 2 2 8" xfId="11115"/>
    <cellStyle name="Normal 57 3 3 2 2 9" xfId="4749"/>
    <cellStyle name="Normal 57 3 3 2 2_Degree data" xfId="1703"/>
    <cellStyle name="Normal 57 3 3 2 3" xfId="728"/>
    <cellStyle name="Normal 57 3 3 2 3 2" xfId="2457"/>
    <cellStyle name="Normal 57 3 3 2 3 2 2" xfId="16069"/>
    <cellStyle name="Normal 57 3 3 2 3 2 3" xfId="12392"/>
    <cellStyle name="Normal 57 3 3 2 3 2 4" xfId="7055"/>
    <cellStyle name="Normal 57 3 3 2 3 3" xfId="3725"/>
    <cellStyle name="Normal 57 3 3 2 3 3 2" xfId="17371"/>
    <cellStyle name="Normal 57 3 3 2 3 3 3" xfId="13792"/>
    <cellStyle name="Normal 57 3 3 2 3 3 4" xfId="8535"/>
    <cellStyle name="Normal 57 3 3 2 3 4" xfId="6171"/>
    <cellStyle name="Normal 57 3 3 2 3 4 2" xfId="15255"/>
    <cellStyle name="Normal 57 3 3 2 3 5" xfId="9989"/>
    <cellStyle name="Normal 57 3 3 2 3 5 2" xfId="18816"/>
    <cellStyle name="Normal 57 3 3 2 3 6" xfId="11434"/>
    <cellStyle name="Normal 57 3 3 2 3 7" xfId="4649"/>
    <cellStyle name="Normal 57 3 3 2 4" xfId="1085"/>
    <cellStyle name="Normal 57 3 3 2 4 2" xfId="2805"/>
    <cellStyle name="Normal 57 3 3 2 4 2 2" xfId="16346"/>
    <cellStyle name="Normal 57 3 3 2 4 2 3" xfId="12768"/>
    <cellStyle name="Normal 57 3 3 2 4 2 4" xfId="7478"/>
    <cellStyle name="Normal 57 3 3 2 4 3" xfId="4074"/>
    <cellStyle name="Normal 57 3 3 2 4 3 2" xfId="17719"/>
    <cellStyle name="Normal 57 3 3 2 4 3 3" xfId="14140"/>
    <cellStyle name="Normal 57 3 3 2 4 3 4" xfId="8883"/>
    <cellStyle name="Normal 57 3 3 2 4 4" xfId="6594"/>
    <cellStyle name="Normal 57 3 3 2 4 4 2" xfId="15678"/>
    <cellStyle name="Normal 57 3 3 2 4 5" xfId="10337"/>
    <cellStyle name="Normal 57 3 3 2 4 5 2" xfId="19164"/>
    <cellStyle name="Normal 57 3 3 2 4 6" xfId="11783"/>
    <cellStyle name="Normal 57 3 3 2 4 7" xfId="5072"/>
    <cellStyle name="Normal 57 3 3 2 5" xfId="1482"/>
    <cellStyle name="Normal 57 3 3 2 5 2" xfId="3082"/>
    <cellStyle name="Normal 57 3 3 2 5 2 2" xfId="16632"/>
    <cellStyle name="Normal 57 3 3 2 5 2 3" xfId="13053"/>
    <cellStyle name="Normal 57 3 3 2 5 2 4" xfId="7764"/>
    <cellStyle name="Normal 57 3 3 2 5 3" xfId="4291"/>
    <cellStyle name="Normal 57 3 3 2 5 3 2" xfId="17996"/>
    <cellStyle name="Normal 57 3 3 2 5 3 3" xfId="14417"/>
    <cellStyle name="Normal 57 3 3 2 5 3 4" xfId="9160"/>
    <cellStyle name="Normal 57 3 3 2 5 4" xfId="5952"/>
    <cellStyle name="Normal 57 3 3 2 5 4 2" xfId="15038"/>
    <cellStyle name="Normal 57 3 3 2 5 5" xfId="10614"/>
    <cellStyle name="Normal 57 3 3 2 5 5 2" xfId="19441"/>
    <cellStyle name="Normal 57 3 3 2 5 6" xfId="12060"/>
    <cellStyle name="Normal 57 3 3 2 5 7" xfId="5358"/>
    <cellStyle name="Normal 57 3 3 2 6" xfId="2039"/>
    <cellStyle name="Normal 57 3 3 2 6 2" xfId="15881"/>
    <cellStyle name="Normal 57 3 3 2 6 3" xfId="12480"/>
    <cellStyle name="Normal 57 3 3 2 6 4" xfId="6838"/>
    <cellStyle name="Normal 57 3 3 2 7" xfId="3453"/>
    <cellStyle name="Normal 57 3 3 2 7 2" xfId="16953"/>
    <cellStyle name="Normal 57 3 3 2 7 3" xfId="13374"/>
    <cellStyle name="Normal 57 3 3 2 7 4" xfId="8117"/>
    <cellStyle name="Normal 57 3 3 2 8" xfId="5678"/>
    <cellStyle name="Normal 57 3 3 2 8 2" xfId="14764"/>
    <cellStyle name="Normal 57 3 3 2 9" xfId="9571"/>
    <cellStyle name="Normal 57 3 3 2 9 2" xfId="18398"/>
    <cellStyle name="Normal 57 3 3 2_Degree data" xfId="1702"/>
    <cellStyle name="Normal 57 3 3 3" xfId="218"/>
    <cellStyle name="Normal 57 3 3 3 10" xfId="10972"/>
    <cellStyle name="Normal 57 3 3 3 11" xfId="4494"/>
    <cellStyle name="Normal 57 3 3 3 2" xfId="432"/>
    <cellStyle name="Normal 57 3 3 3 2 2" xfId="731"/>
    <cellStyle name="Normal 57 3 3 3 2 2 2" xfId="2460"/>
    <cellStyle name="Normal 57 3 3 3 2 2 2 2" xfId="16349"/>
    <cellStyle name="Normal 57 3 3 3 2 2 2 3" xfId="12771"/>
    <cellStyle name="Normal 57 3 3 3 2 2 2 4" xfId="7481"/>
    <cellStyle name="Normal 57 3 3 3 2 2 3" xfId="3728"/>
    <cellStyle name="Normal 57 3 3 3 2 2 3 2" xfId="17374"/>
    <cellStyle name="Normal 57 3 3 3 2 2 3 3" xfId="13795"/>
    <cellStyle name="Normal 57 3 3 3 2 2 3 4" xfId="8538"/>
    <cellStyle name="Normal 57 3 3 3 2 2 4" xfId="6597"/>
    <cellStyle name="Normal 57 3 3 3 2 2 4 2" xfId="15681"/>
    <cellStyle name="Normal 57 3 3 3 2 2 5" xfId="9992"/>
    <cellStyle name="Normal 57 3 3 3 2 2 5 2" xfId="18819"/>
    <cellStyle name="Normal 57 3 3 3 2 2 6" xfId="11437"/>
    <cellStyle name="Normal 57 3 3 3 2 2 7" xfId="5075"/>
    <cellStyle name="Normal 57 3 3 3 2 3" xfId="1088"/>
    <cellStyle name="Normal 57 3 3 3 2 3 2" xfId="2808"/>
    <cellStyle name="Normal 57 3 3 3 2 3 2 2" xfId="16794"/>
    <cellStyle name="Normal 57 3 3 3 2 3 2 3" xfId="13215"/>
    <cellStyle name="Normal 57 3 3 3 2 3 2 4" xfId="7926"/>
    <cellStyle name="Normal 57 3 3 3 2 3 3" xfId="4077"/>
    <cellStyle name="Normal 57 3 3 3 2 3 3 2" xfId="17722"/>
    <cellStyle name="Normal 57 3 3 3 2 3 3 3" xfId="14143"/>
    <cellStyle name="Normal 57 3 3 3 2 3 3 4" xfId="8886"/>
    <cellStyle name="Normal 57 3 3 3 2 3 4" xfId="6333"/>
    <cellStyle name="Normal 57 3 3 3 2 3 4 2" xfId="15417"/>
    <cellStyle name="Normal 57 3 3 3 2 3 5" xfId="10340"/>
    <cellStyle name="Normal 57 3 3 3 2 3 5 2" xfId="19167"/>
    <cellStyle name="Normal 57 3 3 3 2 3 6" xfId="11786"/>
    <cellStyle name="Normal 57 3 3 3 2 3 7" xfId="5520"/>
    <cellStyle name="Normal 57 3 3 3 2 4" xfId="1648"/>
    <cellStyle name="Normal 57 3 3 3 2 4 2" xfId="3244"/>
    <cellStyle name="Normal 57 3 3 3 2 4 2 2" xfId="18158"/>
    <cellStyle name="Normal 57 3 3 3 2 4 2 3" xfId="14579"/>
    <cellStyle name="Normal 57 3 3 3 2 4 2 4" xfId="9322"/>
    <cellStyle name="Normal 57 3 3 3 2 4 3" xfId="10776"/>
    <cellStyle name="Normal 57 3 3 3 2 4 3 2" xfId="19603"/>
    <cellStyle name="Normal 57 3 3 3 2 4 4" xfId="12222"/>
    <cellStyle name="Normal 57 3 3 3 2 4 5" xfId="7217"/>
    <cellStyle name="Normal 57 3 3 3 2 5" xfId="2201"/>
    <cellStyle name="Normal 57 3 3 3 2 5 2" xfId="17115"/>
    <cellStyle name="Normal 57 3 3 3 2 5 3" xfId="13536"/>
    <cellStyle name="Normal 57 3 3 3 2 5 4" xfId="8279"/>
    <cellStyle name="Normal 57 3 3 3 2 6" xfId="5840"/>
    <cellStyle name="Normal 57 3 3 3 2 6 2" xfId="14926"/>
    <cellStyle name="Normal 57 3 3 3 2 7" xfId="9733"/>
    <cellStyle name="Normal 57 3 3 3 2 7 2" xfId="18560"/>
    <cellStyle name="Normal 57 3 3 3 2 8" xfId="11177"/>
    <cellStyle name="Normal 57 3 3 3 2 9" xfId="4811"/>
    <cellStyle name="Normal 57 3 3 3 2_Degree data" xfId="1705"/>
    <cellStyle name="Normal 57 3 3 3 3" xfId="730"/>
    <cellStyle name="Normal 57 3 3 3 3 2" xfId="2459"/>
    <cellStyle name="Normal 57 3 3 3 3 2 2" xfId="16026"/>
    <cellStyle name="Normal 57 3 3 3 3 2 3" xfId="12473"/>
    <cellStyle name="Normal 57 3 3 3 3 2 4" xfId="7012"/>
    <cellStyle name="Normal 57 3 3 3 3 3" xfId="3727"/>
    <cellStyle name="Normal 57 3 3 3 3 3 2" xfId="17373"/>
    <cellStyle name="Normal 57 3 3 3 3 3 3" xfId="13794"/>
    <cellStyle name="Normal 57 3 3 3 3 3 4" xfId="8537"/>
    <cellStyle name="Normal 57 3 3 3 3 4" xfId="6128"/>
    <cellStyle name="Normal 57 3 3 3 3 4 2" xfId="15212"/>
    <cellStyle name="Normal 57 3 3 3 3 5" xfId="9991"/>
    <cellStyle name="Normal 57 3 3 3 3 5 2" xfId="18818"/>
    <cellStyle name="Normal 57 3 3 3 3 6" xfId="11436"/>
    <cellStyle name="Normal 57 3 3 3 3 7" xfId="4606"/>
    <cellStyle name="Normal 57 3 3 3 4" xfId="1087"/>
    <cellStyle name="Normal 57 3 3 3 4 2" xfId="2807"/>
    <cellStyle name="Normal 57 3 3 3 4 2 2" xfId="16348"/>
    <cellStyle name="Normal 57 3 3 3 4 2 3" xfId="12770"/>
    <cellStyle name="Normal 57 3 3 3 4 2 4" xfId="7480"/>
    <cellStyle name="Normal 57 3 3 3 4 3" xfId="4076"/>
    <cellStyle name="Normal 57 3 3 3 4 3 2" xfId="17721"/>
    <cellStyle name="Normal 57 3 3 3 4 3 3" xfId="14142"/>
    <cellStyle name="Normal 57 3 3 3 4 3 4" xfId="8885"/>
    <cellStyle name="Normal 57 3 3 3 4 4" xfId="6596"/>
    <cellStyle name="Normal 57 3 3 3 4 4 2" xfId="15680"/>
    <cellStyle name="Normal 57 3 3 3 4 5" xfId="10339"/>
    <cellStyle name="Normal 57 3 3 3 4 5 2" xfId="19166"/>
    <cellStyle name="Normal 57 3 3 3 4 6" xfId="11785"/>
    <cellStyle name="Normal 57 3 3 3 4 7" xfId="5074"/>
    <cellStyle name="Normal 57 3 3 3 5" xfId="1437"/>
    <cellStyle name="Normal 57 3 3 3 5 2" xfId="3039"/>
    <cellStyle name="Normal 57 3 3 3 5 2 2" xfId="16589"/>
    <cellStyle name="Normal 57 3 3 3 5 2 3" xfId="13010"/>
    <cellStyle name="Normal 57 3 3 3 5 2 4" xfId="7721"/>
    <cellStyle name="Normal 57 3 3 3 5 3" xfId="4248"/>
    <cellStyle name="Normal 57 3 3 3 5 3 2" xfId="17953"/>
    <cellStyle name="Normal 57 3 3 3 5 3 3" xfId="14374"/>
    <cellStyle name="Normal 57 3 3 3 5 3 4" xfId="9117"/>
    <cellStyle name="Normal 57 3 3 3 5 4" xfId="6014"/>
    <cellStyle name="Normal 57 3 3 3 5 4 2" xfId="15100"/>
    <cellStyle name="Normal 57 3 3 3 5 5" xfId="10571"/>
    <cellStyle name="Normal 57 3 3 3 5 5 2" xfId="19398"/>
    <cellStyle name="Normal 57 3 3 3 5 6" xfId="12017"/>
    <cellStyle name="Normal 57 3 3 3 5 7" xfId="5315"/>
    <cellStyle name="Normal 57 3 3 3 6" xfId="1996"/>
    <cellStyle name="Normal 57 3 3 3 6 2" xfId="15943"/>
    <cellStyle name="Normal 57 3 3 3 6 3" xfId="12478"/>
    <cellStyle name="Normal 57 3 3 3 6 4" xfId="6900"/>
    <cellStyle name="Normal 57 3 3 3 7" xfId="3411"/>
    <cellStyle name="Normal 57 3 3 3 7 2" xfId="16910"/>
    <cellStyle name="Normal 57 3 3 3 7 3" xfId="13331"/>
    <cellStyle name="Normal 57 3 3 3 7 4" xfId="8074"/>
    <cellStyle name="Normal 57 3 3 3 8" xfId="5635"/>
    <cellStyle name="Normal 57 3 3 3 8 2" xfId="14721"/>
    <cellStyle name="Normal 57 3 3 3 9" xfId="9528"/>
    <cellStyle name="Normal 57 3 3 3 9 2" xfId="18355"/>
    <cellStyle name="Normal 57 3 3 3_Degree data" xfId="1704"/>
    <cellStyle name="Normal 57 3 3 4" xfId="326"/>
    <cellStyle name="Normal 57 3 3 4 2" xfId="732"/>
    <cellStyle name="Normal 57 3 3 4 2 2" xfId="2461"/>
    <cellStyle name="Normal 57 3 3 4 2 2 2" xfId="16350"/>
    <cellStyle name="Normal 57 3 3 4 2 2 3" xfId="12772"/>
    <cellStyle name="Normal 57 3 3 4 2 2 4" xfId="7482"/>
    <cellStyle name="Normal 57 3 3 4 2 3" xfId="3729"/>
    <cellStyle name="Normal 57 3 3 4 2 3 2" xfId="17375"/>
    <cellStyle name="Normal 57 3 3 4 2 3 3" xfId="13796"/>
    <cellStyle name="Normal 57 3 3 4 2 3 4" xfId="8539"/>
    <cellStyle name="Normal 57 3 3 4 2 4" xfId="6598"/>
    <cellStyle name="Normal 57 3 3 4 2 4 2" xfId="15682"/>
    <cellStyle name="Normal 57 3 3 4 2 5" xfId="9993"/>
    <cellStyle name="Normal 57 3 3 4 2 5 2" xfId="18820"/>
    <cellStyle name="Normal 57 3 3 4 2 6" xfId="11438"/>
    <cellStyle name="Normal 57 3 3 4 2 7" xfId="5076"/>
    <cellStyle name="Normal 57 3 3 4 3" xfId="1089"/>
    <cellStyle name="Normal 57 3 3 4 3 2" xfId="2809"/>
    <cellStyle name="Normal 57 3 3 4 3 2 2" xfId="16689"/>
    <cellStyle name="Normal 57 3 3 4 3 2 3" xfId="13110"/>
    <cellStyle name="Normal 57 3 3 4 3 2 4" xfId="7821"/>
    <cellStyle name="Normal 57 3 3 4 3 3" xfId="4078"/>
    <cellStyle name="Normal 57 3 3 4 3 3 2" xfId="17723"/>
    <cellStyle name="Normal 57 3 3 4 3 3 3" xfId="14144"/>
    <cellStyle name="Normal 57 3 3 4 3 3 4" xfId="8887"/>
    <cellStyle name="Normal 57 3 3 4 3 4" xfId="6228"/>
    <cellStyle name="Normal 57 3 3 4 3 4 2" xfId="15312"/>
    <cellStyle name="Normal 57 3 3 4 3 5" xfId="10341"/>
    <cellStyle name="Normal 57 3 3 4 3 5 2" xfId="19168"/>
    <cellStyle name="Normal 57 3 3 4 3 6" xfId="11787"/>
    <cellStyle name="Normal 57 3 3 4 3 7" xfId="5415"/>
    <cellStyle name="Normal 57 3 3 4 4" xfId="1540"/>
    <cellStyle name="Normal 57 3 3 4 4 2" xfId="3139"/>
    <cellStyle name="Normal 57 3 3 4 4 2 2" xfId="18053"/>
    <cellStyle name="Normal 57 3 3 4 4 2 3" xfId="14474"/>
    <cellStyle name="Normal 57 3 3 4 4 2 4" xfId="9217"/>
    <cellStyle name="Normal 57 3 3 4 4 3" xfId="10671"/>
    <cellStyle name="Normal 57 3 3 4 4 3 2" xfId="19498"/>
    <cellStyle name="Normal 57 3 3 4 4 4" xfId="12117"/>
    <cellStyle name="Normal 57 3 3 4 4 5" xfId="7112"/>
    <cellStyle name="Normal 57 3 3 4 5" xfId="2096"/>
    <cellStyle name="Normal 57 3 3 4 5 2" xfId="17010"/>
    <cellStyle name="Normal 57 3 3 4 5 3" xfId="13431"/>
    <cellStyle name="Normal 57 3 3 4 5 4" xfId="8174"/>
    <cellStyle name="Normal 57 3 3 4 6" xfId="5735"/>
    <cellStyle name="Normal 57 3 3 4 6 2" xfId="14821"/>
    <cellStyle name="Normal 57 3 3 4 7" xfId="9628"/>
    <cellStyle name="Normal 57 3 3 4 7 2" xfId="18455"/>
    <cellStyle name="Normal 57 3 3 4 8" xfId="11072"/>
    <cellStyle name="Normal 57 3 3 4 9" xfId="4706"/>
    <cellStyle name="Normal 57 3 3 4_Degree data" xfId="1706"/>
    <cellStyle name="Normal 57 3 3 5" xfId="727"/>
    <cellStyle name="Normal 57 3 3 5 2" xfId="2456"/>
    <cellStyle name="Normal 57 3 3 5 2 2" xfId="15983"/>
    <cellStyle name="Normal 57 3 3 5 2 3" xfId="12352"/>
    <cellStyle name="Normal 57 3 3 5 2 4" xfId="6953"/>
    <cellStyle name="Normal 57 3 3 5 3" xfId="3724"/>
    <cellStyle name="Normal 57 3 3 5 3 2" xfId="17370"/>
    <cellStyle name="Normal 57 3 3 5 3 3" xfId="13791"/>
    <cellStyle name="Normal 57 3 3 5 3 4" xfId="8534"/>
    <cellStyle name="Normal 57 3 3 5 4" xfId="6069"/>
    <cellStyle name="Normal 57 3 3 5 4 2" xfId="15153"/>
    <cellStyle name="Normal 57 3 3 5 5" xfId="9988"/>
    <cellStyle name="Normal 57 3 3 5 5 2" xfId="18815"/>
    <cellStyle name="Normal 57 3 3 5 6" xfId="11433"/>
    <cellStyle name="Normal 57 3 3 5 7" xfId="4547"/>
    <cellStyle name="Normal 57 3 3 6" xfId="1084"/>
    <cellStyle name="Normal 57 3 3 6 2" xfId="2804"/>
    <cellStyle name="Normal 57 3 3 6 2 2" xfId="16345"/>
    <cellStyle name="Normal 57 3 3 6 2 3" xfId="12767"/>
    <cellStyle name="Normal 57 3 3 6 2 4" xfId="7477"/>
    <cellStyle name="Normal 57 3 3 6 3" xfId="4073"/>
    <cellStyle name="Normal 57 3 3 6 3 2" xfId="17718"/>
    <cellStyle name="Normal 57 3 3 6 3 3" xfId="14139"/>
    <cellStyle name="Normal 57 3 3 6 3 4" xfId="8882"/>
    <cellStyle name="Normal 57 3 3 6 4" xfId="6593"/>
    <cellStyle name="Normal 57 3 3 6 4 2" xfId="15677"/>
    <cellStyle name="Normal 57 3 3 6 5" xfId="10336"/>
    <cellStyle name="Normal 57 3 3 6 5 2" xfId="19163"/>
    <cellStyle name="Normal 57 3 3 6 6" xfId="11782"/>
    <cellStyle name="Normal 57 3 3 6 7" xfId="5071"/>
    <cellStyle name="Normal 57 3 3 7" xfId="1369"/>
    <cellStyle name="Normal 57 3 3 7 2" xfId="2980"/>
    <cellStyle name="Normal 57 3 3 7 2 2" xfId="16530"/>
    <cellStyle name="Normal 57 3 3 7 2 3" xfId="12952"/>
    <cellStyle name="Normal 57 3 3 7 2 4" xfId="7662"/>
    <cellStyle name="Normal 57 3 3 7 3" xfId="4206"/>
    <cellStyle name="Normal 57 3 3 7 3 2" xfId="17894"/>
    <cellStyle name="Normal 57 3 3 7 3 3" xfId="14315"/>
    <cellStyle name="Normal 57 3 3 7 3 4" xfId="9058"/>
    <cellStyle name="Normal 57 3 3 7 4" xfId="5908"/>
    <cellStyle name="Normal 57 3 3 7 4 2" xfId="14994"/>
    <cellStyle name="Normal 57 3 3 7 5" xfId="10512"/>
    <cellStyle name="Normal 57 3 3 7 5 2" xfId="19339"/>
    <cellStyle name="Normal 57 3 3 7 6" xfId="11958"/>
    <cellStyle name="Normal 57 3 3 7 7" xfId="5256"/>
    <cellStyle name="Normal 57 3 3 8" xfId="1937"/>
    <cellStyle name="Normal 57 3 3 8 2" xfId="9469"/>
    <cellStyle name="Normal 57 3 3 8 2 2" xfId="18296"/>
    <cellStyle name="Normal 57 3 3 8 3" xfId="10913"/>
    <cellStyle name="Normal 57 3 3 8 4" xfId="6795"/>
    <cellStyle name="Normal 57 3 3 9" xfId="1861"/>
    <cellStyle name="Normal 57 3 3 9 2" xfId="16849"/>
    <cellStyle name="Normal 57 3 3 9 3" xfId="13270"/>
    <cellStyle name="Normal 57 3 3 9 4" xfId="8013"/>
    <cellStyle name="Normal 57 3 3_Degree data" xfId="1701"/>
    <cellStyle name="Normal 57 3 4" xfId="255"/>
    <cellStyle name="Normal 57 3 4 10" xfId="11009"/>
    <cellStyle name="Normal 57 3 4 11" xfId="4426"/>
    <cellStyle name="Normal 57 3 4 2" xfId="363"/>
    <cellStyle name="Normal 57 3 4 2 2" xfId="734"/>
    <cellStyle name="Normal 57 3 4 2 2 2" xfId="2463"/>
    <cellStyle name="Normal 57 3 4 2 2 2 2" xfId="16352"/>
    <cellStyle name="Normal 57 3 4 2 2 2 3" xfId="12774"/>
    <cellStyle name="Normal 57 3 4 2 2 2 4" xfId="7484"/>
    <cellStyle name="Normal 57 3 4 2 2 3" xfId="3731"/>
    <cellStyle name="Normal 57 3 4 2 2 3 2" xfId="17377"/>
    <cellStyle name="Normal 57 3 4 2 2 3 3" xfId="13798"/>
    <cellStyle name="Normal 57 3 4 2 2 3 4" xfId="8541"/>
    <cellStyle name="Normal 57 3 4 2 2 4" xfId="6600"/>
    <cellStyle name="Normal 57 3 4 2 2 4 2" xfId="15684"/>
    <cellStyle name="Normal 57 3 4 2 2 5" xfId="9995"/>
    <cellStyle name="Normal 57 3 4 2 2 5 2" xfId="18822"/>
    <cellStyle name="Normal 57 3 4 2 2 6" xfId="11440"/>
    <cellStyle name="Normal 57 3 4 2 2 7" xfId="5078"/>
    <cellStyle name="Normal 57 3 4 2 3" xfId="1091"/>
    <cellStyle name="Normal 57 3 4 2 3 2" xfId="2811"/>
    <cellStyle name="Normal 57 3 4 2 3 2 2" xfId="16726"/>
    <cellStyle name="Normal 57 3 4 2 3 2 3" xfId="13147"/>
    <cellStyle name="Normal 57 3 4 2 3 2 4" xfId="7858"/>
    <cellStyle name="Normal 57 3 4 2 3 3" xfId="4080"/>
    <cellStyle name="Normal 57 3 4 2 3 3 2" xfId="17725"/>
    <cellStyle name="Normal 57 3 4 2 3 3 3" xfId="14146"/>
    <cellStyle name="Normal 57 3 4 2 3 3 4" xfId="8889"/>
    <cellStyle name="Normal 57 3 4 2 3 4" xfId="6265"/>
    <cellStyle name="Normal 57 3 4 2 3 4 2" xfId="15349"/>
    <cellStyle name="Normal 57 3 4 2 3 5" xfId="10343"/>
    <cellStyle name="Normal 57 3 4 2 3 5 2" xfId="19170"/>
    <cellStyle name="Normal 57 3 4 2 3 6" xfId="11789"/>
    <cellStyle name="Normal 57 3 4 2 3 7" xfId="5452"/>
    <cellStyle name="Normal 57 3 4 2 4" xfId="1578"/>
    <cellStyle name="Normal 57 3 4 2 4 2" xfId="3176"/>
    <cellStyle name="Normal 57 3 4 2 4 2 2" xfId="18090"/>
    <cellStyle name="Normal 57 3 4 2 4 2 3" xfId="14511"/>
    <cellStyle name="Normal 57 3 4 2 4 2 4" xfId="9254"/>
    <cellStyle name="Normal 57 3 4 2 4 3" xfId="10708"/>
    <cellStyle name="Normal 57 3 4 2 4 3 2" xfId="19535"/>
    <cellStyle name="Normal 57 3 4 2 4 4" xfId="12154"/>
    <cellStyle name="Normal 57 3 4 2 4 5" xfId="7149"/>
    <cellStyle name="Normal 57 3 4 2 5" xfId="2133"/>
    <cellStyle name="Normal 57 3 4 2 5 2" xfId="17047"/>
    <cellStyle name="Normal 57 3 4 2 5 3" xfId="13468"/>
    <cellStyle name="Normal 57 3 4 2 5 4" xfId="8211"/>
    <cellStyle name="Normal 57 3 4 2 6" xfId="5772"/>
    <cellStyle name="Normal 57 3 4 2 6 2" xfId="14858"/>
    <cellStyle name="Normal 57 3 4 2 7" xfId="9665"/>
    <cellStyle name="Normal 57 3 4 2 7 2" xfId="18492"/>
    <cellStyle name="Normal 57 3 4 2 8" xfId="11109"/>
    <cellStyle name="Normal 57 3 4 2 9" xfId="4743"/>
    <cellStyle name="Normal 57 3 4 2_Degree data" xfId="1708"/>
    <cellStyle name="Normal 57 3 4 3" xfId="733"/>
    <cellStyle name="Normal 57 3 4 3 2" xfId="2462"/>
    <cellStyle name="Normal 57 3 4 3 2 2" xfId="16063"/>
    <cellStyle name="Normal 57 3 4 3 2 3" xfId="12292"/>
    <cellStyle name="Normal 57 3 4 3 2 4" xfId="7049"/>
    <cellStyle name="Normal 57 3 4 3 3" xfId="3730"/>
    <cellStyle name="Normal 57 3 4 3 3 2" xfId="17376"/>
    <cellStyle name="Normal 57 3 4 3 3 3" xfId="13797"/>
    <cellStyle name="Normal 57 3 4 3 3 4" xfId="8540"/>
    <cellStyle name="Normal 57 3 4 3 4" xfId="6165"/>
    <cellStyle name="Normal 57 3 4 3 4 2" xfId="15249"/>
    <cellStyle name="Normal 57 3 4 3 5" xfId="9994"/>
    <cellStyle name="Normal 57 3 4 3 5 2" xfId="18821"/>
    <cellStyle name="Normal 57 3 4 3 6" xfId="11439"/>
    <cellStyle name="Normal 57 3 4 3 7" xfId="4643"/>
    <cellStyle name="Normal 57 3 4 4" xfId="1090"/>
    <cellStyle name="Normal 57 3 4 4 2" xfId="2810"/>
    <cellStyle name="Normal 57 3 4 4 2 2" xfId="16351"/>
    <cellStyle name="Normal 57 3 4 4 2 3" xfId="12773"/>
    <cellStyle name="Normal 57 3 4 4 2 4" xfId="7483"/>
    <cellStyle name="Normal 57 3 4 4 3" xfId="4079"/>
    <cellStyle name="Normal 57 3 4 4 3 2" xfId="17724"/>
    <cellStyle name="Normal 57 3 4 4 3 3" xfId="14145"/>
    <cellStyle name="Normal 57 3 4 4 3 4" xfId="8888"/>
    <cellStyle name="Normal 57 3 4 4 4" xfId="6599"/>
    <cellStyle name="Normal 57 3 4 4 4 2" xfId="15683"/>
    <cellStyle name="Normal 57 3 4 4 5" xfId="10342"/>
    <cellStyle name="Normal 57 3 4 4 5 2" xfId="19169"/>
    <cellStyle name="Normal 57 3 4 4 6" xfId="11788"/>
    <cellStyle name="Normal 57 3 4 4 7" xfId="5077"/>
    <cellStyle name="Normal 57 3 4 5" xfId="1476"/>
    <cellStyle name="Normal 57 3 4 5 2" xfId="3076"/>
    <cellStyle name="Normal 57 3 4 5 2 2" xfId="16626"/>
    <cellStyle name="Normal 57 3 4 5 2 3" xfId="13047"/>
    <cellStyle name="Normal 57 3 4 5 2 4" xfId="7758"/>
    <cellStyle name="Normal 57 3 4 5 3" xfId="4285"/>
    <cellStyle name="Normal 57 3 4 5 3 2" xfId="17990"/>
    <cellStyle name="Normal 57 3 4 5 3 3" xfId="14411"/>
    <cellStyle name="Normal 57 3 4 5 3 4" xfId="9154"/>
    <cellStyle name="Normal 57 3 4 5 4" xfId="5946"/>
    <cellStyle name="Normal 57 3 4 5 4 2" xfId="15032"/>
    <cellStyle name="Normal 57 3 4 5 5" xfId="10608"/>
    <cellStyle name="Normal 57 3 4 5 5 2" xfId="19435"/>
    <cellStyle name="Normal 57 3 4 5 6" xfId="12054"/>
    <cellStyle name="Normal 57 3 4 5 7" xfId="5352"/>
    <cellStyle name="Normal 57 3 4 6" xfId="2033"/>
    <cellStyle name="Normal 57 3 4 6 2" xfId="15875"/>
    <cellStyle name="Normal 57 3 4 6 3" xfId="12467"/>
    <cellStyle name="Normal 57 3 4 6 4" xfId="6832"/>
    <cellStyle name="Normal 57 3 4 7" xfId="3447"/>
    <cellStyle name="Normal 57 3 4 7 2" xfId="16947"/>
    <cellStyle name="Normal 57 3 4 7 3" xfId="13368"/>
    <cellStyle name="Normal 57 3 4 7 4" xfId="8111"/>
    <cellStyle name="Normal 57 3 4 8" xfId="5672"/>
    <cellStyle name="Normal 57 3 4 8 2" xfId="14758"/>
    <cellStyle name="Normal 57 3 4 9" xfId="9565"/>
    <cellStyle name="Normal 57 3 4 9 2" xfId="18392"/>
    <cellStyle name="Normal 57 3 4_Degree data" xfId="1707"/>
    <cellStyle name="Normal 57 3 5" xfId="197"/>
    <cellStyle name="Normal 57 3 5 10" xfId="10954"/>
    <cellStyle name="Normal 57 3 5 11" xfId="4476"/>
    <cellStyle name="Normal 57 3 5 2" xfId="414"/>
    <cellStyle name="Normal 57 3 5 2 2" xfId="736"/>
    <cellStyle name="Normal 57 3 5 2 2 2" xfId="2465"/>
    <cellStyle name="Normal 57 3 5 2 2 2 2" xfId="16354"/>
    <cellStyle name="Normal 57 3 5 2 2 2 3" xfId="12776"/>
    <cellStyle name="Normal 57 3 5 2 2 2 4" xfId="7486"/>
    <cellStyle name="Normal 57 3 5 2 2 3" xfId="3733"/>
    <cellStyle name="Normal 57 3 5 2 2 3 2" xfId="17379"/>
    <cellStyle name="Normal 57 3 5 2 2 3 3" xfId="13800"/>
    <cellStyle name="Normal 57 3 5 2 2 3 4" xfId="8543"/>
    <cellStyle name="Normal 57 3 5 2 2 4" xfId="6602"/>
    <cellStyle name="Normal 57 3 5 2 2 4 2" xfId="15686"/>
    <cellStyle name="Normal 57 3 5 2 2 5" xfId="9997"/>
    <cellStyle name="Normal 57 3 5 2 2 5 2" xfId="18824"/>
    <cellStyle name="Normal 57 3 5 2 2 6" xfId="11442"/>
    <cellStyle name="Normal 57 3 5 2 2 7" xfId="5080"/>
    <cellStyle name="Normal 57 3 5 2 3" xfId="1093"/>
    <cellStyle name="Normal 57 3 5 2 3 2" xfId="2813"/>
    <cellStyle name="Normal 57 3 5 2 3 2 2" xfId="16776"/>
    <cellStyle name="Normal 57 3 5 2 3 2 3" xfId="13197"/>
    <cellStyle name="Normal 57 3 5 2 3 2 4" xfId="7908"/>
    <cellStyle name="Normal 57 3 5 2 3 3" xfId="4082"/>
    <cellStyle name="Normal 57 3 5 2 3 3 2" xfId="17727"/>
    <cellStyle name="Normal 57 3 5 2 3 3 3" xfId="14148"/>
    <cellStyle name="Normal 57 3 5 2 3 3 4" xfId="8891"/>
    <cellStyle name="Normal 57 3 5 2 3 4" xfId="6315"/>
    <cellStyle name="Normal 57 3 5 2 3 4 2" xfId="15399"/>
    <cellStyle name="Normal 57 3 5 2 3 5" xfId="10345"/>
    <cellStyle name="Normal 57 3 5 2 3 5 2" xfId="19172"/>
    <cellStyle name="Normal 57 3 5 2 3 6" xfId="11791"/>
    <cellStyle name="Normal 57 3 5 2 3 7" xfId="5502"/>
    <cellStyle name="Normal 57 3 5 2 4" xfId="1630"/>
    <cellStyle name="Normal 57 3 5 2 4 2" xfId="3226"/>
    <cellStyle name="Normal 57 3 5 2 4 2 2" xfId="18140"/>
    <cellStyle name="Normal 57 3 5 2 4 2 3" xfId="14561"/>
    <cellStyle name="Normal 57 3 5 2 4 2 4" xfId="9304"/>
    <cellStyle name="Normal 57 3 5 2 4 3" xfId="10758"/>
    <cellStyle name="Normal 57 3 5 2 4 3 2" xfId="19585"/>
    <cellStyle name="Normal 57 3 5 2 4 4" xfId="12204"/>
    <cellStyle name="Normal 57 3 5 2 4 5" xfId="7199"/>
    <cellStyle name="Normal 57 3 5 2 5" xfId="2183"/>
    <cellStyle name="Normal 57 3 5 2 5 2" xfId="17097"/>
    <cellStyle name="Normal 57 3 5 2 5 3" xfId="13518"/>
    <cellStyle name="Normal 57 3 5 2 5 4" xfId="8261"/>
    <cellStyle name="Normal 57 3 5 2 6" xfId="5822"/>
    <cellStyle name="Normal 57 3 5 2 6 2" xfId="14908"/>
    <cellStyle name="Normal 57 3 5 2 7" xfId="9715"/>
    <cellStyle name="Normal 57 3 5 2 7 2" xfId="18542"/>
    <cellStyle name="Normal 57 3 5 2 8" xfId="11159"/>
    <cellStyle name="Normal 57 3 5 2 9" xfId="4793"/>
    <cellStyle name="Normal 57 3 5 2_Degree data" xfId="1710"/>
    <cellStyle name="Normal 57 3 5 3" xfId="735"/>
    <cellStyle name="Normal 57 3 5 3 2" xfId="2464"/>
    <cellStyle name="Normal 57 3 5 3 2 2" xfId="16008"/>
    <cellStyle name="Normal 57 3 5 3 2 3" xfId="12519"/>
    <cellStyle name="Normal 57 3 5 3 2 4" xfId="6994"/>
    <cellStyle name="Normal 57 3 5 3 3" xfId="3732"/>
    <cellStyle name="Normal 57 3 5 3 3 2" xfId="17378"/>
    <cellStyle name="Normal 57 3 5 3 3 3" xfId="13799"/>
    <cellStyle name="Normal 57 3 5 3 3 4" xfId="8542"/>
    <cellStyle name="Normal 57 3 5 3 4" xfId="6110"/>
    <cellStyle name="Normal 57 3 5 3 4 2" xfId="15194"/>
    <cellStyle name="Normal 57 3 5 3 5" xfId="9996"/>
    <cellStyle name="Normal 57 3 5 3 5 2" xfId="18823"/>
    <cellStyle name="Normal 57 3 5 3 6" xfId="11441"/>
    <cellStyle name="Normal 57 3 5 3 7" xfId="4588"/>
    <cellStyle name="Normal 57 3 5 4" xfId="1092"/>
    <cellStyle name="Normal 57 3 5 4 2" xfId="2812"/>
    <cellStyle name="Normal 57 3 5 4 2 2" xfId="16353"/>
    <cellStyle name="Normal 57 3 5 4 2 3" xfId="12775"/>
    <cellStyle name="Normal 57 3 5 4 2 4" xfId="7485"/>
    <cellStyle name="Normal 57 3 5 4 3" xfId="4081"/>
    <cellStyle name="Normal 57 3 5 4 3 2" xfId="17726"/>
    <cellStyle name="Normal 57 3 5 4 3 3" xfId="14147"/>
    <cellStyle name="Normal 57 3 5 4 3 4" xfId="8890"/>
    <cellStyle name="Normal 57 3 5 4 4" xfId="6601"/>
    <cellStyle name="Normal 57 3 5 4 4 2" xfId="15685"/>
    <cellStyle name="Normal 57 3 5 4 5" xfId="10344"/>
    <cellStyle name="Normal 57 3 5 4 5 2" xfId="19171"/>
    <cellStyle name="Normal 57 3 5 4 6" xfId="11790"/>
    <cellStyle name="Normal 57 3 5 4 7" xfId="5079"/>
    <cellStyle name="Normal 57 3 5 5" xfId="1416"/>
    <cellStyle name="Normal 57 3 5 5 2" xfId="3021"/>
    <cellStyle name="Normal 57 3 5 5 2 2" xfId="16571"/>
    <cellStyle name="Normal 57 3 5 5 2 3" xfId="12992"/>
    <cellStyle name="Normal 57 3 5 5 2 4" xfId="7703"/>
    <cellStyle name="Normal 57 3 5 5 3" xfId="4230"/>
    <cellStyle name="Normal 57 3 5 5 3 2" xfId="17935"/>
    <cellStyle name="Normal 57 3 5 5 3 3" xfId="14356"/>
    <cellStyle name="Normal 57 3 5 5 3 4" xfId="9099"/>
    <cellStyle name="Normal 57 3 5 5 4" xfId="5996"/>
    <cellStyle name="Normal 57 3 5 5 4 2" xfId="15082"/>
    <cellStyle name="Normal 57 3 5 5 5" xfId="10553"/>
    <cellStyle name="Normal 57 3 5 5 5 2" xfId="19380"/>
    <cellStyle name="Normal 57 3 5 5 6" xfId="11999"/>
    <cellStyle name="Normal 57 3 5 5 7" xfId="5297"/>
    <cellStyle name="Normal 57 3 5 6" xfId="1978"/>
    <cellStyle name="Normal 57 3 5 6 2" xfId="15925"/>
    <cellStyle name="Normal 57 3 5 6 3" xfId="12427"/>
    <cellStyle name="Normal 57 3 5 6 4" xfId="6882"/>
    <cellStyle name="Normal 57 3 5 7" xfId="3393"/>
    <cellStyle name="Normal 57 3 5 7 2" xfId="16892"/>
    <cellStyle name="Normal 57 3 5 7 3" xfId="13313"/>
    <cellStyle name="Normal 57 3 5 7 4" xfId="8056"/>
    <cellStyle name="Normal 57 3 5 8" xfId="5617"/>
    <cellStyle name="Normal 57 3 5 8 2" xfId="14703"/>
    <cellStyle name="Normal 57 3 5 9" xfId="9510"/>
    <cellStyle name="Normal 57 3 5 9 2" xfId="18337"/>
    <cellStyle name="Normal 57 3 5_Degree data" xfId="1709"/>
    <cellStyle name="Normal 57 3 6" xfId="308"/>
    <cellStyle name="Normal 57 3 6 2" xfId="737"/>
    <cellStyle name="Normal 57 3 6 2 2" xfId="2466"/>
    <cellStyle name="Normal 57 3 6 2 2 2" xfId="16355"/>
    <cellStyle name="Normal 57 3 6 2 2 3" xfId="12777"/>
    <cellStyle name="Normal 57 3 6 2 2 4" xfId="7487"/>
    <cellStyle name="Normal 57 3 6 2 3" xfId="3734"/>
    <cellStyle name="Normal 57 3 6 2 3 2" xfId="17380"/>
    <cellStyle name="Normal 57 3 6 2 3 3" xfId="13801"/>
    <cellStyle name="Normal 57 3 6 2 3 4" xfId="8544"/>
    <cellStyle name="Normal 57 3 6 2 4" xfId="6603"/>
    <cellStyle name="Normal 57 3 6 2 4 2" xfId="15687"/>
    <cellStyle name="Normal 57 3 6 2 5" xfId="9998"/>
    <cellStyle name="Normal 57 3 6 2 5 2" xfId="18825"/>
    <cellStyle name="Normal 57 3 6 2 6" xfId="11443"/>
    <cellStyle name="Normal 57 3 6 2 7" xfId="5081"/>
    <cellStyle name="Normal 57 3 6 3" xfId="1094"/>
    <cellStyle name="Normal 57 3 6 3 2" xfId="2814"/>
    <cellStyle name="Normal 57 3 6 3 2 2" xfId="16671"/>
    <cellStyle name="Normal 57 3 6 3 2 3" xfId="13092"/>
    <cellStyle name="Normal 57 3 6 3 2 4" xfId="7803"/>
    <cellStyle name="Normal 57 3 6 3 3" xfId="4083"/>
    <cellStyle name="Normal 57 3 6 3 3 2" xfId="17728"/>
    <cellStyle name="Normal 57 3 6 3 3 3" xfId="14149"/>
    <cellStyle name="Normal 57 3 6 3 3 4" xfId="8892"/>
    <cellStyle name="Normal 57 3 6 3 4" xfId="6210"/>
    <cellStyle name="Normal 57 3 6 3 4 2" xfId="15294"/>
    <cellStyle name="Normal 57 3 6 3 5" xfId="10346"/>
    <cellStyle name="Normal 57 3 6 3 5 2" xfId="19173"/>
    <cellStyle name="Normal 57 3 6 3 6" xfId="11792"/>
    <cellStyle name="Normal 57 3 6 3 7" xfId="5397"/>
    <cellStyle name="Normal 57 3 6 4" xfId="1522"/>
    <cellStyle name="Normal 57 3 6 4 2" xfId="3121"/>
    <cellStyle name="Normal 57 3 6 4 2 2" xfId="18035"/>
    <cellStyle name="Normal 57 3 6 4 2 3" xfId="14456"/>
    <cellStyle name="Normal 57 3 6 4 2 4" xfId="9199"/>
    <cellStyle name="Normal 57 3 6 4 3" xfId="10653"/>
    <cellStyle name="Normal 57 3 6 4 3 2" xfId="19480"/>
    <cellStyle name="Normal 57 3 6 4 4" xfId="12099"/>
    <cellStyle name="Normal 57 3 6 4 5" xfId="7094"/>
    <cellStyle name="Normal 57 3 6 5" xfId="2078"/>
    <cellStyle name="Normal 57 3 6 5 2" xfId="16992"/>
    <cellStyle name="Normal 57 3 6 5 3" xfId="13413"/>
    <cellStyle name="Normal 57 3 6 5 4" xfId="8156"/>
    <cellStyle name="Normal 57 3 6 6" xfId="5717"/>
    <cellStyle name="Normal 57 3 6 6 2" xfId="14803"/>
    <cellStyle name="Normal 57 3 6 7" xfId="9610"/>
    <cellStyle name="Normal 57 3 6 7 2" xfId="18437"/>
    <cellStyle name="Normal 57 3 6 8" xfId="11054"/>
    <cellStyle name="Normal 57 3 6 9" xfId="4688"/>
    <cellStyle name="Normal 57 3 6_Degree data" xfId="1711"/>
    <cellStyle name="Normal 57 3 7" xfId="480"/>
    <cellStyle name="Normal 57 3 7 2" xfId="738"/>
    <cellStyle name="Normal 57 3 7 2 2" xfId="2467"/>
    <cellStyle name="Normal 57 3 7 2 2 2" xfId="16356"/>
    <cellStyle name="Normal 57 3 7 2 2 3" xfId="12778"/>
    <cellStyle name="Normal 57 3 7 2 2 4" xfId="7488"/>
    <cellStyle name="Normal 57 3 7 2 3" xfId="3735"/>
    <cellStyle name="Normal 57 3 7 2 3 2" xfId="17381"/>
    <cellStyle name="Normal 57 3 7 2 3 3" xfId="13802"/>
    <cellStyle name="Normal 57 3 7 2 3 4" xfId="8545"/>
    <cellStyle name="Normal 57 3 7 2 4" xfId="6604"/>
    <cellStyle name="Normal 57 3 7 2 4 2" xfId="15688"/>
    <cellStyle name="Normal 57 3 7 2 5" xfId="9999"/>
    <cellStyle name="Normal 57 3 7 2 5 2" xfId="18826"/>
    <cellStyle name="Normal 57 3 7 2 6" xfId="11444"/>
    <cellStyle name="Normal 57 3 7 2 7" xfId="5082"/>
    <cellStyle name="Normal 57 3 7 3" xfId="1095"/>
    <cellStyle name="Normal 57 3 7 3 2" xfId="2815"/>
    <cellStyle name="Normal 57 3 7 3 2 2" xfId="16519"/>
    <cellStyle name="Normal 57 3 7 3 2 3" xfId="12941"/>
    <cellStyle name="Normal 57 3 7 3 2 4" xfId="7651"/>
    <cellStyle name="Normal 57 3 7 3 3" xfId="4084"/>
    <cellStyle name="Normal 57 3 7 3 3 2" xfId="17729"/>
    <cellStyle name="Normal 57 3 7 3 3 3" xfId="14150"/>
    <cellStyle name="Normal 57 3 7 3 3 4" xfId="8893"/>
    <cellStyle name="Normal 57 3 7 3 4" xfId="6753"/>
    <cellStyle name="Normal 57 3 7 3 4 2" xfId="15836"/>
    <cellStyle name="Normal 57 3 7 3 5" xfId="10347"/>
    <cellStyle name="Normal 57 3 7 3 5 2" xfId="19174"/>
    <cellStyle name="Normal 57 3 7 3 6" xfId="11793"/>
    <cellStyle name="Normal 57 3 7 3 7" xfId="5245"/>
    <cellStyle name="Normal 57 3 7 4" xfId="1356"/>
    <cellStyle name="Normal 57 3 7 4 2" xfId="2969"/>
    <cellStyle name="Normal 57 3 7 4 2 2" xfId="17883"/>
    <cellStyle name="Normal 57 3 7 4 2 3" xfId="14304"/>
    <cellStyle name="Normal 57 3 7 4 2 4" xfId="9047"/>
    <cellStyle name="Normal 57 3 7 4 3" xfId="10501"/>
    <cellStyle name="Normal 57 3 7 4 3 2" xfId="19328"/>
    <cellStyle name="Normal 57 3 7 4 4" xfId="11947"/>
    <cellStyle name="Normal 57 3 7 4 5" xfId="6942"/>
    <cellStyle name="Normal 57 3 7 5" xfId="1926"/>
    <cellStyle name="Normal 57 3 7 5 2" xfId="16838"/>
    <cellStyle name="Normal 57 3 7 5 3" xfId="13259"/>
    <cellStyle name="Normal 57 3 7 5 4" xfId="8002"/>
    <cellStyle name="Normal 57 3 7 6" xfId="6058"/>
    <cellStyle name="Normal 57 3 7 6 2" xfId="15142"/>
    <cellStyle name="Normal 57 3 7 7" xfId="9458"/>
    <cellStyle name="Normal 57 3 7 7 2" xfId="18285"/>
    <cellStyle name="Normal 57 3 7 8" xfId="10902"/>
    <cellStyle name="Normal 57 3 7 9" xfId="4536"/>
    <cellStyle name="Normal 57 3 7_Degree data" xfId="1712"/>
    <cellStyle name="Normal 57 3 8" xfId="719"/>
    <cellStyle name="Normal 57 3 8 2" xfId="2448"/>
    <cellStyle name="Normal 57 3 8 2 2" xfId="16337"/>
    <cellStyle name="Normal 57 3 8 2 3" xfId="12759"/>
    <cellStyle name="Normal 57 3 8 2 4" xfId="7469"/>
    <cellStyle name="Normal 57 3 8 3" xfId="3716"/>
    <cellStyle name="Normal 57 3 8 3 2" xfId="17362"/>
    <cellStyle name="Normal 57 3 8 3 3" xfId="13783"/>
    <cellStyle name="Normal 57 3 8 3 4" xfId="8526"/>
    <cellStyle name="Normal 57 3 8 4" xfId="6585"/>
    <cellStyle name="Normal 57 3 8 4 2" xfId="15669"/>
    <cellStyle name="Normal 57 3 8 5" xfId="9980"/>
    <cellStyle name="Normal 57 3 8 5 2" xfId="18807"/>
    <cellStyle name="Normal 57 3 8 6" xfId="11425"/>
    <cellStyle name="Normal 57 3 8 7" xfId="5063"/>
    <cellStyle name="Normal 57 3 9" xfId="1076"/>
    <cellStyle name="Normal 57 3 9 2" xfId="2796"/>
    <cellStyle name="Normal 57 3 9 2 2" xfId="16487"/>
    <cellStyle name="Normal 57 3 9 2 3" xfId="12909"/>
    <cellStyle name="Normal 57 3 9 2 4" xfId="7619"/>
    <cellStyle name="Normal 57 3 9 3" xfId="4065"/>
    <cellStyle name="Normal 57 3 9 3 2" xfId="17710"/>
    <cellStyle name="Normal 57 3 9 3 3" xfId="14131"/>
    <cellStyle name="Normal 57 3 9 3 4" xfId="8874"/>
    <cellStyle name="Normal 57 3 9 4" xfId="5890"/>
    <cellStyle name="Normal 57 3 9 4 2" xfId="14976"/>
    <cellStyle name="Normal 57 3 9 5" xfId="10328"/>
    <cellStyle name="Normal 57 3 9 5 2" xfId="19155"/>
    <cellStyle name="Normal 57 3 9 6" xfId="11774"/>
    <cellStyle name="Normal 57 3 9 7" xfId="5213"/>
    <cellStyle name="Normal 57 3_Degree data" xfId="1693"/>
    <cellStyle name="Normal 57 4" xfId="101"/>
    <cellStyle name="Normal 57 4 10" xfId="1900"/>
    <cellStyle name="Normal 57 4 10 2" xfId="9432"/>
    <cellStyle name="Normal 57 4 10 2 2" xfId="18259"/>
    <cellStyle name="Normal 57 4 10 3" xfId="10876"/>
    <cellStyle name="Normal 57 4 10 4" xfId="7976"/>
    <cellStyle name="Normal 57 4 11" xfId="1845"/>
    <cellStyle name="Normal 57 4 11 2" xfId="14668"/>
    <cellStyle name="Normal 57 4 11 3" xfId="5582"/>
    <cellStyle name="Normal 57 4 12" xfId="9382"/>
    <cellStyle name="Normal 57 4 12 2" xfId="18209"/>
    <cellStyle name="Normal 57 4 13" xfId="10821"/>
    <cellStyle name="Normal 57 4 14" xfId="4367"/>
    <cellStyle name="Normal 57 4 2" xfId="176"/>
    <cellStyle name="Normal 57 4 2 10" xfId="9402"/>
    <cellStyle name="Normal 57 4 2 10 2" xfId="18229"/>
    <cellStyle name="Normal 57 4 2 11" xfId="10843"/>
    <cellStyle name="Normal 57 4 2 12" xfId="4395"/>
    <cellStyle name="Normal 57 4 2 2" xfId="267"/>
    <cellStyle name="Normal 57 4 2 2 10" xfId="11021"/>
    <cellStyle name="Normal 57 4 2 2 11" xfId="4438"/>
    <cellStyle name="Normal 57 4 2 2 2" xfId="375"/>
    <cellStyle name="Normal 57 4 2 2 2 2" xfId="742"/>
    <cellStyle name="Normal 57 4 2 2 2 2 2" xfId="2471"/>
    <cellStyle name="Normal 57 4 2 2 2 2 2 2" xfId="16360"/>
    <cellStyle name="Normal 57 4 2 2 2 2 2 3" xfId="12782"/>
    <cellStyle name="Normal 57 4 2 2 2 2 2 4" xfId="7492"/>
    <cellStyle name="Normal 57 4 2 2 2 2 3" xfId="3739"/>
    <cellStyle name="Normal 57 4 2 2 2 2 3 2" xfId="17385"/>
    <cellStyle name="Normal 57 4 2 2 2 2 3 3" xfId="13806"/>
    <cellStyle name="Normal 57 4 2 2 2 2 3 4" xfId="8549"/>
    <cellStyle name="Normal 57 4 2 2 2 2 4" xfId="6608"/>
    <cellStyle name="Normal 57 4 2 2 2 2 4 2" xfId="15692"/>
    <cellStyle name="Normal 57 4 2 2 2 2 5" xfId="10003"/>
    <cellStyle name="Normal 57 4 2 2 2 2 5 2" xfId="18830"/>
    <cellStyle name="Normal 57 4 2 2 2 2 6" xfId="11448"/>
    <cellStyle name="Normal 57 4 2 2 2 2 7" xfId="5086"/>
    <cellStyle name="Normal 57 4 2 2 2 3" xfId="1099"/>
    <cellStyle name="Normal 57 4 2 2 2 3 2" xfId="2819"/>
    <cellStyle name="Normal 57 4 2 2 2 3 2 2" xfId="16738"/>
    <cellStyle name="Normal 57 4 2 2 2 3 2 3" xfId="13159"/>
    <cellStyle name="Normal 57 4 2 2 2 3 2 4" xfId="7870"/>
    <cellStyle name="Normal 57 4 2 2 2 3 3" xfId="4088"/>
    <cellStyle name="Normal 57 4 2 2 2 3 3 2" xfId="17733"/>
    <cellStyle name="Normal 57 4 2 2 2 3 3 3" xfId="14154"/>
    <cellStyle name="Normal 57 4 2 2 2 3 3 4" xfId="8897"/>
    <cellStyle name="Normal 57 4 2 2 2 3 4" xfId="6277"/>
    <cellStyle name="Normal 57 4 2 2 2 3 4 2" xfId="15361"/>
    <cellStyle name="Normal 57 4 2 2 2 3 5" xfId="10351"/>
    <cellStyle name="Normal 57 4 2 2 2 3 5 2" xfId="19178"/>
    <cellStyle name="Normal 57 4 2 2 2 3 6" xfId="11797"/>
    <cellStyle name="Normal 57 4 2 2 2 3 7" xfId="5464"/>
    <cellStyle name="Normal 57 4 2 2 2 4" xfId="1590"/>
    <cellStyle name="Normal 57 4 2 2 2 4 2" xfId="3188"/>
    <cellStyle name="Normal 57 4 2 2 2 4 2 2" xfId="18102"/>
    <cellStyle name="Normal 57 4 2 2 2 4 2 3" xfId="14523"/>
    <cellStyle name="Normal 57 4 2 2 2 4 2 4" xfId="9266"/>
    <cellStyle name="Normal 57 4 2 2 2 4 3" xfId="10720"/>
    <cellStyle name="Normal 57 4 2 2 2 4 3 2" xfId="19547"/>
    <cellStyle name="Normal 57 4 2 2 2 4 4" xfId="12166"/>
    <cellStyle name="Normal 57 4 2 2 2 4 5" xfId="7161"/>
    <cellStyle name="Normal 57 4 2 2 2 5" xfId="2145"/>
    <cellStyle name="Normal 57 4 2 2 2 5 2" xfId="17059"/>
    <cellStyle name="Normal 57 4 2 2 2 5 3" xfId="13480"/>
    <cellStyle name="Normal 57 4 2 2 2 5 4" xfId="8223"/>
    <cellStyle name="Normal 57 4 2 2 2 6" xfId="5784"/>
    <cellStyle name="Normal 57 4 2 2 2 6 2" xfId="14870"/>
    <cellStyle name="Normal 57 4 2 2 2 7" xfId="9677"/>
    <cellStyle name="Normal 57 4 2 2 2 7 2" xfId="18504"/>
    <cellStyle name="Normal 57 4 2 2 2 8" xfId="11121"/>
    <cellStyle name="Normal 57 4 2 2 2 9" xfId="4755"/>
    <cellStyle name="Normal 57 4 2 2 2_Degree data" xfId="1716"/>
    <cellStyle name="Normal 57 4 2 2 3" xfId="741"/>
    <cellStyle name="Normal 57 4 2 2 3 2" xfId="2470"/>
    <cellStyle name="Normal 57 4 2 2 3 2 2" xfId="16075"/>
    <cellStyle name="Normal 57 4 2 2 3 2 3" xfId="12274"/>
    <cellStyle name="Normal 57 4 2 2 3 2 4" xfId="7061"/>
    <cellStyle name="Normal 57 4 2 2 3 3" xfId="3738"/>
    <cellStyle name="Normal 57 4 2 2 3 3 2" xfId="17384"/>
    <cellStyle name="Normal 57 4 2 2 3 3 3" xfId="13805"/>
    <cellStyle name="Normal 57 4 2 2 3 3 4" xfId="8548"/>
    <cellStyle name="Normal 57 4 2 2 3 4" xfId="6177"/>
    <cellStyle name="Normal 57 4 2 2 3 4 2" xfId="15261"/>
    <cellStyle name="Normal 57 4 2 2 3 5" xfId="10002"/>
    <cellStyle name="Normal 57 4 2 2 3 5 2" xfId="18829"/>
    <cellStyle name="Normal 57 4 2 2 3 6" xfId="11447"/>
    <cellStyle name="Normal 57 4 2 2 3 7" xfId="4655"/>
    <cellStyle name="Normal 57 4 2 2 4" xfId="1098"/>
    <cellStyle name="Normal 57 4 2 2 4 2" xfId="2818"/>
    <cellStyle name="Normal 57 4 2 2 4 2 2" xfId="16359"/>
    <cellStyle name="Normal 57 4 2 2 4 2 3" xfId="12781"/>
    <cellStyle name="Normal 57 4 2 2 4 2 4" xfId="7491"/>
    <cellStyle name="Normal 57 4 2 2 4 3" xfId="4087"/>
    <cellStyle name="Normal 57 4 2 2 4 3 2" xfId="17732"/>
    <cellStyle name="Normal 57 4 2 2 4 3 3" xfId="14153"/>
    <cellStyle name="Normal 57 4 2 2 4 3 4" xfId="8896"/>
    <cellStyle name="Normal 57 4 2 2 4 4" xfId="6607"/>
    <cellStyle name="Normal 57 4 2 2 4 4 2" xfId="15691"/>
    <cellStyle name="Normal 57 4 2 2 4 5" xfId="10350"/>
    <cellStyle name="Normal 57 4 2 2 4 5 2" xfId="19177"/>
    <cellStyle name="Normal 57 4 2 2 4 6" xfId="11796"/>
    <cellStyle name="Normal 57 4 2 2 4 7" xfId="5085"/>
    <cellStyle name="Normal 57 4 2 2 5" xfId="1488"/>
    <cellStyle name="Normal 57 4 2 2 5 2" xfId="3088"/>
    <cellStyle name="Normal 57 4 2 2 5 2 2" xfId="16638"/>
    <cellStyle name="Normal 57 4 2 2 5 2 3" xfId="13059"/>
    <cellStyle name="Normal 57 4 2 2 5 2 4" xfId="7770"/>
    <cellStyle name="Normal 57 4 2 2 5 3" xfId="4297"/>
    <cellStyle name="Normal 57 4 2 2 5 3 2" xfId="18002"/>
    <cellStyle name="Normal 57 4 2 2 5 3 3" xfId="14423"/>
    <cellStyle name="Normal 57 4 2 2 5 3 4" xfId="9166"/>
    <cellStyle name="Normal 57 4 2 2 5 4" xfId="5958"/>
    <cellStyle name="Normal 57 4 2 2 5 4 2" xfId="15044"/>
    <cellStyle name="Normal 57 4 2 2 5 5" xfId="10620"/>
    <cellStyle name="Normal 57 4 2 2 5 5 2" xfId="19447"/>
    <cellStyle name="Normal 57 4 2 2 5 6" xfId="12066"/>
    <cellStyle name="Normal 57 4 2 2 5 7" xfId="5364"/>
    <cellStyle name="Normal 57 4 2 2 6" xfId="2045"/>
    <cellStyle name="Normal 57 4 2 2 6 2" xfId="15887"/>
    <cellStyle name="Normal 57 4 2 2 6 3" xfId="12376"/>
    <cellStyle name="Normal 57 4 2 2 6 4" xfId="6844"/>
    <cellStyle name="Normal 57 4 2 2 7" xfId="3459"/>
    <cellStyle name="Normal 57 4 2 2 7 2" xfId="16959"/>
    <cellStyle name="Normal 57 4 2 2 7 3" xfId="13380"/>
    <cellStyle name="Normal 57 4 2 2 7 4" xfId="8123"/>
    <cellStyle name="Normal 57 4 2 2 8" xfId="5684"/>
    <cellStyle name="Normal 57 4 2 2 8 2" xfId="14770"/>
    <cellStyle name="Normal 57 4 2 2 9" xfId="9577"/>
    <cellStyle name="Normal 57 4 2 2 9 2" xfId="18404"/>
    <cellStyle name="Normal 57 4 2 2_Degree data" xfId="1715"/>
    <cellStyle name="Normal 57 4 2 3" xfId="332"/>
    <cellStyle name="Normal 57 4 2 3 2" xfId="743"/>
    <cellStyle name="Normal 57 4 2 3 2 2" xfId="2472"/>
    <cellStyle name="Normal 57 4 2 3 2 2 2" xfId="16361"/>
    <cellStyle name="Normal 57 4 2 3 2 2 3" xfId="12783"/>
    <cellStyle name="Normal 57 4 2 3 2 2 4" xfId="7493"/>
    <cellStyle name="Normal 57 4 2 3 2 3" xfId="3740"/>
    <cellStyle name="Normal 57 4 2 3 2 3 2" xfId="17386"/>
    <cellStyle name="Normal 57 4 2 3 2 3 3" xfId="13807"/>
    <cellStyle name="Normal 57 4 2 3 2 3 4" xfId="8550"/>
    <cellStyle name="Normal 57 4 2 3 2 4" xfId="6609"/>
    <cellStyle name="Normal 57 4 2 3 2 4 2" xfId="15693"/>
    <cellStyle name="Normal 57 4 2 3 2 5" xfId="10004"/>
    <cellStyle name="Normal 57 4 2 3 2 5 2" xfId="18831"/>
    <cellStyle name="Normal 57 4 2 3 2 6" xfId="11449"/>
    <cellStyle name="Normal 57 4 2 3 2 7" xfId="5087"/>
    <cellStyle name="Normal 57 4 2 3 3" xfId="1100"/>
    <cellStyle name="Normal 57 4 2 3 3 2" xfId="2820"/>
    <cellStyle name="Normal 57 4 2 3 3 2 2" xfId="16695"/>
    <cellStyle name="Normal 57 4 2 3 3 2 3" xfId="13116"/>
    <cellStyle name="Normal 57 4 2 3 3 2 4" xfId="7827"/>
    <cellStyle name="Normal 57 4 2 3 3 3" xfId="4089"/>
    <cellStyle name="Normal 57 4 2 3 3 3 2" xfId="17734"/>
    <cellStyle name="Normal 57 4 2 3 3 3 3" xfId="14155"/>
    <cellStyle name="Normal 57 4 2 3 3 3 4" xfId="8898"/>
    <cellStyle name="Normal 57 4 2 3 3 4" xfId="6234"/>
    <cellStyle name="Normal 57 4 2 3 3 4 2" xfId="15318"/>
    <cellStyle name="Normal 57 4 2 3 3 5" xfId="10352"/>
    <cellStyle name="Normal 57 4 2 3 3 5 2" xfId="19179"/>
    <cellStyle name="Normal 57 4 2 3 3 6" xfId="11798"/>
    <cellStyle name="Normal 57 4 2 3 3 7" xfId="5421"/>
    <cellStyle name="Normal 57 4 2 3 4" xfId="1546"/>
    <cellStyle name="Normal 57 4 2 3 4 2" xfId="3145"/>
    <cellStyle name="Normal 57 4 2 3 4 2 2" xfId="18059"/>
    <cellStyle name="Normal 57 4 2 3 4 2 3" xfId="14480"/>
    <cellStyle name="Normal 57 4 2 3 4 2 4" xfId="9223"/>
    <cellStyle name="Normal 57 4 2 3 4 3" xfId="10677"/>
    <cellStyle name="Normal 57 4 2 3 4 3 2" xfId="19504"/>
    <cellStyle name="Normal 57 4 2 3 4 4" xfId="12123"/>
    <cellStyle name="Normal 57 4 2 3 4 5" xfId="7118"/>
    <cellStyle name="Normal 57 4 2 3 5" xfId="2102"/>
    <cellStyle name="Normal 57 4 2 3 5 2" xfId="17016"/>
    <cellStyle name="Normal 57 4 2 3 5 3" xfId="13437"/>
    <cellStyle name="Normal 57 4 2 3 5 4" xfId="8180"/>
    <cellStyle name="Normal 57 4 2 3 6" xfId="5741"/>
    <cellStyle name="Normal 57 4 2 3 6 2" xfId="14827"/>
    <cellStyle name="Normal 57 4 2 3 7" xfId="9634"/>
    <cellStyle name="Normal 57 4 2 3 7 2" xfId="18461"/>
    <cellStyle name="Normal 57 4 2 3 8" xfId="11078"/>
    <cellStyle name="Normal 57 4 2 3 9" xfId="4712"/>
    <cellStyle name="Normal 57 4 2 3_Degree data" xfId="1717"/>
    <cellStyle name="Normal 57 4 2 4" xfId="740"/>
    <cellStyle name="Normal 57 4 2 4 2" xfId="2469"/>
    <cellStyle name="Normal 57 4 2 4 2 2" xfId="16032"/>
    <cellStyle name="Normal 57 4 2 4 2 3" xfId="12313"/>
    <cellStyle name="Normal 57 4 2 4 2 4" xfId="7018"/>
    <cellStyle name="Normal 57 4 2 4 3" xfId="3737"/>
    <cellStyle name="Normal 57 4 2 4 3 2" xfId="17383"/>
    <cellStyle name="Normal 57 4 2 4 3 3" xfId="13804"/>
    <cellStyle name="Normal 57 4 2 4 3 4" xfId="8547"/>
    <cellStyle name="Normal 57 4 2 4 4" xfId="6134"/>
    <cellStyle name="Normal 57 4 2 4 4 2" xfId="15218"/>
    <cellStyle name="Normal 57 4 2 4 5" xfId="10001"/>
    <cellStyle name="Normal 57 4 2 4 5 2" xfId="18828"/>
    <cellStyle name="Normal 57 4 2 4 6" xfId="11446"/>
    <cellStyle name="Normal 57 4 2 4 7" xfId="4612"/>
    <cellStyle name="Normal 57 4 2 5" xfId="1097"/>
    <cellStyle name="Normal 57 4 2 5 2" xfId="2817"/>
    <cellStyle name="Normal 57 4 2 5 2 2" xfId="16358"/>
    <cellStyle name="Normal 57 4 2 5 2 3" xfId="12780"/>
    <cellStyle name="Normal 57 4 2 5 2 4" xfId="7490"/>
    <cellStyle name="Normal 57 4 2 5 3" xfId="4086"/>
    <cellStyle name="Normal 57 4 2 5 3 2" xfId="17731"/>
    <cellStyle name="Normal 57 4 2 5 3 3" xfId="14152"/>
    <cellStyle name="Normal 57 4 2 5 3 4" xfId="8895"/>
    <cellStyle name="Normal 57 4 2 5 4" xfId="6606"/>
    <cellStyle name="Normal 57 4 2 5 4 2" xfId="15690"/>
    <cellStyle name="Normal 57 4 2 5 5" xfId="10349"/>
    <cellStyle name="Normal 57 4 2 5 5 2" xfId="19176"/>
    <cellStyle name="Normal 57 4 2 5 6" xfId="11795"/>
    <cellStyle name="Normal 57 4 2 5 7" xfId="5084"/>
    <cellStyle name="Normal 57 4 2 6" xfId="1443"/>
    <cellStyle name="Normal 57 4 2 6 2" xfId="3045"/>
    <cellStyle name="Normal 57 4 2 6 2 2" xfId="16595"/>
    <cellStyle name="Normal 57 4 2 6 2 3" xfId="13016"/>
    <cellStyle name="Normal 57 4 2 6 2 4" xfId="7727"/>
    <cellStyle name="Normal 57 4 2 6 3" xfId="4254"/>
    <cellStyle name="Normal 57 4 2 6 3 2" xfId="17959"/>
    <cellStyle name="Normal 57 4 2 6 3 3" xfId="14380"/>
    <cellStyle name="Normal 57 4 2 6 3 4" xfId="9123"/>
    <cellStyle name="Normal 57 4 2 6 4" xfId="5914"/>
    <cellStyle name="Normal 57 4 2 6 4 2" xfId="15000"/>
    <cellStyle name="Normal 57 4 2 6 5" xfId="10577"/>
    <cellStyle name="Normal 57 4 2 6 5 2" xfId="19404"/>
    <cellStyle name="Normal 57 4 2 6 6" xfId="12023"/>
    <cellStyle name="Normal 57 4 2 6 7" xfId="5321"/>
    <cellStyle name="Normal 57 4 2 7" xfId="2002"/>
    <cellStyle name="Normal 57 4 2 7 2" xfId="9534"/>
    <cellStyle name="Normal 57 4 2 7 2 2" xfId="18361"/>
    <cellStyle name="Normal 57 4 2 7 3" xfId="10978"/>
    <cellStyle name="Normal 57 4 2 7 4" xfId="6801"/>
    <cellStyle name="Normal 57 4 2 8" xfId="1867"/>
    <cellStyle name="Normal 57 4 2 8 2" xfId="16916"/>
    <cellStyle name="Normal 57 4 2 8 3" xfId="13337"/>
    <cellStyle name="Normal 57 4 2 8 4" xfId="8080"/>
    <cellStyle name="Normal 57 4 2 9" xfId="5641"/>
    <cellStyle name="Normal 57 4 2 9 2" xfId="14727"/>
    <cellStyle name="Normal 57 4 2_Degree data" xfId="1714"/>
    <cellStyle name="Normal 57 4 3" xfId="252"/>
    <cellStyle name="Normal 57 4 3 10" xfId="11006"/>
    <cellStyle name="Normal 57 4 3 11" xfId="4423"/>
    <cellStyle name="Normal 57 4 3 2" xfId="360"/>
    <cellStyle name="Normal 57 4 3 2 2" xfId="745"/>
    <cellStyle name="Normal 57 4 3 2 2 2" xfId="2474"/>
    <cellStyle name="Normal 57 4 3 2 2 2 2" xfId="16363"/>
    <cellStyle name="Normal 57 4 3 2 2 2 3" xfId="12785"/>
    <cellStyle name="Normal 57 4 3 2 2 2 4" xfId="7495"/>
    <cellStyle name="Normal 57 4 3 2 2 3" xfId="3742"/>
    <cellStyle name="Normal 57 4 3 2 2 3 2" xfId="17388"/>
    <cellStyle name="Normal 57 4 3 2 2 3 3" xfId="13809"/>
    <cellStyle name="Normal 57 4 3 2 2 3 4" xfId="8552"/>
    <cellStyle name="Normal 57 4 3 2 2 4" xfId="6611"/>
    <cellStyle name="Normal 57 4 3 2 2 4 2" xfId="15695"/>
    <cellStyle name="Normal 57 4 3 2 2 5" xfId="10006"/>
    <cellStyle name="Normal 57 4 3 2 2 5 2" xfId="18833"/>
    <cellStyle name="Normal 57 4 3 2 2 6" xfId="11451"/>
    <cellStyle name="Normal 57 4 3 2 2 7" xfId="5089"/>
    <cellStyle name="Normal 57 4 3 2 3" xfId="1102"/>
    <cellStyle name="Normal 57 4 3 2 3 2" xfId="2822"/>
    <cellStyle name="Normal 57 4 3 2 3 2 2" xfId="16723"/>
    <cellStyle name="Normal 57 4 3 2 3 2 3" xfId="13144"/>
    <cellStyle name="Normal 57 4 3 2 3 2 4" xfId="7855"/>
    <cellStyle name="Normal 57 4 3 2 3 3" xfId="4091"/>
    <cellStyle name="Normal 57 4 3 2 3 3 2" xfId="17736"/>
    <cellStyle name="Normal 57 4 3 2 3 3 3" xfId="14157"/>
    <cellStyle name="Normal 57 4 3 2 3 3 4" xfId="8900"/>
    <cellStyle name="Normal 57 4 3 2 3 4" xfId="6262"/>
    <cellStyle name="Normal 57 4 3 2 3 4 2" xfId="15346"/>
    <cellStyle name="Normal 57 4 3 2 3 5" xfId="10354"/>
    <cellStyle name="Normal 57 4 3 2 3 5 2" xfId="19181"/>
    <cellStyle name="Normal 57 4 3 2 3 6" xfId="11800"/>
    <cellStyle name="Normal 57 4 3 2 3 7" xfId="5449"/>
    <cellStyle name="Normal 57 4 3 2 4" xfId="1575"/>
    <cellStyle name="Normal 57 4 3 2 4 2" xfId="3173"/>
    <cellStyle name="Normal 57 4 3 2 4 2 2" xfId="18087"/>
    <cellStyle name="Normal 57 4 3 2 4 2 3" xfId="14508"/>
    <cellStyle name="Normal 57 4 3 2 4 2 4" xfId="9251"/>
    <cellStyle name="Normal 57 4 3 2 4 3" xfId="10705"/>
    <cellStyle name="Normal 57 4 3 2 4 3 2" xfId="19532"/>
    <cellStyle name="Normal 57 4 3 2 4 4" xfId="12151"/>
    <cellStyle name="Normal 57 4 3 2 4 5" xfId="7146"/>
    <cellStyle name="Normal 57 4 3 2 5" xfId="2130"/>
    <cellStyle name="Normal 57 4 3 2 5 2" xfId="17044"/>
    <cellStyle name="Normal 57 4 3 2 5 3" xfId="13465"/>
    <cellStyle name="Normal 57 4 3 2 5 4" xfId="8208"/>
    <cellStyle name="Normal 57 4 3 2 6" xfId="5769"/>
    <cellStyle name="Normal 57 4 3 2 6 2" xfId="14855"/>
    <cellStyle name="Normal 57 4 3 2 7" xfId="9662"/>
    <cellStyle name="Normal 57 4 3 2 7 2" xfId="18489"/>
    <cellStyle name="Normal 57 4 3 2 8" xfId="11106"/>
    <cellStyle name="Normal 57 4 3 2 9" xfId="4740"/>
    <cellStyle name="Normal 57 4 3 2_Degree data" xfId="1719"/>
    <cellStyle name="Normal 57 4 3 3" xfId="744"/>
    <cellStyle name="Normal 57 4 3 3 2" xfId="2473"/>
    <cellStyle name="Normal 57 4 3 3 2 2" xfId="16060"/>
    <cellStyle name="Normal 57 4 3 3 2 3" xfId="12491"/>
    <cellStyle name="Normal 57 4 3 3 2 4" xfId="7046"/>
    <cellStyle name="Normal 57 4 3 3 3" xfId="3741"/>
    <cellStyle name="Normal 57 4 3 3 3 2" xfId="17387"/>
    <cellStyle name="Normal 57 4 3 3 3 3" xfId="13808"/>
    <cellStyle name="Normal 57 4 3 3 3 4" xfId="8551"/>
    <cellStyle name="Normal 57 4 3 3 4" xfId="6162"/>
    <cellStyle name="Normal 57 4 3 3 4 2" xfId="15246"/>
    <cellStyle name="Normal 57 4 3 3 5" xfId="10005"/>
    <cellStyle name="Normal 57 4 3 3 5 2" xfId="18832"/>
    <cellStyle name="Normal 57 4 3 3 6" xfId="11450"/>
    <cellStyle name="Normal 57 4 3 3 7" xfId="4640"/>
    <cellStyle name="Normal 57 4 3 4" xfId="1101"/>
    <cellStyle name="Normal 57 4 3 4 2" xfId="2821"/>
    <cellStyle name="Normal 57 4 3 4 2 2" xfId="16362"/>
    <cellStyle name="Normal 57 4 3 4 2 3" xfId="12784"/>
    <cellStyle name="Normal 57 4 3 4 2 4" xfId="7494"/>
    <cellStyle name="Normal 57 4 3 4 3" xfId="4090"/>
    <cellStyle name="Normal 57 4 3 4 3 2" xfId="17735"/>
    <cellStyle name="Normal 57 4 3 4 3 3" xfId="14156"/>
    <cellStyle name="Normal 57 4 3 4 3 4" xfId="8899"/>
    <cellStyle name="Normal 57 4 3 4 4" xfId="6610"/>
    <cellStyle name="Normal 57 4 3 4 4 2" xfId="15694"/>
    <cellStyle name="Normal 57 4 3 4 5" xfId="10353"/>
    <cellStyle name="Normal 57 4 3 4 5 2" xfId="19180"/>
    <cellStyle name="Normal 57 4 3 4 6" xfId="11799"/>
    <cellStyle name="Normal 57 4 3 4 7" xfId="5088"/>
    <cellStyle name="Normal 57 4 3 5" xfId="1473"/>
    <cellStyle name="Normal 57 4 3 5 2" xfId="3073"/>
    <cellStyle name="Normal 57 4 3 5 2 2" xfId="16623"/>
    <cellStyle name="Normal 57 4 3 5 2 3" xfId="13044"/>
    <cellStyle name="Normal 57 4 3 5 2 4" xfId="7755"/>
    <cellStyle name="Normal 57 4 3 5 3" xfId="4282"/>
    <cellStyle name="Normal 57 4 3 5 3 2" xfId="17987"/>
    <cellStyle name="Normal 57 4 3 5 3 3" xfId="14408"/>
    <cellStyle name="Normal 57 4 3 5 3 4" xfId="9151"/>
    <cellStyle name="Normal 57 4 3 5 4" xfId="5943"/>
    <cellStyle name="Normal 57 4 3 5 4 2" xfId="15029"/>
    <cellStyle name="Normal 57 4 3 5 5" xfId="10605"/>
    <cellStyle name="Normal 57 4 3 5 5 2" xfId="19432"/>
    <cellStyle name="Normal 57 4 3 5 6" xfId="12051"/>
    <cellStyle name="Normal 57 4 3 5 7" xfId="5349"/>
    <cellStyle name="Normal 57 4 3 6" xfId="2030"/>
    <cellStyle name="Normal 57 4 3 6 2" xfId="15872"/>
    <cellStyle name="Normal 57 4 3 6 3" xfId="12466"/>
    <cellStyle name="Normal 57 4 3 6 4" xfId="6829"/>
    <cellStyle name="Normal 57 4 3 7" xfId="3444"/>
    <cellStyle name="Normal 57 4 3 7 2" xfId="16944"/>
    <cellStyle name="Normal 57 4 3 7 3" xfId="13365"/>
    <cellStyle name="Normal 57 4 3 7 4" xfId="8108"/>
    <cellStyle name="Normal 57 4 3 8" xfId="5669"/>
    <cellStyle name="Normal 57 4 3 8 2" xfId="14755"/>
    <cellStyle name="Normal 57 4 3 9" xfId="9562"/>
    <cellStyle name="Normal 57 4 3 9 2" xfId="18389"/>
    <cellStyle name="Normal 57 4 3_Degree data" xfId="1718"/>
    <cellStyle name="Normal 57 4 4" xfId="193"/>
    <cellStyle name="Normal 57 4 4 10" xfId="10950"/>
    <cellStyle name="Normal 57 4 4 11" xfId="4472"/>
    <cellStyle name="Normal 57 4 4 2" xfId="410"/>
    <cellStyle name="Normal 57 4 4 2 2" xfId="747"/>
    <cellStyle name="Normal 57 4 4 2 2 2" xfId="2476"/>
    <cellStyle name="Normal 57 4 4 2 2 2 2" xfId="16365"/>
    <cellStyle name="Normal 57 4 4 2 2 2 3" xfId="12787"/>
    <cellStyle name="Normal 57 4 4 2 2 2 4" xfId="7497"/>
    <cellStyle name="Normal 57 4 4 2 2 3" xfId="3744"/>
    <cellStyle name="Normal 57 4 4 2 2 3 2" xfId="17390"/>
    <cellStyle name="Normal 57 4 4 2 2 3 3" xfId="13811"/>
    <cellStyle name="Normal 57 4 4 2 2 3 4" xfId="8554"/>
    <cellStyle name="Normal 57 4 4 2 2 4" xfId="6613"/>
    <cellStyle name="Normal 57 4 4 2 2 4 2" xfId="15697"/>
    <cellStyle name="Normal 57 4 4 2 2 5" xfId="10008"/>
    <cellStyle name="Normal 57 4 4 2 2 5 2" xfId="18835"/>
    <cellStyle name="Normal 57 4 4 2 2 6" xfId="11453"/>
    <cellStyle name="Normal 57 4 4 2 2 7" xfId="5091"/>
    <cellStyle name="Normal 57 4 4 2 3" xfId="1104"/>
    <cellStyle name="Normal 57 4 4 2 3 2" xfId="2824"/>
    <cellStyle name="Normal 57 4 4 2 3 2 2" xfId="16772"/>
    <cellStyle name="Normal 57 4 4 2 3 2 3" xfId="13193"/>
    <cellStyle name="Normal 57 4 4 2 3 2 4" xfId="7904"/>
    <cellStyle name="Normal 57 4 4 2 3 3" xfId="4093"/>
    <cellStyle name="Normal 57 4 4 2 3 3 2" xfId="17738"/>
    <cellStyle name="Normal 57 4 4 2 3 3 3" xfId="14159"/>
    <cellStyle name="Normal 57 4 4 2 3 3 4" xfId="8902"/>
    <cellStyle name="Normal 57 4 4 2 3 4" xfId="6311"/>
    <cellStyle name="Normal 57 4 4 2 3 4 2" xfId="15395"/>
    <cellStyle name="Normal 57 4 4 2 3 5" xfId="10356"/>
    <cellStyle name="Normal 57 4 4 2 3 5 2" xfId="19183"/>
    <cellStyle name="Normal 57 4 4 2 3 6" xfId="11802"/>
    <cellStyle name="Normal 57 4 4 2 3 7" xfId="5498"/>
    <cellStyle name="Normal 57 4 4 2 4" xfId="1626"/>
    <cellStyle name="Normal 57 4 4 2 4 2" xfId="3222"/>
    <cellStyle name="Normal 57 4 4 2 4 2 2" xfId="18136"/>
    <cellStyle name="Normal 57 4 4 2 4 2 3" xfId="14557"/>
    <cellStyle name="Normal 57 4 4 2 4 2 4" xfId="9300"/>
    <cellStyle name="Normal 57 4 4 2 4 3" xfId="10754"/>
    <cellStyle name="Normal 57 4 4 2 4 3 2" xfId="19581"/>
    <cellStyle name="Normal 57 4 4 2 4 4" xfId="12200"/>
    <cellStyle name="Normal 57 4 4 2 4 5" xfId="7195"/>
    <cellStyle name="Normal 57 4 4 2 5" xfId="2179"/>
    <cellStyle name="Normal 57 4 4 2 5 2" xfId="17093"/>
    <cellStyle name="Normal 57 4 4 2 5 3" xfId="13514"/>
    <cellStyle name="Normal 57 4 4 2 5 4" xfId="8257"/>
    <cellStyle name="Normal 57 4 4 2 6" xfId="5818"/>
    <cellStyle name="Normal 57 4 4 2 6 2" xfId="14904"/>
    <cellStyle name="Normal 57 4 4 2 7" xfId="9711"/>
    <cellStyle name="Normal 57 4 4 2 7 2" xfId="18538"/>
    <cellStyle name="Normal 57 4 4 2 8" xfId="11155"/>
    <cellStyle name="Normal 57 4 4 2 9" xfId="4789"/>
    <cellStyle name="Normal 57 4 4 2_Degree data" xfId="1721"/>
    <cellStyle name="Normal 57 4 4 3" xfId="746"/>
    <cellStyle name="Normal 57 4 4 3 2" xfId="2475"/>
    <cellStyle name="Normal 57 4 4 3 2 2" xfId="16004"/>
    <cellStyle name="Normal 57 4 4 3 2 3" xfId="12499"/>
    <cellStyle name="Normal 57 4 4 3 2 4" xfId="6990"/>
    <cellStyle name="Normal 57 4 4 3 3" xfId="3743"/>
    <cellStyle name="Normal 57 4 4 3 3 2" xfId="17389"/>
    <cellStyle name="Normal 57 4 4 3 3 3" xfId="13810"/>
    <cellStyle name="Normal 57 4 4 3 3 4" xfId="8553"/>
    <cellStyle name="Normal 57 4 4 3 4" xfId="6106"/>
    <cellStyle name="Normal 57 4 4 3 4 2" xfId="15190"/>
    <cellStyle name="Normal 57 4 4 3 5" xfId="10007"/>
    <cellStyle name="Normal 57 4 4 3 5 2" xfId="18834"/>
    <cellStyle name="Normal 57 4 4 3 6" xfId="11452"/>
    <cellStyle name="Normal 57 4 4 3 7" xfId="4584"/>
    <cellStyle name="Normal 57 4 4 4" xfId="1103"/>
    <cellStyle name="Normal 57 4 4 4 2" xfId="2823"/>
    <cellStyle name="Normal 57 4 4 4 2 2" xfId="16364"/>
    <cellStyle name="Normal 57 4 4 4 2 3" xfId="12786"/>
    <cellStyle name="Normal 57 4 4 4 2 4" xfId="7496"/>
    <cellStyle name="Normal 57 4 4 4 3" xfId="4092"/>
    <cellStyle name="Normal 57 4 4 4 3 2" xfId="17737"/>
    <cellStyle name="Normal 57 4 4 4 3 3" xfId="14158"/>
    <cellStyle name="Normal 57 4 4 4 3 4" xfId="8901"/>
    <cellStyle name="Normal 57 4 4 4 4" xfId="6612"/>
    <cellStyle name="Normal 57 4 4 4 4 2" xfId="15696"/>
    <cellStyle name="Normal 57 4 4 4 5" xfId="10355"/>
    <cellStyle name="Normal 57 4 4 4 5 2" xfId="19182"/>
    <cellStyle name="Normal 57 4 4 4 6" xfId="11801"/>
    <cellStyle name="Normal 57 4 4 4 7" xfId="5090"/>
    <cellStyle name="Normal 57 4 4 5" xfId="1412"/>
    <cellStyle name="Normal 57 4 4 5 2" xfId="3017"/>
    <cellStyle name="Normal 57 4 4 5 2 2" xfId="16567"/>
    <cellStyle name="Normal 57 4 4 5 2 3" xfId="12988"/>
    <cellStyle name="Normal 57 4 4 5 2 4" xfId="7699"/>
    <cellStyle name="Normal 57 4 4 5 3" xfId="4226"/>
    <cellStyle name="Normal 57 4 4 5 3 2" xfId="17931"/>
    <cellStyle name="Normal 57 4 4 5 3 3" xfId="14352"/>
    <cellStyle name="Normal 57 4 4 5 3 4" xfId="9095"/>
    <cellStyle name="Normal 57 4 4 5 4" xfId="5992"/>
    <cellStyle name="Normal 57 4 4 5 4 2" xfId="15078"/>
    <cellStyle name="Normal 57 4 4 5 5" xfId="10549"/>
    <cellStyle name="Normal 57 4 4 5 5 2" xfId="19376"/>
    <cellStyle name="Normal 57 4 4 5 6" xfId="11995"/>
    <cellStyle name="Normal 57 4 4 5 7" xfId="5293"/>
    <cellStyle name="Normal 57 4 4 6" xfId="1974"/>
    <cellStyle name="Normal 57 4 4 6 2" xfId="15921"/>
    <cellStyle name="Normal 57 4 4 6 3" xfId="12369"/>
    <cellStyle name="Normal 57 4 4 6 4" xfId="6878"/>
    <cellStyle name="Normal 57 4 4 7" xfId="3389"/>
    <cellStyle name="Normal 57 4 4 7 2" xfId="16888"/>
    <cellStyle name="Normal 57 4 4 7 3" xfId="13309"/>
    <cellStyle name="Normal 57 4 4 7 4" xfId="8052"/>
    <cellStyle name="Normal 57 4 4 8" xfId="5613"/>
    <cellStyle name="Normal 57 4 4 8 2" xfId="14699"/>
    <cellStyle name="Normal 57 4 4 9" xfId="9506"/>
    <cellStyle name="Normal 57 4 4 9 2" xfId="18333"/>
    <cellStyle name="Normal 57 4 4_Degree data" xfId="1720"/>
    <cellStyle name="Normal 57 4 5" xfId="304"/>
    <cellStyle name="Normal 57 4 5 2" xfId="748"/>
    <cellStyle name="Normal 57 4 5 2 2" xfId="2477"/>
    <cellStyle name="Normal 57 4 5 2 2 2" xfId="16366"/>
    <cellStyle name="Normal 57 4 5 2 2 3" xfId="12788"/>
    <cellStyle name="Normal 57 4 5 2 2 4" xfId="7498"/>
    <cellStyle name="Normal 57 4 5 2 3" xfId="3745"/>
    <cellStyle name="Normal 57 4 5 2 3 2" xfId="17391"/>
    <cellStyle name="Normal 57 4 5 2 3 3" xfId="13812"/>
    <cellStyle name="Normal 57 4 5 2 3 4" xfId="8555"/>
    <cellStyle name="Normal 57 4 5 2 4" xfId="6614"/>
    <cellStyle name="Normal 57 4 5 2 4 2" xfId="15698"/>
    <cellStyle name="Normal 57 4 5 2 5" xfId="10009"/>
    <cellStyle name="Normal 57 4 5 2 5 2" xfId="18836"/>
    <cellStyle name="Normal 57 4 5 2 6" xfId="11454"/>
    <cellStyle name="Normal 57 4 5 2 7" xfId="5092"/>
    <cellStyle name="Normal 57 4 5 3" xfId="1105"/>
    <cellStyle name="Normal 57 4 5 3 2" xfId="2825"/>
    <cellStyle name="Normal 57 4 5 3 2 2" xfId="16667"/>
    <cellStyle name="Normal 57 4 5 3 2 3" xfId="13088"/>
    <cellStyle name="Normal 57 4 5 3 2 4" xfId="7799"/>
    <cellStyle name="Normal 57 4 5 3 3" xfId="4094"/>
    <cellStyle name="Normal 57 4 5 3 3 2" xfId="17739"/>
    <cellStyle name="Normal 57 4 5 3 3 3" xfId="14160"/>
    <cellStyle name="Normal 57 4 5 3 3 4" xfId="8903"/>
    <cellStyle name="Normal 57 4 5 3 4" xfId="6206"/>
    <cellStyle name="Normal 57 4 5 3 4 2" xfId="15290"/>
    <cellStyle name="Normal 57 4 5 3 5" xfId="10357"/>
    <cellStyle name="Normal 57 4 5 3 5 2" xfId="19184"/>
    <cellStyle name="Normal 57 4 5 3 6" xfId="11803"/>
    <cellStyle name="Normal 57 4 5 3 7" xfId="5393"/>
    <cellStyle name="Normal 57 4 5 4" xfId="1518"/>
    <cellStyle name="Normal 57 4 5 4 2" xfId="3117"/>
    <cellStyle name="Normal 57 4 5 4 2 2" xfId="18031"/>
    <cellStyle name="Normal 57 4 5 4 2 3" xfId="14452"/>
    <cellStyle name="Normal 57 4 5 4 2 4" xfId="9195"/>
    <cellStyle name="Normal 57 4 5 4 3" xfId="10649"/>
    <cellStyle name="Normal 57 4 5 4 3 2" xfId="19476"/>
    <cellStyle name="Normal 57 4 5 4 4" xfId="12095"/>
    <cellStyle name="Normal 57 4 5 4 5" xfId="7090"/>
    <cellStyle name="Normal 57 4 5 5" xfId="2074"/>
    <cellStyle name="Normal 57 4 5 5 2" xfId="16988"/>
    <cellStyle name="Normal 57 4 5 5 3" xfId="13409"/>
    <cellStyle name="Normal 57 4 5 5 4" xfId="8152"/>
    <cellStyle name="Normal 57 4 5 6" xfId="5713"/>
    <cellStyle name="Normal 57 4 5 6 2" xfId="14799"/>
    <cellStyle name="Normal 57 4 5 7" xfId="9606"/>
    <cellStyle name="Normal 57 4 5 7 2" xfId="18433"/>
    <cellStyle name="Normal 57 4 5 8" xfId="11050"/>
    <cellStyle name="Normal 57 4 5 9" xfId="4684"/>
    <cellStyle name="Normal 57 4 5_Degree data" xfId="1722"/>
    <cellStyle name="Normal 57 4 6" xfId="487"/>
    <cellStyle name="Normal 57 4 6 2" xfId="749"/>
    <cellStyle name="Normal 57 4 6 2 2" xfId="2478"/>
    <cellStyle name="Normal 57 4 6 2 2 2" xfId="16367"/>
    <cellStyle name="Normal 57 4 6 2 2 3" xfId="12789"/>
    <cellStyle name="Normal 57 4 6 2 2 4" xfId="7499"/>
    <cellStyle name="Normal 57 4 6 2 3" xfId="3746"/>
    <cellStyle name="Normal 57 4 6 2 3 2" xfId="17392"/>
    <cellStyle name="Normal 57 4 6 2 3 3" xfId="13813"/>
    <cellStyle name="Normal 57 4 6 2 3 4" xfId="8556"/>
    <cellStyle name="Normal 57 4 6 2 4" xfId="6615"/>
    <cellStyle name="Normal 57 4 6 2 4 2" xfId="15699"/>
    <cellStyle name="Normal 57 4 6 2 5" xfId="10010"/>
    <cellStyle name="Normal 57 4 6 2 5 2" xfId="18837"/>
    <cellStyle name="Normal 57 4 6 2 6" xfId="11455"/>
    <cellStyle name="Normal 57 4 6 2 7" xfId="5093"/>
    <cellStyle name="Normal 57 4 6 3" xfId="1106"/>
    <cellStyle name="Normal 57 4 6 3 2" xfId="2826"/>
    <cellStyle name="Normal 57 4 6 3 2 2" xfId="16536"/>
    <cellStyle name="Normal 57 4 6 3 2 3" xfId="12958"/>
    <cellStyle name="Normal 57 4 6 3 2 4" xfId="7668"/>
    <cellStyle name="Normal 57 4 6 3 3" xfId="4095"/>
    <cellStyle name="Normal 57 4 6 3 3 2" xfId="17740"/>
    <cellStyle name="Normal 57 4 6 3 3 3" xfId="14161"/>
    <cellStyle name="Normal 57 4 6 3 3 4" xfId="8904"/>
    <cellStyle name="Normal 57 4 6 3 4" xfId="6754"/>
    <cellStyle name="Normal 57 4 6 3 4 2" xfId="15837"/>
    <cellStyle name="Normal 57 4 6 3 5" xfId="10358"/>
    <cellStyle name="Normal 57 4 6 3 5 2" xfId="19185"/>
    <cellStyle name="Normal 57 4 6 3 6" xfId="11804"/>
    <cellStyle name="Normal 57 4 6 3 7" xfId="5262"/>
    <cellStyle name="Normal 57 4 6 4" xfId="1375"/>
    <cellStyle name="Normal 57 4 6 4 2" xfId="2986"/>
    <cellStyle name="Normal 57 4 6 4 2 2" xfId="17900"/>
    <cellStyle name="Normal 57 4 6 4 2 3" xfId="14321"/>
    <cellStyle name="Normal 57 4 6 4 2 4" xfId="9064"/>
    <cellStyle name="Normal 57 4 6 4 3" xfId="10518"/>
    <cellStyle name="Normal 57 4 6 4 3 2" xfId="19345"/>
    <cellStyle name="Normal 57 4 6 4 4" xfId="11964"/>
    <cellStyle name="Normal 57 4 6 4 5" xfId="6959"/>
    <cellStyle name="Normal 57 4 6 5" xfId="1943"/>
    <cellStyle name="Normal 57 4 6 5 2" xfId="16855"/>
    <cellStyle name="Normal 57 4 6 5 3" xfId="13276"/>
    <cellStyle name="Normal 57 4 6 5 4" xfId="8019"/>
    <cellStyle name="Normal 57 4 6 6" xfId="6075"/>
    <cellStyle name="Normal 57 4 6 6 2" xfId="15159"/>
    <cellStyle name="Normal 57 4 6 7" xfId="9475"/>
    <cellStyle name="Normal 57 4 6 7 2" xfId="18302"/>
    <cellStyle name="Normal 57 4 6 8" xfId="10919"/>
    <cellStyle name="Normal 57 4 6 9" xfId="4553"/>
    <cellStyle name="Normal 57 4 6_Degree data" xfId="1723"/>
    <cellStyle name="Normal 57 4 7" xfId="739"/>
    <cellStyle name="Normal 57 4 7 2" xfId="2468"/>
    <cellStyle name="Normal 57 4 7 2 2" xfId="16357"/>
    <cellStyle name="Normal 57 4 7 2 3" xfId="12779"/>
    <cellStyle name="Normal 57 4 7 2 4" xfId="7489"/>
    <cellStyle name="Normal 57 4 7 3" xfId="3736"/>
    <cellStyle name="Normal 57 4 7 3 2" xfId="17382"/>
    <cellStyle name="Normal 57 4 7 3 3" xfId="13803"/>
    <cellStyle name="Normal 57 4 7 3 4" xfId="8546"/>
    <cellStyle name="Normal 57 4 7 4" xfId="6605"/>
    <cellStyle name="Normal 57 4 7 4 2" xfId="15689"/>
    <cellStyle name="Normal 57 4 7 5" xfId="10000"/>
    <cellStyle name="Normal 57 4 7 5 2" xfId="18827"/>
    <cellStyle name="Normal 57 4 7 6" xfId="11445"/>
    <cellStyle name="Normal 57 4 7 7" xfId="5083"/>
    <cellStyle name="Normal 57 4 8" xfId="1096"/>
    <cellStyle name="Normal 57 4 8 2" xfId="2816"/>
    <cellStyle name="Normal 57 4 8 2 2" xfId="16493"/>
    <cellStyle name="Normal 57 4 8 2 3" xfId="12915"/>
    <cellStyle name="Normal 57 4 8 2 4" xfId="7625"/>
    <cellStyle name="Normal 57 4 8 3" xfId="4085"/>
    <cellStyle name="Normal 57 4 8 3 2" xfId="17730"/>
    <cellStyle name="Normal 57 4 8 3 3" xfId="14151"/>
    <cellStyle name="Normal 57 4 8 3 4" xfId="8894"/>
    <cellStyle name="Normal 57 4 8 4" xfId="5886"/>
    <cellStyle name="Normal 57 4 8 4 2" xfId="14972"/>
    <cellStyle name="Normal 57 4 8 5" xfId="10348"/>
    <cellStyle name="Normal 57 4 8 5 2" xfId="19175"/>
    <cellStyle name="Normal 57 4 8 6" xfId="11794"/>
    <cellStyle name="Normal 57 4 8 7" xfId="5219"/>
    <cellStyle name="Normal 57 4 9" xfId="1304"/>
    <cellStyle name="Normal 57 4 9 2" xfId="2943"/>
    <cellStyle name="Normal 57 4 9 2 2" xfId="17857"/>
    <cellStyle name="Normal 57 4 9 2 3" xfId="14278"/>
    <cellStyle name="Normal 57 4 9 2 4" xfId="9021"/>
    <cellStyle name="Normal 57 4 9 3" xfId="10475"/>
    <cellStyle name="Normal 57 4 9 3 2" xfId="19302"/>
    <cellStyle name="Normal 57 4 9 4" xfId="11921"/>
    <cellStyle name="Normal 57 4 9 5" xfId="6772"/>
    <cellStyle name="Normal 57 4_Degree data" xfId="1713"/>
    <cellStyle name="Normal 57 5" xfId="163"/>
    <cellStyle name="Normal 57 5 10" xfId="1914"/>
    <cellStyle name="Normal 57 5 10 2" xfId="9446"/>
    <cellStyle name="Normal 57 5 10 2 2" xfId="18273"/>
    <cellStyle name="Normal 57 5 10 3" xfId="10890"/>
    <cellStyle name="Normal 57 5 10 4" xfId="7990"/>
    <cellStyle name="Normal 57 5 11" xfId="1884"/>
    <cellStyle name="Normal 57 5 11 2" xfId="14684"/>
    <cellStyle name="Normal 57 5 11 3" xfId="5598"/>
    <cellStyle name="Normal 57 5 12" xfId="9416"/>
    <cellStyle name="Normal 57 5 12 2" xfId="18243"/>
    <cellStyle name="Normal 57 5 13" xfId="10860"/>
    <cellStyle name="Normal 57 5 14" xfId="4364"/>
    <cellStyle name="Normal 57 5 2" xfId="238"/>
    <cellStyle name="Normal 57 5 2 10" xfId="9548"/>
    <cellStyle name="Normal 57 5 2 10 2" xfId="18375"/>
    <cellStyle name="Normal 57 5 2 11" xfId="10992"/>
    <cellStyle name="Normal 57 5 2 12" xfId="4409"/>
    <cellStyle name="Normal 57 5 2 2" xfId="451"/>
    <cellStyle name="Normal 57 5 2 2 10" xfId="4513"/>
    <cellStyle name="Normal 57 5 2 2 2" xfId="752"/>
    <cellStyle name="Normal 57 5 2 2 2 2" xfId="2481"/>
    <cellStyle name="Normal 57 5 2 2 2 2 2" xfId="16106"/>
    <cellStyle name="Normal 57 5 2 2 2 2 3" xfId="12528"/>
    <cellStyle name="Normal 57 5 2 2 2 2 4" xfId="7236"/>
    <cellStyle name="Normal 57 5 2 2 2 3" xfId="3749"/>
    <cellStyle name="Normal 57 5 2 2 2 3 2" xfId="17395"/>
    <cellStyle name="Normal 57 5 2 2 2 3 3" xfId="13816"/>
    <cellStyle name="Normal 57 5 2 2 2 3 4" xfId="8559"/>
    <cellStyle name="Normal 57 5 2 2 2 4" xfId="6352"/>
    <cellStyle name="Normal 57 5 2 2 2 4 2" xfId="15436"/>
    <cellStyle name="Normal 57 5 2 2 2 5" xfId="10013"/>
    <cellStyle name="Normal 57 5 2 2 2 5 2" xfId="18840"/>
    <cellStyle name="Normal 57 5 2 2 2 6" xfId="11458"/>
    <cellStyle name="Normal 57 5 2 2 2 7" xfId="4830"/>
    <cellStyle name="Normal 57 5 2 2 3" xfId="1109"/>
    <cellStyle name="Normal 57 5 2 2 3 2" xfId="2829"/>
    <cellStyle name="Normal 57 5 2 2 3 2 2" xfId="16370"/>
    <cellStyle name="Normal 57 5 2 2 3 2 3" xfId="12792"/>
    <cellStyle name="Normal 57 5 2 2 3 2 4" xfId="7502"/>
    <cellStyle name="Normal 57 5 2 2 3 3" xfId="4098"/>
    <cellStyle name="Normal 57 5 2 2 3 3 2" xfId="17743"/>
    <cellStyle name="Normal 57 5 2 2 3 3 3" xfId="14164"/>
    <cellStyle name="Normal 57 5 2 2 3 3 4" xfId="8907"/>
    <cellStyle name="Normal 57 5 2 2 3 4" xfId="6618"/>
    <cellStyle name="Normal 57 5 2 2 3 4 2" xfId="15702"/>
    <cellStyle name="Normal 57 5 2 2 3 5" xfId="10361"/>
    <cellStyle name="Normal 57 5 2 2 3 5 2" xfId="19188"/>
    <cellStyle name="Normal 57 5 2 2 3 6" xfId="11807"/>
    <cellStyle name="Normal 57 5 2 2 3 7" xfId="5096"/>
    <cellStyle name="Normal 57 5 2 2 4" xfId="1667"/>
    <cellStyle name="Normal 57 5 2 2 4 2" xfId="3263"/>
    <cellStyle name="Normal 57 5 2 2 4 2 2" xfId="16813"/>
    <cellStyle name="Normal 57 5 2 2 4 2 3" xfId="13234"/>
    <cellStyle name="Normal 57 5 2 2 4 2 4" xfId="7945"/>
    <cellStyle name="Normal 57 5 2 2 4 3" xfId="4328"/>
    <cellStyle name="Normal 57 5 2 2 4 3 2" xfId="18177"/>
    <cellStyle name="Normal 57 5 2 2 4 3 3" xfId="14598"/>
    <cellStyle name="Normal 57 5 2 2 4 3 4" xfId="9341"/>
    <cellStyle name="Normal 57 5 2 2 4 4" xfId="6033"/>
    <cellStyle name="Normal 57 5 2 2 4 4 2" xfId="15119"/>
    <cellStyle name="Normal 57 5 2 2 4 5" xfId="10795"/>
    <cellStyle name="Normal 57 5 2 2 4 5 2" xfId="19622"/>
    <cellStyle name="Normal 57 5 2 2 4 6" xfId="12241"/>
    <cellStyle name="Normal 57 5 2 2 4 7" xfId="5539"/>
    <cellStyle name="Normal 57 5 2 2 5" xfId="2220"/>
    <cellStyle name="Normal 57 5 2 2 5 2" xfId="15962"/>
    <cellStyle name="Normal 57 5 2 2 5 3" xfId="12468"/>
    <cellStyle name="Normal 57 5 2 2 5 4" xfId="6919"/>
    <cellStyle name="Normal 57 5 2 2 6" xfId="3490"/>
    <cellStyle name="Normal 57 5 2 2 6 2" xfId="17134"/>
    <cellStyle name="Normal 57 5 2 2 6 3" xfId="13555"/>
    <cellStyle name="Normal 57 5 2 2 6 4" xfId="8298"/>
    <cellStyle name="Normal 57 5 2 2 7" xfId="5859"/>
    <cellStyle name="Normal 57 5 2 2 7 2" xfId="14945"/>
    <cellStyle name="Normal 57 5 2 2 8" xfId="9752"/>
    <cellStyle name="Normal 57 5 2 2 8 2" xfId="18579"/>
    <cellStyle name="Normal 57 5 2 2 9" xfId="11196"/>
    <cellStyle name="Normal 57 5 2 2_Degree data" xfId="1726"/>
    <cellStyle name="Normal 57 5 2 3" xfId="346"/>
    <cellStyle name="Normal 57 5 2 3 2" xfId="753"/>
    <cellStyle name="Normal 57 5 2 3 2 2" xfId="2482"/>
    <cellStyle name="Normal 57 5 2 3 2 2 2" xfId="16371"/>
    <cellStyle name="Normal 57 5 2 3 2 2 3" xfId="12793"/>
    <cellStyle name="Normal 57 5 2 3 2 2 4" xfId="7503"/>
    <cellStyle name="Normal 57 5 2 3 2 3" xfId="3750"/>
    <cellStyle name="Normal 57 5 2 3 2 3 2" xfId="17396"/>
    <cellStyle name="Normal 57 5 2 3 2 3 3" xfId="13817"/>
    <cellStyle name="Normal 57 5 2 3 2 3 4" xfId="8560"/>
    <cellStyle name="Normal 57 5 2 3 2 4" xfId="6619"/>
    <cellStyle name="Normal 57 5 2 3 2 4 2" xfId="15703"/>
    <cellStyle name="Normal 57 5 2 3 2 5" xfId="10014"/>
    <cellStyle name="Normal 57 5 2 3 2 5 2" xfId="18841"/>
    <cellStyle name="Normal 57 5 2 3 2 6" xfId="11459"/>
    <cellStyle name="Normal 57 5 2 3 2 7" xfId="5097"/>
    <cellStyle name="Normal 57 5 2 3 3" xfId="1110"/>
    <cellStyle name="Normal 57 5 2 3 3 2" xfId="2830"/>
    <cellStyle name="Normal 57 5 2 3 3 2 2" xfId="16709"/>
    <cellStyle name="Normal 57 5 2 3 3 2 3" xfId="13130"/>
    <cellStyle name="Normal 57 5 2 3 3 2 4" xfId="7841"/>
    <cellStyle name="Normal 57 5 2 3 3 3" xfId="4099"/>
    <cellStyle name="Normal 57 5 2 3 3 3 2" xfId="17744"/>
    <cellStyle name="Normal 57 5 2 3 3 3 3" xfId="14165"/>
    <cellStyle name="Normal 57 5 2 3 3 3 4" xfId="8908"/>
    <cellStyle name="Normal 57 5 2 3 3 4" xfId="6248"/>
    <cellStyle name="Normal 57 5 2 3 3 4 2" xfId="15332"/>
    <cellStyle name="Normal 57 5 2 3 3 5" xfId="10362"/>
    <cellStyle name="Normal 57 5 2 3 3 5 2" xfId="19189"/>
    <cellStyle name="Normal 57 5 2 3 3 6" xfId="11808"/>
    <cellStyle name="Normal 57 5 2 3 3 7" xfId="5435"/>
    <cellStyle name="Normal 57 5 2 3 4" xfId="1560"/>
    <cellStyle name="Normal 57 5 2 3 4 2" xfId="3159"/>
    <cellStyle name="Normal 57 5 2 3 4 2 2" xfId="18073"/>
    <cellStyle name="Normal 57 5 2 3 4 2 3" xfId="14494"/>
    <cellStyle name="Normal 57 5 2 3 4 2 4" xfId="9237"/>
    <cellStyle name="Normal 57 5 2 3 4 3" xfId="10691"/>
    <cellStyle name="Normal 57 5 2 3 4 3 2" xfId="19518"/>
    <cellStyle name="Normal 57 5 2 3 4 4" xfId="12137"/>
    <cellStyle name="Normal 57 5 2 3 4 5" xfId="7132"/>
    <cellStyle name="Normal 57 5 2 3 5" xfId="2116"/>
    <cellStyle name="Normal 57 5 2 3 5 2" xfId="17030"/>
    <cellStyle name="Normal 57 5 2 3 5 3" xfId="13451"/>
    <cellStyle name="Normal 57 5 2 3 5 4" xfId="8194"/>
    <cellStyle name="Normal 57 5 2 3 6" xfId="5755"/>
    <cellStyle name="Normal 57 5 2 3 6 2" xfId="14841"/>
    <cellStyle name="Normal 57 5 2 3 7" xfId="9648"/>
    <cellStyle name="Normal 57 5 2 3 7 2" xfId="18475"/>
    <cellStyle name="Normal 57 5 2 3 8" xfId="11092"/>
    <cellStyle name="Normal 57 5 2 3 9" xfId="4726"/>
    <cellStyle name="Normal 57 5 2 3_Degree data" xfId="1727"/>
    <cellStyle name="Normal 57 5 2 4" xfId="751"/>
    <cellStyle name="Normal 57 5 2 4 2" xfId="2480"/>
    <cellStyle name="Normal 57 5 2 4 2 2" xfId="16046"/>
    <cellStyle name="Normal 57 5 2 4 2 3" xfId="12400"/>
    <cellStyle name="Normal 57 5 2 4 2 4" xfId="7032"/>
    <cellStyle name="Normal 57 5 2 4 3" xfId="3748"/>
    <cellStyle name="Normal 57 5 2 4 3 2" xfId="17394"/>
    <cellStyle name="Normal 57 5 2 4 3 3" xfId="13815"/>
    <cellStyle name="Normal 57 5 2 4 3 4" xfId="8558"/>
    <cellStyle name="Normal 57 5 2 4 4" xfId="6148"/>
    <cellStyle name="Normal 57 5 2 4 4 2" xfId="15232"/>
    <cellStyle name="Normal 57 5 2 4 5" xfId="10012"/>
    <cellStyle name="Normal 57 5 2 4 5 2" xfId="18839"/>
    <cellStyle name="Normal 57 5 2 4 6" xfId="11457"/>
    <cellStyle name="Normal 57 5 2 4 7" xfId="4626"/>
    <cellStyle name="Normal 57 5 2 5" xfId="1108"/>
    <cellStyle name="Normal 57 5 2 5 2" xfId="2828"/>
    <cellStyle name="Normal 57 5 2 5 2 2" xfId="16369"/>
    <cellStyle name="Normal 57 5 2 5 2 3" xfId="12791"/>
    <cellStyle name="Normal 57 5 2 5 2 4" xfId="7501"/>
    <cellStyle name="Normal 57 5 2 5 3" xfId="4097"/>
    <cellStyle name="Normal 57 5 2 5 3 2" xfId="17742"/>
    <cellStyle name="Normal 57 5 2 5 3 3" xfId="14163"/>
    <cellStyle name="Normal 57 5 2 5 3 4" xfId="8906"/>
    <cellStyle name="Normal 57 5 2 5 4" xfId="6617"/>
    <cellStyle name="Normal 57 5 2 5 4 2" xfId="15701"/>
    <cellStyle name="Normal 57 5 2 5 5" xfId="10360"/>
    <cellStyle name="Normal 57 5 2 5 5 2" xfId="19187"/>
    <cellStyle name="Normal 57 5 2 5 6" xfId="11806"/>
    <cellStyle name="Normal 57 5 2 5 7" xfId="5095"/>
    <cellStyle name="Normal 57 5 2 6" xfId="1458"/>
    <cellStyle name="Normal 57 5 2 6 2" xfId="3059"/>
    <cellStyle name="Normal 57 5 2 6 2 2" xfId="16609"/>
    <cellStyle name="Normal 57 5 2 6 2 3" xfId="13030"/>
    <cellStyle name="Normal 57 5 2 6 2 4" xfId="7741"/>
    <cellStyle name="Normal 57 5 2 6 3" xfId="4268"/>
    <cellStyle name="Normal 57 5 2 6 3 2" xfId="17973"/>
    <cellStyle name="Normal 57 5 2 6 3 3" xfId="14394"/>
    <cellStyle name="Normal 57 5 2 6 3 4" xfId="9137"/>
    <cellStyle name="Normal 57 5 2 6 4" xfId="5929"/>
    <cellStyle name="Normal 57 5 2 6 4 2" xfId="15015"/>
    <cellStyle name="Normal 57 5 2 6 5" xfId="10591"/>
    <cellStyle name="Normal 57 5 2 6 5 2" xfId="19418"/>
    <cellStyle name="Normal 57 5 2 6 6" xfId="12037"/>
    <cellStyle name="Normal 57 5 2 6 7" xfId="5335"/>
    <cellStyle name="Normal 57 5 2 7" xfId="2016"/>
    <cellStyle name="Normal 57 5 2 7 2" xfId="15859"/>
    <cellStyle name="Normal 57 5 2 7 3" xfId="12312"/>
    <cellStyle name="Normal 57 5 2 7 4" xfId="6815"/>
    <cellStyle name="Normal 57 5 2 8" xfId="3430"/>
    <cellStyle name="Normal 57 5 2 8 2" xfId="16930"/>
    <cellStyle name="Normal 57 5 2 8 3" xfId="13351"/>
    <cellStyle name="Normal 57 5 2 8 4" xfId="8094"/>
    <cellStyle name="Normal 57 5 2 9" xfId="5655"/>
    <cellStyle name="Normal 57 5 2 9 2" xfId="14741"/>
    <cellStyle name="Normal 57 5 2_Degree data" xfId="1725"/>
    <cellStyle name="Normal 57 5 3" xfId="281"/>
    <cellStyle name="Normal 57 5 3 10" xfId="11035"/>
    <cellStyle name="Normal 57 5 3 11" xfId="4452"/>
    <cellStyle name="Normal 57 5 3 2" xfId="389"/>
    <cellStyle name="Normal 57 5 3 2 2" xfId="755"/>
    <cellStyle name="Normal 57 5 3 2 2 2" xfId="2484"/>
    <cellStyle name="Normal 57 5 3 2 2 2 2" xfId="16373"/>
    <cellStyle name="Normal 57 5 3 2 2 2 3" xfId="12795"/>
    <cellStyle name="Normal 57 5 3 2 2 2 4" xfId="7505"/>
    <cellStyle name="Normal 57 5 3 2 2 3" xfId="3752"/>
    <cellStyle name="Normal 57 5 3 2 2 3 2" xfId="17398"/>
    <cellStyle name="Normal 57 5 3 2 2 3 3" xfId="13819"/>
    <cellStyle name="Normal 57 5 3 2 2 3 4" xfId="8562"/>
    <cellStyle name="Normal 57 5 3 2 2 4" xfId="6621"/>
    <cellStyle name="Normal 57 5 3 2 2 4 2" xfId="15705"/>
    <cellStyle name="Normal 57 5 3 2 2 5" xfId="10016"/>
    <cellStyle name="Normal 57 5 3 2 2 5 2" xfId="18843"/>
    <cellStyle name="Normal 57 5 3 2 2 6" xfId="11461"/>
    <cellStyle name="Normal 57 5 3 2 2 7" xfId="5099"/>
    <cellStyle name="Normal 57 5 3 2 3" xfId="1112"/>
    <cellStyle name="Normal 57 5 3 2 3 2" xfId="2832"/>
    <cellStyle name="Normal 57 5 3 2 3 2 2" xfId="16752"/>
    <cellStyle name="Normal 57 5 3 2 3 2 3" xfId="13173"/>
    <cellStyle name="Normal 57 5 3 2 3 2 4" xfId="7884"/>
    <cellStyle name="Normal 57 5 3 2 3 3" xfId="4101"/>
    <cellStyle name="Normal 57 5 3 2 3 3 2" xfId="17746"/>
    <cellStyle name="Normal 57 5 3 2 3 3 3" xfId="14167"/>
    <cellStyle name="Normal 57 5 3 2 3 3 4" xfId="8910"/>
    <cellStyle name="Normal 57 5 3 2 3 4" xfId="6291"/>
    <cellStyle name="Normal 57 5 3 2 3 4 2" xfId="15375"/>
    <cellStyle name="Normal 57 5 3 2 3 5" xfId="10364"/>
    <cellStyle name="Normal 57 5 3 2 3 5 2" xfId="19191"/>
    <cellStyle name="Normal 57 5 3 2 3 6" xfId="11810"/>
    <cellStyle name="Normal 57 5 3 2 3 7" xfId="5478"/>
    <cellStyle name="Normal 57 5 3 2 4" xfId="1605"/>
    <cellStyle name="Normal 57 5 3 2 4 2" xfId="3202"/>
    <cellStyle name="Normal 57 5 3 2 4 2 2" xfId="18116"/>
    <cellStyle name="Normal 57 5 3 2 4 2 3" xfId="14537"/>
    <cellStyle name="Normal 57 5 3 2 4 2 4" xfId="9280"/>
    <cellStyle name="Normal 57 5 3 2 4 3" xfId="10734"/>
    <cellStyle name="Normal 57 5 3 2 4 3 2" xfId="19561"/>
    <cellStyle name="Normal 57 5 3 2 4 4" xfId="12180"/>
    <cellStyle name="Normal 57 5 3 2 4 5" xfId="7175"/>
    <cellStyle name="Normal 57 5 3 2 5" xfId="2159"/>
    <cellStyle name="Normal 57 5 3 2 5 2" xfId="17073"/>
    <cellStyle name="Normal 57 5 3 2 5 3" xfId="13494"/>
    <cellStyle name="Normal 57 5 3 2 5 4" xfId="8237"/>
    <cellStyle name="Normal 57 5 3 2 6" xfId="5798"/>
    <cellStyle name="Normal 57 5 3 2 6 2" xfId="14884"/>
    <cellStyle name="Normal 57 5 3 2 7" xfId="9691"/>
    <cellStyle name="Normal 57 5 3 2 7 2" xfId="18518"/>
    <cellStyle name="Normal 57 5 3 2 8" xfId="11135"/>
    <cellStyle name="Normal 57 5 3 2 9" xfId="4769"/>
    <cellStyle name="Normal 57 5 3 2_Degree data" xfId="1729"/>
    <cellStyle name="Normal 57 5 3 3" xfId="754"/>
    <cellStyle name="Normal 57 5 3 3 2" xfId="2483"/>
    <cellStyle name="Normal 57 5 3 3 2 2" xfId="16089"/>
    <cellStyle name="Normal 57 5 3 3 2 3" xfId="12389"/>
    <cellStyle name="Normal 57 5 3 3 2 4" xfId="7075"/>
    <cellStyle name="Normal 57 5 3 3 3" xfId="3751"/>
    <cellStyle name="Normal 57 5 3 3 3 2" xfId="17397"/>
    <cellStyle name="Normal 57 5 3 3 3 3" xfId="13818"/>
    <cellStyle name="Normal 57 5 3 3 3 4" xfId="8561"/>
    <cellStyle name="Normal 57 5 3 3 4" xfId="6191"/>
    <cellStyle name="Normal 57 5 3 3 4 2" xfId="15275"/>
    <cellStyle name="Normal 57 5 3 3 5" xfId="10015"/>
    <cellStyle name="Normal 57 5 3 3 5 2" xfId="18842"/>
    <cellStyle name="Normal 57 5 3 3 6" xfId="11460"/>
    <cellStyle name="Normal 57 5 3 3 7" xfId="4669"/>
    <cellStyle name="Normal 57 5 3 4" xfId="1111"/>
    <cellStyle name="Normal 57 5 3 4 2" xfId="2831"/>
    <cellStyle name="Normal 57 5 3 4 2 2" xfId="16372"/>
    <cellStyle name="Normal 57 5 3 4 2 3" xfId="12794"/>
    <cellStyle name="Normal 57 5 3 4 2 4" xfId="7504"/>
    <cellStyle name="Normal 57 5 3 4 3" xfId="4100"/>
    <cellStyle name="Normal 57 5 3 4 3 2" xfId="17745"/>
    <cellStyle name="Normal 57 5 3 4 3 3" xfId="14166"/>
    <cellStyle name="Normal 57 5 3 4 3 4" xfId="8909"/>
    <cellStyle name="Normal 57 5 3 4 4" xfId="6620"/>
    <cellStyle name="Normal 57 5 3 4 4 2" xfId="15704"/>
    <cellStyle name="Normal 57 5 3 4 5" xfId="10363"/>
    <cellStyle name="Normal 57 5 3 4 5 2" xfId="19190"/>
    <cellStyle name="Normal 57 5 3 4 6" xfId="11809"/>
    <cellStyle name="Normal 57 5 3 4 7" xfId="5098"/>
    <cellStyle name="Normal 57 5 3 5" xfId="1503"/>
    <cellStyle name="Normal 57 5 3 5 2" xfId="3102"/>
    <cellStyle name="Normal 57 5 3 5 2 2" xfId="16652"/>
    <cellStyle name="Normal 57 5 3 5 2 3" xfId="13073"/>
    <cellStyle name="Normal 57 5 3 5 2 4" xfId="7784"/>
    <cellStyle name="Normal 57 5 3 5 3" xfId="4311"/>
    <cellStyle name="Normal 57 5 3 5 3 2" xfId="18016"/>
    <cellStyle name="Normal 57 5 3 5 3 3" xfId="14437"/>
    <cellStyle name="Normal 57 5 3 5 3 4" xfId="9180"/>
    <cellStyle name="Normal 57 5 3 5 4" xfId="5972"/>
    <cellStyle name="Normal 57 5 3 5 4 2" xfId="15058"/>
    <cellStyle name="Normal 57 5 3 5 5" xfId="10634"/>
    <cellStyle name="Normal 57 5 3 5 5 2" xfId="19461"/>
    <cellStyle name="Normal 57 5 3 5 6" xfId="12080"/>
    <cellStyle name="Normal 57 5 3 5 7" xfId="5378"/>
    <cellStyle name="Normal 57 5 3 6" xfId="2059"/>
    <cellStyle name="Normal 57 5 3 6 2" xfId="15901"/>
    <cellStyle name="Normal 57 5 3 6 3" xfId="12262"/>
    <cellStyle name="Normal 57 5 3 6 4" xfId="6858"/>
    <cellStyle name="Normal 57 5 3 7" xfId="3473"/>
    <cellStyle name="Normal 57 5 3 7 2" xfId="16973"/>
    <cellStyle name="Normal 57 5 3 7 3" xfId="13394"/>
    <cellStyle name="Normal 57 5 3 7 4" xfId="8137"/>
    <cellStyle name="Normal 57 5 3 8" xfId="5698"/>
    <cellStyle name="Normal 57 5 3 8 2" xfId="14784"/>
    <cellStyle name="Normal 57 5 3 9" xfId="9591"/>
    <cellStyle name="Normal 57 5 3 9 2" xfId="18418"/>
    <cellStyle name="Normal 57 5 3_Degree data" xfId="1728"/>
    <cellStyle name="Normal 57 5 4" xfId="190"/>
    <cellStyle name="Normal 57 5 4 10" xfId="10947"/>
    <cellStyle name="Normal 57 5 4 11" xfId="4469"/>
    <cellStyle name="Normal 57 5 4 2" xfId="407"/>
    <cellStyle name="Normal 57 5 4 2 2" xfId="757"/>
    <cellStyle name="Normal 57 5 4 2 2 2" xfId="2486"/>
    <cellStyle name="Normal 57 5 4 2 2 2 2" xfId="16375"/>
    <cellStyle name="Normal 57 5 4 2 2 2 3" xfId="12797"/>
    <cellStyle name="Normal 57 5 4 2 2 2 4" xfId="7507"/>
    <cellStyle name="Normal 57 5 4 2 2 3" xfId="3754"/>
    <cellStyle name="Normal 57 5 4 2 2 3 2" xfId="17400"/>
    <cellStyle name="Normal 57 5 4 2 2 3 3" xfId="13821"/>
    <cellStyle name="Normal 57 5 4 2 2 3 4" xfId="8564"/>
    <cellStyle name="Normal 57 5 4 2 2 4" xfId="6623"/>
    <cellStyle name="Normal 57 5 4 2 2 4 2" xfId="15707"/>
    <cellStyle name="Normal 57 5 4 2 2 5" xfId="10018"/>
    <cellStyle name="Normal 57 5 4 2 2 5 2" xfId="18845"/>
    <cellStyle name="Normal 57 5 4 2 2 6" xfId="11463"/>
    <cellStyle name="Normal 57 5 4 2 2 7" xfId="5101"/>
    <cellStyle name="Normal 57 5 4 2 3" xfId="1114"/>
    <cellStyle name="Normal 57 5 4 2 3 2" xfId="2834"/>
    <cellStyle name="Normal 57 5 4 2 3 2 2" xfId="16769"/>
    <cellStyle name="Normal 57 5 4 2 3 2 3" xfId="13190"/>
    <cellStyle name="Normal 57 5 4 2 3 2 4" xfId="7901"/>
    <cellStyle name="Normal 57 5 4 2 3 3" xfId="4103"/>
    <cellStyle name="Normal 57 5 4 2 3 3 2" xfId="17748"/>
    <cellStyle name="Normal 57 5 4 2 3 3 3" xfId="14169"/>
    <cellStyle name="Normal 57 5 4 2 3 3 4" xfId="8912"/>
    <cellStyle name="Normal 57 5 4 2 3 4" xfId="6308"/>
    <cellStyle name="Normal 57 5 4 2 3 4 2" xfId="15392"/>
    <cellStyle name="Normal 57 5 4 2 3 5" xfId="10366"/>
    <cellStyle name="Normal 57 5 4 2 3 5 2" xfId="19193"/>
    <cellStyle name="Normal 57 5 4 2 3 6" xfId="11812"/>
    <cellStyle name="Normal 57 5 4 2 3 7" xfId="5495"/>
    <cellStyle name="Normal 57 5 4 2 4" xfId="1623"/>
    <cellStyle name="Normal 57 5 4 2 4 2" xfId="3219"/>
    <cellStyle name="Normal 57 5 4 2 4 2 2" xfId="18133"/>
    <cellStyle name="Normal 57 5 4 2 4 2 3" xfId="14554"/>
    <cellStyle name="Normal 57 5 4 2 4 2 4" xfId="9297"/>
    <cellStyle name="Normal 57 5 4 2 4 3" xfId="10751"/>
    <cellStyle name="Normal 57 5 4 2 4 3 2" xfId="19578"/>
    <cellStyle name="Normal 57 5 4 2 4 4" xfId="12197"/>
    <cellStyle name="Normal 57 5 4 2 4 5" xfId="7192"/>
    <cellStyle name="Normal 57 5 4 2 5" xfId="2176"/>
    <cellStyle name="Normal 57 5 4 2 5 2" xfId="17090"/>
    <cellStyle name="Normal 57 5 4 2 5 3" xfId="13511"/>
    <cellStyle name="Normal 57 5 4 2 5 4" xfId="8254"/>
    <cellStyle name="Normal 57 5 4 2 6" xfId="5815"/>
    <cellStyle name="Normal 57 5 4 2 6 2" xfId="14901"/>
    <cellStyle name="Normal 57 5 4 2 7" xfId="9708"/>
    <cellStyle name="Normal 57 5 4 2 7 2" xfId="18535"/>
    <cellStyle name="Normal 57 5 4 2 8" xfId="11152"/>
    <cellStyle name="Normal 57 5 4 2 9" xfId="4786"/>
    <cellStyle name="Normal 57 5 4 2_Degree data" xfId="1731"/>
    <cellStyle name="Normal 57 5 4 3" xfId="756"/>
    <cellStyle name="Normal 57 5 4 3 2" xfId="2485"/>
    <cellStyle name="Normal 57 5 4 3 2 2" xfId="16001"/>
    <cellStyle name="Normal 57 5 4 3 2 3" xfId="12481"/>
    <cellStyle name="Normal 57 5 4 3 2 4" xfId="6987"/>
    <cellStyle name="Normal 57 5 4 3 3" xfId="3753"/>
    <cellStyle name="Normal 57 5 4 3 3 2" xfId="17399"/>
    <cellStyle name="Normal 57 5 4 3 3 3" xfId="13820"/>
    <cellStyle name="Normal 57 5 4 3 3 4" xfId="8563"/>
    <cellStyle name="Normal 57 5 4 3 4" xfId="6103"/>
    <cellStyle name="Normal 57 5 4 3 4 2" xfId="15187"/>
    <cellStyle name="Normal 57 5 4 3 5" xfId="10017"/>
    <cellStyle name="Normal 57 5 4 3 5 2" xfId="18844"/>
    <cellStyle name="Normal 57 5 4 3 6" xfId="11462"/>
    <cellStyle name="Normal 57 5 4 3 7" xfId="4581"/>
    <cellStyle name="Normal 57 5 4 4" xfId="1113"/>
    <cellStyle name="Normal 57 5 4 4 2" xfId="2833"/>
    <cellStyle name="Normal 57 5 4 4 2 2" xfId="16374"/>
    <cellStyle name="Normal 57 5 4 4 2 3" xfId="12796"/>
    <cellStyle name="Normal 57 5 4 4 2 4" xfId="7506"/>
    <cellStyle name="Normal 57 5 4 4 3" xfId="4102"/>
    <cellStyle name="Normal 57 5 4 4 3 2" xfId="17747"/>
    <cellStyle name="Normal 57 5 4 4 3 3" xfId="14168"/>
    <cellStyle name="Normal 57 5 4 4 3 4" xfId="8911"/>
    <cellStyle name="Normal 57 5 4 4 4" xfId="6622"/>
    <cellStyle name="Normal 57 5 4 4 4 2" xfId="15706"/>
    <cellStyle name="Normal 57 5 4 4 5" xfId="10365"/>
    <cellStyle name="Normal 57 5 4 4 5 2" xfId="19192"/>
    <cellStyle name="Normal 57 5 4 4 6" xfId="11811"/>
    <cellStyle name="Normal 57 5 4 4 7" xfId="5100"/>
    <cellStyle name="Normal 57 5 4 5" xfId="1409"/>
    <cellStyle name="Normal 57 5 4 5 2" xfId="3014"/>
    <cellStyle name="Normal 57 5 4 5 2 2" xfId="16564"/>
    <cellStyle name="Normal 57 5 4 5 2 3" xfId="12985"/>
    <cellStyle name="Normal 57 5 4 5 2 4" xfId="7696"/>
    <cellStyle name="Normal 57 5 4 5 3" xfId="4223"/>
    <cellStyle name="Normal 57 5 4 5 3 2" xfId="17928"/>
    <cellStyle name="Normal 57 5 4 5 3 3" xfId="14349"/>
    <cellStyle name="Normal 57 5 4 5 3 4" xfId="9092"/>
    <cellStyle name="Normal 57 5 4 5 4" xfId="5989"/>
    <cellStyle name="Normal 57 5 4 5 4 2" xfId="15075"/>
    <cellStyle name="Normal 57 5 4 5 5" xfId="10546"/>
    <cellStyle name="Normal 57 5 4 5 5 2" xfId="19373"/>
    <cellStyle name="Normal 57 5 4 5 6" xfId="11992"/>
    <cellStyle name="Normal 57 5 4 5 7" xfId="5290"/>
    <cellStyle name="Normal 57 5 4 6" xfId="1971"/>
    <cellStyle name="Normal 57 5 4 6 2" xfId="15918"/>
    <cellStyle name="Normal 57 5 4 6 3" xfId="12368"/>
    <cellStyle name="Normal 57 5 4 6 4" xfId="6875"/>
    <cellStyle name="Normal 57 5 4 7" xfId="3386"/>
    <cellStyle name="Normal 57 5 4 7 2" xfId="16885"/>
    <cellStyle name="Normal 57 5 4 7 3" xfId="13306"/>
    <cellStyle name="Normal 57 5 4 7 4" xfId="8049"/>
    <cellStyle name="Normal 57 5 4 8" xfId="5610"/>
    <cellStyle name="Normal 57 5 4 8 2" xfId="14696"/>
    <cellStyle name="Normal 57 5 4 9" xfId="9503"/>
    <cellStyle name="Normal 57 5 4 9 2" xfId="18330"/>
    <cellStyle name="Normal 57 5 4_Degree data" xfId="1730"/>
    <cellStyle name="Normal 57 5 5" xfId="301"/>
    <cellStyle name="Normal 57 5 5 2" xfId="758"/>
    <cellStyle name="Normal 57 5 5 2 2" xfId="2487"/>
    <cellStyle name="Normal 57 5 5 2 2 2" xfId="16376"/>
    <cellStyle name="Normal 57 5 5 2 2 3" xfId="12798"/>
    <cellStyle name="Normal 57 5 5 2 2 4" xfId="7508"/>
    <cellStyle name="Normal 57 5 5 2 3" xfId="3755"/>
    <cellStyle name="Normal 57 5 5 2 3 2" xfId="17401"/>
    <cellStyle name="Normal 57 5 5 2 3 3" xfId="13822"/>
    <cellStyle name="Normal 57 5 5 2 3 4" xfId="8565"/>
    <cellStyle name="Normal 57 5 5 2 4" xfId="6624"/>
    <cellStyle name="Normal 57 5 5 2 4 2" xfId="15708"/>
    <cellStyle name="Normal 57 5 5 2 5" xfId="10019"/>
    <cellStyle name="Normal 57 5 5 2 5 2" xfId="18846"/>
    <cellStyle name="Normal 57 5 5 2 6" xfId="11464"/>
    <cellStyle name="Normal 57 5 5 2 7" xfId="5102"/>
    <cellStyle name="Normal 57 5 5 3" xfId="1115"/>
    <cellStyle name="Normal 57 5 5 3 2" xfId="2835"/>
    <cellStyle name="Normal 57 5 5 3 2 2" xfId="16664"/>
    <cellStyle name="Normal 57 5 5 3 2 3" xfId="13085"/>
    <cellStyle name="Normal 57 5 5 3 2 4" xfId="7796"/>
    <cellStyle name="Normal 57 5 5 3 3" xfId="4104"/>
    <cellStyle name="Normal 57 5 5 3 3 2" xfId="17749"/>
    <cellStyle name="Normal 57 5 5 3 3 3" xfId="14170"/>
    <cellStyle name="Normal 57 5 5 3 3 4" xfId="8913"/>
    <cellStyle name="Normal 57 5 5 3 4" xfId="6203"/>
    <cellStyle name="Normal 57 5 5 3 4 2" xfId="15287"/>
    <cellStyle name="Normal 57 5 5 3 5" xfId="10367"/>
    <cellStyle name="Normal 57 5 5 3 5 2" xfId="19194"/>
    <cellStyle name="Normal 57 5 5 3 6" xfId="11813"/>
    <cellStyle name="Normal 57 5 5 3 7" xfId="5390"/>
    <cellStyle name="Normal 57 5 5 4" xfId="1515"/>
    <cellStyle name="Normal 57 5 5 4 2" xfId="3114"/>
    <cellStyle name="Normal 57 5 5 4 2 2" xfId="18028"/>
    <cellStyle name="Normal 57 5 5 4 2 3" xfId="14449"/>
    <cellStyle name="Normal 57 5 5 4 2 4" xfId="9192"/>
    <cellStyle name="Normal 57 5 5 4 3" xfId="10646"/>
    <cellStyle name="Normal 57 5 5 4 3 2" xfId="19473"/>
    <cellStyle name="Normal 57 5 5 4 4" xfId="12092"/>
    <cellStyle name="Normal 57 5 5 4 5" xfId="7087"/>
    <cellStyle name="Normal 57 5 5 5" xfId="2071"/>
    <cellStyle name="Normal 57 5 5 5 2" xfId="16985"/>
    <cellStyle name="Normal 57 5 5 5 3" xfId="13406"/>
    <cellStyle name="Normal 57 5 5 5 4" xfId="8149"/>
    <cellStyle name="Normal 57 5 5 6" xfId="5710"/>
    <cellStyle name="Normal 57 5 5 6 2" xfId="14796"/>
    <cellStyle name="Normal 57 5 5 7" xfId="9603"/>
    <cellStyle name="Normal 57 5 5 7 2" xfId="18430"/>
    <cellStyle name="Normal 57 5 5 8" xfId="11047"/>
    <cellStyle name="Normal 57 5 5 9" xfId="4681"/>
    <cellStyle name="Normal 57 5 5_Degree data" xfId="1732"/>
    <cellStyle name="Normal 57 5 6" xfId="497"/>
    <cellStyle name="Normal 57 5 6 2" xfId="759"/>
    <cellStyle name="Normal 57 5 6 2 2" xfId="2488"/>
    <cellStyle name="Normal 57 5 6 2 2 2" xfId="16377"/>
    <cellStyle name="Normal 57 5 6 2 2 3" xfId="12799"/>
    <cellStyle name="Normal 57 5 6 2 2 4" xfId="7509"/>
    <cellStyle name="Normal 57 5 6 2 3" xfId="3756"/>
    <cellStyle name="Normal 57 5 6 2 3 2" xfId="17402"/>
    <cellStyle name="Normal 57 5 6 2 3 3" xfId="13823"/>
    <cellStyle name="Normal 57 5 6 2 3 4" xfId="8566"/>
    <cellStyle name="Normal 57 5 6 2 4" xfId="6625"/>
    <cellStyle name="Normal 57 5 6 2 4 2" xfId="15709"/>
    <cellStyle name="Normal 57 5 6 2 5" xfId="10020"/>
    <cellStyle name="Normal 57 5 6 2 5 2" xfId="18847"/>
    <cellStyle name="Normal 57 5 6 2 6" xfId="11465"/>
    <cellStyle name="Normal 57 5 6 2 7" xfId="5103"/>
    <cellStyle name="Normal 57 5 6 3" xfId="1116"/>
    <cellStyle name="Normal 57 5 6 3 2" xfId="2836"/>
    <cellStyle name="Normal 57 5 6 3 2 2" xfId="16552"/>
    <cellStyle name="Normal 57 5 6 3 2 3" xfId="12973"/>
    <cellStyle name="Normal 57 5 6 3 2 4" xfId="7684"/>
    <cellStyle name="Normal 57 5 6 3 3" xfId="4105"/>
    <cellStyle name="Normal 57 5 6 3 3 2" xfId="17750"/>
    <cellStyle name="Normal 57 5 6 3 3 3" xfId="14171"/>
    <cellStyle name="Normal 57 5 6 3 3 4" xfId="8914"/>
    <cellStyle name="Normal 57 5 6 3 4" xfId="6755"/>
    <cellStyle name="Normal 57 5 6 3 4 2" xfId="15838"/>
    <cellStyle name="Normal 57 5 6 3 5" xfId="10368"/>
    <cellStyle name="Normal 57 5 6 3 5 2" xfId="19195"/>
    <cellStyle name="Normal 57 5 6 3 6" xfId="11814"/>
    <cellStyle name="Normal 57 5 6 3 7" xfId="5278"/>
    <cellStyle name="Normal 57 5 6 4" xfId="1393"/>
    <cellStyle name="Normal 57 5 6 4 2" xfId="3002"/>
    <cellStyle name="Normal 57 5 6 4 2 2" xfId="17916"/>
    <cellStyle name="Normal 57 5 6 4 2 3" xfId="14337"/>
    <cellStyle name="Normal 57 5 6 4 2 4" xfId="9080"/>
    <cellStyle name="Normal 57 5 6 4 3" xfId="10534"/>
    <cellStyle name="Normal 57 5 6 4 3 2" xfId="19361"/>
    <cellStyle name="Normal 57 5 6 4 4" xfId="11980"/>
    <cellStyle name="Normal 57 5 6 4 5" xfId="6975"/>
    <cellStyle name="Normal 57 5 6 5" xfId="1959"/>
    <cellStyle name="Normal 57 5 6 5 2" xfId="16871"/>
    <cellStyle name="Normal 57 5 6 5 3" xfId="13292"/>
    <cellStyle name="Normal 57 5 6 5 4" xfId="8035"/>
    <cellStyle name="Normal 57 5 6 6" xfId="6091"/>
    <cellStyle name="Normal 57 5 6 6 2" xfId="15175"/>
    <cellStyle name="Normal 57 5 6 7" xfId="9491"/>
    <cellStyle name="Normal 57 5 6 7 2" xfId="18318"/>
    <cellStyle name="Normal 57 5 6 8" xfId="10935"/>
    <cellStyle name="Normal 57 5 6 9" xfId="4569"/>
    <cellStyle name="Normal 57 5 6_Degree data" xfId="1733"/>
    <cellStyle name="Normal 57 5 7" xfId="750"/>
    <cellStyle name="Normal 57 5 7 2" xfId="2479"/>
    <cellStyle name="Normal 57 5 7 2 2" xfId="16368"/>
    <cellStyle name="Normal 57 5 7 2 3" xfId="12790"/>
    <cellStyle name="Normal 57 5 7 2 4" xfId="7500"/>
    <cellStyle name="Normal 57 5 7 3" xfId="3747"/>
    <cellStyle name="Normal 57 5 7 3 2" xfId="17393"/>
    <cellStyle name="Normal 57 5 7 3 3" xfId="13814"/>
    <cellStyle name="Normal 57 5 7 3 4" xfId="8557"/>
    <cellStyle name="Normal 57 5 7 4" xfId="6616"/>
    <cellStyle name="Normal 57 5 7 4 2" xfId="15700"/>
    <cellStyle name="Normal 57 5 7 5" xfId="10011"/>
    <cellStyle name="Normal 57 5 7 5 2" xfId="18838"/>
    <cellStyle name="Normal 57 5 7 6" xfId="11456"/>
    <cellStyle name="Normal 57 5 7 7" xfId="5094"/>
    <cellStyle name="Normal 57 5 8" xfId="1107"/>
    <cellStyle name="Normal 57 5 8 2" xfId="2827"/>
    <cellStyle name="Normal 57 5 8 2 2" xfId="16507"/>
    <cellStyle name="Normal 57 5 8 2 3" xfId="12929"/>
    <cellStyle name="Normal 57 5 8 2 4" xfId="7639"/>
    <cellStyle name="Normal 57 5 8 3" xfId="4096"/>
    <cellStyle name="Normal 57 5 8 3 2" xfId="17741"/>
    <cellStyle name="Normal 57 5 8 3 3" xfId="14162"/>
    <cellStyle name="Normal 57 5 8 3 4" xfId="8905"/>
    <cellStyle name="Normal 57 5 8 4" xfId="5883"/>
    <cellStyle name="Normal 57 5 8 4 2" xfId="14969"/>
    <cellStyle name="Normal 57 5 8 5" xfId="10359"/>
    <cellStyle name="Normal 57 5 8 5 2" xfId="19186"/>
    <cellStyle name="Normal 57 5 8 6" xfId="11805"/>
    <cellStyle name="Normal 57 5 8 7" xfId="5233"/>
    <cellStyle name="Normal 57 5 9" xfId="1344"/>
    <cellStyle name="Normal 57 5 9 2" xfId="2957"/>
    <cellStyle name="Normal 57 5 9 2 2" xfId="17871"/>
    <cellStyle name="Normal 57 5 9 2 3" xfId="14292"/>
    <cellStyle name="Normal 57 5 9 2 4" xfId="9035"/>
    <cellStyle name="Normal 57 5 9 3" xfId="10489"/>
    <cellStyle name="Normal 57 5 9 3 2" xfId="19316"/>
    <cellStyle name="Normal 57 5 9 4" xfId="11935"/>
    <cellStyle name="Normal 57 5 9 5" xfId="6769"/>
    <cellStyle name="Normal 57 5_Degree data" xfId="1724"/>
    <cellStyle name="Normal 57 6" xfId="145"/>
    <cellStyle name="Normal 57 6 10" xfId="5572"/>
    <cellStyle name="Normal 57 6 10 2" xfId="14658"/>
    <cellStyle name="Normal 57 6 11" xfId="9392"/>
    <cellStyle name="Normal 57 6 11 2" xfId="18219"/>
    <cellStyle name="Normal 57 6 12" xfId="10832"/>
    <cellStyle name="Normal 57 6 13" xfId="4382"/>
    <cellStyle name="Normal 57 6 2" xfId="257"/>
    <cellStyle name="Normal 57 6 2 10" xfId="11011"/>
    <cellStyle name="Normal 57 6 2 11" xfId="4428"/>
    <cellStyle name="Normal 57 6 2 2" xfId="365"/>
    <cellStyle name="Normal 57 6 2 2 2" xfId="762"/>
    <cellStyle name="Normal 57 6 2 2 2 2" xfId="2491"/>
    <cellStyle name="Normal 57 6 2 2 2 2 2" xfId="16380"/>
    <cellStyle name="Normal 57 6 2 2 2 2 3" xfId="12802"/>
    <cellStyle name="Normal 57 6 2 2 2 2 4" xfId="7512"/>
    <cellStyle name="Normal 57 6 2 2 2 3" xfId="3759"/>
    <cellStyle name="Normal 57 6 2 2 2 3 2" xfId="17405"/>
    <cellStyle name="Normal 57 6 2 2 2 3 3" xfId="13826"/>
    <cellStyle name="Normal 57 6 2 2 2 3 4" xfId="8569"/>
    <cellStyle name="Normal 57 6 2 2 2 4" xfId="6628"/>
    <cellStyle name="Normal 57 6 2 2 2 4 2" xfId="15712"/>
    <cellStyle name="Normal 57 6 2 2 2 5" xfId="10023"/>
    <cellStyle name="Normal 57 6 2 2 2 5 2" xfId="18850"/>
    <cellStyle name="Normal 57 6 2 2 2 6" xfId="11468"/>
    <cellStyle name="Normal 57 6 2 2 2 7" xfId="5106"/>
    <cellStyle name="Normal 57 6 2 2 3" xfId="1119"/>
    <cellStyle name="Normal 57 6 2 2 3 2" xfId="2839"/>
    <cellStyle name="Normal 57 6 2 2 3 2 2" xfId="16728"/>
    <cellStyle name="Normal 57 6 2 2 3 2 3" xfId="13149"/>
    <cellStyle name="Normal 57 6 2 2 3 2 4" xfId="7860"/>
    <cellStyle name="Normal 57 6 2 2 3 3" xfId="4108"/>
    <cellStyle name="Normal 57 6 2 2 3 3 2" xfId="17753"/>
    <cellStyle name="Normal 57 6 2 2 3 3 3" xfId="14174"/>
    <cellStyle name="Normal 57 6 2 2 3 3 4" xfId="8917"/>
    <cellStyle name="Normal 57 6 2 2 3 4" xfId="6267"/>
    <cellStyle name="Normal 57 6 2 2 3 4 2" xfId="15351"/>
    <cellStyle name="Normal 57 6 2 2 3 5" xfId="10371"/>
    <cellStyle name="Normal 57 6 2 2 3 5 2" xfId="19198"/>
    <cellStyle name="Normal 57 6 2 2 3 6" xfId="11817"/>
    <cellStyle name="Normal 57 6 2 2 3 7" xfId="5454"/>
    <cellStyle name="Normal 57 6 2 2 4" xfId="1580"/>
    <cellStyle name="Normal 57 6 2 2 4 2" xfId="3178"/>
    <cellStyle name="Normal 57 6 2 2 4 2 2" xfId="18092"/>
    <cellStyle name="Normal 57 6 2 2 4 2 3" xfId="14513"/>
    <cellStyle name="Normal 57 6 2 2 4 2 4" xfId="9256"/>
    <cellStyle name="Normal 57 6 2 2 4 3" xfId="10710"/>
    <cellStyle name="Normal 57 6 2 2 4 3 2" xfId="19537"/>
    <cellStyle name="Normal 57 6 2 2 4 4" xfId="12156"/>
    <cellStyle name="Normal 57 6 2 2 4 5" xfId="7151"/>
    <cellStyle name="Normal 57 6 2 2 5" xfId="2135"/>
    <cellStyle name="Normal 57 6 2 2 5 2" xfId="17049"/>
    <cellStyle name="Normal 57 6 2 2 5 3" xfId="13470"/>
    <cellStyle name="Normal 57 6 2 2 5 4" xfId="8213"/>
    <cellStyle name="Normal 57 6 2 2 6" xfId="5774"/>
    <cellStyle name="Normal 57 6 2 2 6 2" xfId="14860"/>
    <cellStyle name="Normal 57 6 2 2 7" xfId="9667"/>
    <cellStyle name="Normal 57 6 2 2 7 2" xfId="18494"/>
    <cellStyle name="Normal 57 6 2 2 8" xfId="11111"/>
    <cellStyle name="Normal 57 6 2 2 9" xfId="4745"/>
    <cellStyle name="Normal 57 6 2 2_Degree data" xfId="1736"/>
    <cellStyle name="Normal 57 6 2 3" xfId="761"/>
    <cellStyle name="Normal 57 6 2 3 2" xfId="2490"/>
    <cellStyle name="Normal 57 6 2 3 2 2" xfId="16065"/>
    <cellStyle name="Normal 57 6 2 3 2 3" xfId="12394"/>
    <cellStyle name="Normal 57 6 2 3 2 4" xfId="7051"/>
    <cellStyle name="Normal 57 6 2 3 3" xfId="3758"/>
    <cellStyle name="Normal 57 6 2 3 3 2" xfId="17404"/>
    <cellStyle name="Normal 57 6 2 3 3 3" xfId="13825"/>
    <cellStyle name="Normal 57 6 2 3 3 4" xfId="8568"/>
    <cellStyle name="Normal 57 6 2 3 4" xfId="6167"/>
    <cellStyle name="Normal 57 6 2 3 4 2" xfId="15251"/>
    <cellStyle name="Normal 57 6 2 3 5" xfId="10022"/>
    <cellStyle name="Normal 57 6 2 3 5 2" xfId="18849"/>
    <cellStyle name="Normal 57 6 2 3 6" xfId="11467"/>
    <cellStyle name="Normal 57 6 2 3 7" xfId="4645"/>
    <cellStyle name="Normal 57 6 2 4" xfId="1118"/>
    <cellStyle name="Normal 57 6 2 4 2" xfId="2838"/>
    <cellStyle name="Normal 57 6 2 4 2 2" xfId="16379"/>
    <cellStyle name="Normal 57 6 2 4 2 3" xfId="12801"/>
    <cellStyle name="Normal 57 6 2 4 2 4" xfId="7511"/>
    <cellStyle name="Normal 57 6 2 4 3" xfId="4107"/>
    <cellStyle name="Normal 57 6 2 4 3 2" xfId="17752"/>
    <cellStyle name="Normal 57 6 2 4 3 3" xfId="14173"/>
    <cellStyle name="Normal 57 6 2 4 3 4" xfId="8916"/>
    <cellStyle name="Normal 57 6 2 4 4" xfId="6627"/>
    <cellStyle name="Normal 57 6 2 4 4 2" xfId="15711"/>
    <cellStyle name="Normal 57 6 2 4 5" xfId="10370"/>
    <cellStyle name="Normal 57 6 2 4 5 2" xfId="19197"/>
    <cellStyle name="Normal 57 6 2 4 6" xfId="11816"/>
    <cellStyle name="Normal 57 6 2 4 7" xfId="5105"/>
    <cellStyle name="Normal 57 6 2 5" xfId="1478"/>
    <cellStyle name="Normal 57 6 2 5 2" xfId="3078"/>
    <cellStyle name="Normal 57 6 2 5 2 2" xfId="16628"/>
    <cellStyle name="Normal 57 6 2 5 2 3" xfId="13049"/>
    <cellStyle name="Normal 57 6 2 5 2 4" xfId="7760"/>
    <cellStyle name="Normal 57 6 2 5 3" xfId="4287"/>
    <cellStyle name="Normal 57 6 2 5 3 2" xfId="17992"/>
    <cellStyle name="Normal 57 6 2 5 3 3" xfId="14413"/>
    <cellStyle name="Normal 57 6 2 5 3 4" xfId="9156"/>
    <cellStyle name="Normal 57 6 2 5 4" xfId="5948"/>
    <cellStyle name="Normal 57 6 2 5 4 2" xfId="15034"/>
    <cellStyle name="Normal 57 6 2 5 5" xfId="10610"/>
    <cellStyle name="Normal 57 6 2 5 5 2" xfId="19437"/>
    <cellStyle name="Normal 57 6 2 5 6" xfId="12056"/>
    <cellStyle name="Normal 57 6 2 5 7" xfId="5354"/>
    <cellStyle name="Normal 57 6 2 6" xfId="2035"/>
    <cellStyle name="Normal 57 6 2 6 2" xfId="15877"/>
    <cellStyle name="Normal 57 6 2 6 3" xfId="12438"/>
    <cellStyle name="Normal 57 6 2 6 4" xfId="6834"/>
    <cellStyle name="Normal 57 6 2 7" xfId="3449"/>
    <cellStyle name="Normal 57 6 2 7 2" xfId="16949"/>
    <cellStyle name="Normal 57 6 2 7 3" xfId="13370"/>
    <cellStyle name="Normal 57 6 2 7 4" xfId="8113"/>
    <cellStyle name="Normal 57 6 2 8" xfId="5674"/>
    <cellStyle name="Normal 57 6 2 8 2" xfId="14760"/>
    <cellStyle name="Normal 57 6 2 9" xfId="9567"/>
    <cellStyle name="Normal 57 6 2 9 2" xfId="18394"/>
    <cellStyle name="Normal 57 6 2_Degree data" xfId="1735"/>
    <cellStyle name="Normal 57 6 3" xfId="208"/>
    <cellStyle name="Normal 57 6 3 10" xfId="10965"/>
    <cellStyle name="Normal 57 6 3 11" xfId="4487"/>
    <cellStyle name="Normal 57 6 3 2" xfId="425"/>
    <cellStyle name="Normal 57 6 3 2 2" xfId="764"/>
    <cellStyle name="Normal 57 6 3 2 2 2" xfId="2493"/>
    <cellStyle name="Normal 57 6 3 2 2 2 2" xfId="16382"/>
    <cellStyle name="Normal 57 6 3 2 2 2 3" xfId="12804"/>
    <cellStyle name="Normal 57 6 3 2 2 2 4" xfId="7514"/>
    <cellStyle name="Normal 57 6 3 2 2 3" xfId="3761"/>
    <cellStyle name="Normal 57 6 3 2 2 3 2" xfId="17407"/>
    <cellStyle name="Normal 57 6 3 2 2 3 3" xfId="13828"/>
    <cellStyle name="Normal 57 6 3 2 2 3 4" xfId="8571"/>
    <cellStyle name="Normal 57 6 3 2 2 4" xfId="6630"/>
    <cellStyle name="Normal 57 6 3 2 2 4 2" xfId="15714"/>
    <cellStyle name="Normal 57 6 3 2 2 5" xfId="10025"/>
    <cellStyle name="Normal 57 6 3 2 2 5 2" xfId="18852"/>
    <cellStyle name="Normal 57 6 3 2 2 6" xfId="11470"/>
    <cellStyle name="Normal 57 6 3 2 2 7" xfId="5108"/>
    <cellStyle name="Normal 57 6 3 2 3" xfId="1121"/>
    <cellStyle name="Normal 57 6 3 2 3 2" xfId="2841"/>
    <cellStyle name="Normal 57 6 3 2 3 2 2" xfId="16787"/>
    <cellStyle name="Normal 57 6 3 2 3 2 3" xfId="13208"/>
    <cellStyle name="Normal 57 6 3 2 3 2 4" xfId="7919"/>
    <cellStyle name="Normal 57 6 3 2 3 3" xfId="4110"/>
    <cellStyle name="Normal 57 6 3 2 3 3 2" xfId="17755"/>
    <cellStyle name="Normal 57 6 3 2 3 3 3" xfId="14176"/>
    <cellStyle name="Normal 57 6 3 2 3 3 4" xfId="8919"/>
    <cellStyle name="Normal 57 6 3 2 3 4" xfId="6326"/>
    <cellStyle name="Normal 57 6 3 2 3 4 2" xfId="15410"/>
    <cellStyle name="Normal 57 6 3 2 3 5" xfId="10373"/>
    <cellStyle name="Normal 57 6 3 2 3 5 2" xfId="19200"/>
    <cellStyle name="Normal 57 6 3 2 3 6" xfId="11819"/>
    <cellStyle name="Normal 57 6 3 2 3 7" xfId="5513"/>
    <cellStyle name="Normal 57 6 3 2 4" xfId="1641"/>
    <cellStyle name="Normal 57 6 3 2 4 2" xfId="3237"/>
    <cellStyle name="Normal 57 6 3 2 4 2 2" xfId="18151"/>
    <cellStyle name="Normal 57 6 3 2 4 2 3" xfId="14572"/>
    <cellStyle name="Normal 57 6 3 2 4 2 4" xfId="9315"/>
    <cellStyle name="Normal 57 6 3 2 4 3" xfId="10769"/>
    <cellStyle name="Normal 57 6 3 2 4 3 2" xfId="19596"/>
    <cellStyle name="Normal 57 6 3 2 4 4" xfId="12215"/>
    <cellStyle name="Normal 57 6 3 2 4 5" xfId="7210"/>
    <cellStyle name="Normal 57 6 3 2 5" xfId="2194"/>
    <cellStyle name="Normal 57 6 3 2 5 2" xfId="17108"/>
    <cellStyle name="Normal 57 6 3 2 5 3" xfId="13529"/>
    <cellStyle name="Normal 57 6 3 2 5 4" xfId="8272"/>
    <cellStyle name="Normal 57 6 3 2 6" xfId="5833"/>
    <cellStyle name="Normal 57 6 3 2 6 2" xfId="14919"/>
    <cellStyle name="Normal 57 6 3 2 7" xfId="9726"/>
    <cellStyle name="Normal 57 6 3 2 7 2" xfId="18553"/>
    <cellStyle name="Normal 57 6 3 2 8" xfId="11170"/>
    <cellStyle name="Normal 57 6 3 2 9" xfId="4804"/>
    <cellStyle name="Normal 57 6 3 2_Degree data" xfId="1738"/>
    <cellStyle name="Normal 57 6 3 3" xfId="763"/>
    <cellStyle name="Normal 57 6 3 3 2" xfId="2492"/>
    <cellStyle name="Normal 57 6 3 3 2 2" xfId="16019"/>
    <cellStyle name="Normal 57 6 3 3 2 3" xfId="12406"/>
    <cellStyle name="Normal 57 6 3 3 2 4" xfId="7005"/>
    <cellStyle name="Normal 57 6 3 3 3" xfId="3760"/>
    <cellStyle name="Normal 57 6 3 3 3 2" xfId="17406"/>
    <cellStyle name="Normal 57 6 3 3 3 3" xfId="13827"/>
    <cellStyle name="Normal 57 6 3 3 3 4" xfId="8570"/>
    <cellStyle name="Normal 57 6 3 3 4" xfId="6121"/>
    <cellStyle name="Normal 57 6 3 3 4 2" xfId="15205"/>
    <cellStyle name="Normal 57 6 3 3 5" xfId="10024"/>
    <cellStyle name="Normal 57 6 3 3 5 2" xfId="18851"/>
    <cellStyle name="Normal 57 6 3 3 6" xfId="11469"/>
    <cellStyle name="Normal 57 6 3 3 7" xfId="4599"/>
    <cellStyle name="Normal 57 6 3 4" xfId="1120"/>
    <cellStyle name="Normal 57 6 3 4 2" xfId="2840"/>
    <cellStyle name="Normal 57 6 3 4 2 2" xfId="16381"/>
    <cellStyle name="Normal 57 6 3 4 2 3" xfId="12803"/>
    <cellStyle name="Normal 57 6 3 4 2 4" xfId="7513"/>
    <cellStyle name="Normal 57 6 3 4 3" xfId="4109"/>
    <cellStyle name="Normal 57 6 3 4 3 2" xfId="17754"/>
    <cellStyle name="Normal 57 6 3 4 3 3" xfId="14175"/>
    <cellStyle name="Normal 57 6 3 4 3 4" xfId="8918"/>
    <cellStyle name="Normal 57 6 3 4 4" xfId="6629"/>
    <cellStyle name="Normal 57 6 3 4 4 2" xfId="15713"/>
    <cellStyle name="Normal 57 6 3 4 5" xfId="10372"/>
    <cellStyle name="Normal 57 6 3 4 5 2" xfId="19199"/>
    <cellStyle name="Normal 57 6 3 4 6" xfId="11818"/>
    <cellStyle name="Normal 57 6 3 4 7" xfId="5107"/>
    <cellStyle name="Normal 57 6 3 5" xfId="1427"/>
    <cellStyle name="Normal 57 6 3 5 2" xfId="3032"/>
    <cellStyle name="Normal 57 6 3 5 2 2" xfId="16582"/>
    <cellStyle name="Normal 57 6 3 5 2 3" xfId="13003"/>
    <cellStyle name="Normal 57 6 3 5 2 4" xfId="7714"/>
    <cellStyle name="Normal 57 6 3 5 3" xfId="4241"/>
    <cellStyle name="Normal 57 6 3 5 3 2" xfId="17946"/>
    <cellStyle name="Normal 57 6 3 5 3 3" xfId="14367"/>
    <cellStyle name="Normal 57 6 3 5 3 4" xfId="9110"/>
    <cellStyle name="Normal 57 6 3 5 4" xfId="6007"/>
    <cellStyle name="Normal 57 6 3 5 4 2" xfId="15093"/>
    <cellStyle name="Normal 57 6 3 5 5" xfId="10564"/>
    <cellStyle name="Normal 57 6 3 5 5 2" xfId="19391"/>
    <cellStyle name="Normal 57 6 3 5 6" xfId="12010"/>
    <cellStyle name="Normal 57 6 3 5 7" xfId="5308"/>
    <cellStyle name="Normal 57 6 3 6" xfId="1989"/>
    <cellStyle name="Normal 57 6 3 6 2" xfId="15936"/>
    <cellStyle name="Normal 57 6 3 6 3" xfId="12426"/>
    <cellStyle name="Normal 57 6 3 6 4" xfId="6893"/>
    <cellStyle name="Normal 57 6 3 7" xfId="3404"/>
    <cellStyle name="Normal 57 6 3 7 2" xfId="16903"/>
    <cellStyle name="Normal 57 6 3 7 3" xfId="13324"/>
    <cellStyle name="Normal 57 6 3 7 4" xfId="8067"/>
    <cellStyle name="Normal 57 6 3 8" xfId="5628"/>
    <cellStyle name="Normal 57 6 3 8 2" xfId="14714"/>
    <cellStyle name="Normal 57 6 3 9" xfId="9521"/>
    <cellStyle name="Normal 57 6 3 9 2" xfId="18348"/>
    <cellStyle name="Normal 57 6 3_Degree data" xfId="1737"/>
    <cellStyle name="Normal 57 6 4" xfId="319"/>
    <cellStyle name="Normal 57 6 4 2" xfId="765"/>
    <cellStyle name="Normal 57 6 4 2 2" xfId="2494"/>
    <cellStyle name="Normal 57 6 4 2 2 2" xfId="16383"/>
    <cellStyle name="Normal 57 6 4 2 2 3" xfId="12805"/>
    <cellStyle name="Normal 57 6 4 2 2 4" xfId="7515"/>
    <cellStyle name="Normal 57 6 4 2 3" xfId="3762"/>
    <cellStyle name="Normal 57 6 4 2 3 2" xfId="17408"/>
    <cellStyle name="Normal 57 6 4 2 3 3" xfId="13829"/>
    <cellStyle name="Normal 57 6 4 2 3 4" xfId="8572"/>
    <cellStyle name="Normal 57 6 4 2 4" xfId="6631"/>
    <cellStyle name="Normal 57 6 4 2 4 2" xfId="15715"/>
    <cellStyle name="Normal 57 6 4 2 5" xfId="10026"/>
    <cellStyle name="Normal 57 6 4 2 5 2" xfId="18853"/>
    <cellStyle name="Normal 57 6 4 2 6" xfId="11471"/>
    <cellStyle name="Normal 57 6 4 2 7" xfId="5109"/>
    <cellStyle name="Normal 57 6 4 3" xfId="1122"/>
    <cellStyle name="Normal 57 6 4 3 2" xfId="2842"/>
    <cellStyle name="Normal 57 6 4 3 2 2" xfId="16682"/>
    <cellStyle name="Normal 57 6 4 3 2 3" xfId="13103"/>
    <cellStyle name="Normal 57 6 4 3 2 4" xfId="7814"/>
    <cellStyle name="Normal 57 6 4 3 3" xfId="4111"/>
    <cellStyle name="Normal 57 6 4 3 3 2" xfId="17756"/>
    <cellStyle name="Normal 57 6 4 3 3 3" xfId="14177"/>
    <cellStyle name="Normal 57 6 4 3 3 4" xfId="8920"/>
    <cellStyle name="Normal 57 6 4 3 4" xfId="6221"/>
    <cellStyle name="Normal 57 6 4 3 4 2" xfId="15305"/>
    <cellStyle name="Normal 57 6 4 3 5" xfId="10374"/>
    <cellStyle name="Normal 57 6 4 3 5 2" xfId="19201"/>
    <cellStyle name="Normal 57 6 4 3 6" xfId="11820"/>
    <cellStyle name="Normal 57 6 4 3 7" xfId="5408"/>
    <cellStyle name="Normal 57 6 4 4" xfId="1533"/>
    <cellStyle name="Normal 57 6 4 4 2" xfId="3132"/>
    <cellStyle name="Normal 57 6 4 4 2 2" xfId="18046"/>
    <cellStyle name="Normal 57 6 4 4 2 3" xfId="14467"/>
    <cellStyle name="Normal 57 6 4 4 2 4" xfId="9210"/>
    <cellStyle name="Normal 57 6 4 4 3" xfId="10664"/>
    <cellStyle name="Normal 57 6 4 4 3 2" xfId="19491"/>
    <cellStyle name="Normal 57 6 4 4 4" xfId="12110"/>
    <cellStyle name="Normal 57 6 4 4 5" xfId="7105"/>
    <cellStyle name="Normal 57 6 4 5" xfId="2089"/>
    <cellStyle name="Normal 57 6 4 5 2" xfId="17003"/>
    <cellStyle name="Normal 57 6 4 5 3" xfId="13424"/>
    <cellStyle name="Normal 57 6 4 5 4" xfId="8167"/>
    <cellStyle name="Normal 57 6 4 6" xfId="5728"/>
    <cellStyle name="Normal 57 6 4 6 2" xfId="14814"/>
    <cellStyle name="Normal 57 6 4 7" xfId="9621"/>
    <cellStyle name="Normal 57 6 4 7 2" xfId="18448"/>
    <cellStyle name="Normal 57 6 4 8" xfId="11065"/>
    <cellStyle name="Normal 57 6 4 9" xfId="4699"/>
    <cellStyle name="Normal 57 6 4_Degree data" xfId="1739"/>
    <cellStyle name="Normal 57 6 5" xfId="760"/>
    <cellStyle name="Normal 57 6 5 2" xfId="2489"/>
    <cellStyle name="Normal 57 6 5 2 2" xfId="15979"/>
    <cellStyle name="Normal 57 6 5 2 3" xfId="12315"/>
    <cellStyle name="Normal 57 6 5 2 4" xfId="6949"/>
    <cellStyle name="Normal 57 6 5 3" xfId="3757"/>
    <cellStyle name="Normal 57 6 5 3 2" xfId="17403"/>
    <cellStyle name="Normal 57 6 5 3 3" xfId="13824"/>
    <cellStyle name="Normal 57 6 5 3 4" xfId="8567"/>
    <cellStyle name="Normal 57 6 5 4" xfId="6065"/>
    <cellStyle name="Normal 57 6 5 4 2" xfId="15149"/>
    <cellStyle name="Normal 57 6 5 5" xfId="10021"/>
    <cellStyle name="Normal 57 6 5 5 2" xfId="18848"/>
    <cellStyle name="Normal 57 6 5 6" xfId="11466"/>
    <cellStyle name="Normal 57 6 5 7" xfId="4543"/>
    <cellStyle name="Normal 57 6 6" xfId="1117"/>
    <cellStyle name="Normal 57 6 6 2" xfId="2837"/>
    <cellStyle name="Normal 57 6 6 2 2" xfId="16378"/>
    <cellStyle name="Normal 57 6 6 2 3" xfId="12800"/>
    <cellStyle name="Normal 57 6 6 2 4" xfId="7510"/>
    <cellStyle name="Normal 57 6 6 3" xfId="4106"/>
    <cellStyle name="Normal 57 6 6 3 2" xfId="17751"/>
    <cellStyle name="Normal 57 6 6 3 3" xfId="14172"/>
    <cellStyle name="Normal 57 6 6 3 4" xfId="8915"/>
    <cellStyle name="Normal 57 6 6 4" xfId="6626"/>
    <cellStyle name="Normal 57 6 6 4 2" xfId="15710"/>
    <cellStyle name="Normal 57 6 6 5" xfId="10369"/>
    <cellStyle name="Normal 57 6 6 5 2" xfId="19196"/>
    <cellStyle name="Normal 57 6 6 6" xfId="11815"/>
    <cellStyle name="Normal 57 6 6 7" xfId="5104"/>
    <cellStyle name="Normal 57 6 7" xfId="1365"/>
    <cellStyle name="Normal 57 6 7 2" xfId="2976"/>
    <cellStyle name="Normal 57 6 7 2 2" xfId="16526"/>
    <cellStyle name="Normal 57 6 7 2 3" xfId="12948"/>
    <cellStyle name="Normal 57 6 7 2 4" xfId="7658"/>
    <cellStyle name="Normal 57 6 7 3" xfId="4202"/>
    <cellStyle name="Normal 57 6 7 3 2" xfId="17890"/>
    <cellStyle name="Normal 57 6 7 3 3" xfId="14311"/>
    <cellStyle name="Normal 57 6 7 3 4" xfId="9054"/>
    <cellStyle name="Normal 57 6 7 4" xfId="5901"/>
    <cellStyle name="Normal 57 6 7 4 2" xfId="14987"/>
    <cellStyle name="Normal 57 6 7 5" xfId="10508"/>
    <cellStyle name="Normal 57 6 7 5 2" xfId="19335"/>
    <cellStyle name="Normal 57 6 7 6" xfId="11954"/>
    <cellStyle name="Normal 57 6 7 7" xfId="5252"/>
    <cellStyle name="Normal 57 6 8" xfId="1933"/>
    <cellStyle name="Normal 57 6 8 2" xfId="9465"/>
    <cellStyle name="Normal 57 6 8 2 2" xfId="18292"/>
    <cellStyle name="Normal 57 6 8 3" xfId="10909"/>
    <cellStyle name="Normal 57 6 8 4" xfId="6788"/>
    <cellStyle name="Normal 57 6 9" xfId="1857"/>
    <cellStyle name="Normal 57 6 9 2" xfId="16845"/>
    <cellStyle name="Normal 57 6 9 3" xfId="13266"/>
    <cellStyle name="Normal 57 6 9 4" xfId="8009"/>
    <cellStyle name="Normal 57 6_Degree data" xfId="1734"/>
    <cellStyle name="Normal 57 7" xfId="214"/>
    <cellStyle name="Normal 57 7 10" xfId="9524"/>
    <cellStyle name="Normal 57 7 10 2" xfId="18351"/>
    <cellStyle name="Normal 57 7 11" xfId="10968"/>
    <cellStyle name="Normal 57 7 12" xfId="4385"/>
    <cellStyle name="Normal 57 7 2" xfId="428"/>
    <cellStyle name="Normal 57 7 2 10" xfId="4490"/>
    <cellStyle name="Normal 57 7 2 2" xfId="767"/>
    <cellStyle name="Normal 57 7 2 2 2" xfId="2496"/>
    <cellStyle name="Normal 57 7 2 2 2 2" xfId="16100"/>
    <cellStyle name="Normal 57 7 2 2 2 3" xfId="12522"/>
    <cellStyle name="Normal 57 7 2 2 2 4" xfId="7213"/>
    <cellStyle name="Normal 57 7 2 2 3" xfId="3764"/>
    <cellStyle name="Normal 57 7 2 2 3 2" xfId="17410"/>
    <cellStyle name="Normal 57 7 2 2 3 3" xfId="13831"/>
    <cellStyle name="Normal 57 7 2 2 3 4" xfId="8574"/>
    <cellStyle name="Normal 57 7 2 2 4" xfId="6329"/>
    <cellStyle name="Normal 57 7 2 2 4 2" xfId="15413"/>
    <cellStyle name="Normal 57 7 2 2 5" xfId="10028"/>
    <cellStyle name="Normal 57 7 2 2 5 2" xfId="18855"/>
    <cellStyle name="Normal 57 7 2 2 6" xfId="11473"/>
    <cellStyle name="Normal 57 7 2 2 7" xfId="4807"/>
    <cellStyle name="Normal 57 7 2 3" xfId="1124"/>
    <cellStyle name="Normal 57 7 2 3 2" xfId="2844"/>
    <cellStyle name="Normal 57 7 2 3 2 2" xfId="16385"/>
    <cellStyle name="Normal 57 7 2 3 2 3" xfId="12807"/>
    <cellStyle name="Normal 57 7 2 3 2 4" xfId="7517"/>
    <cellStyle name="Normal 57 7 2 3 3" xfId="4113"/>
    <cellStyle name="Normal 57 7 2 3 3 2" xfId="17758"/>
    <cellStyle name="Normal 57 7 2 3 3 3" xfId="14179"/>
    <cellStyle name="Normal 57 7 2 3 3 4" xfId="8922"/>
    <cellStyle name="Normal 57 7 2 3 4" xfId="6633"/>
    <cellStyle name="Normal 57 7 2 3 4 2" xfId="15717"/>
    <cellStyle name="Normal 57 7 2 3 5" xfId="10376"/>
    <cellStyle name="Normal 57 7 2 3 5 2" xfId="19203"/>
    <cellStyle name="Normal 57 7 2 3 6" xfId="11822"/>
    <cellStyle name="Normal 57 7 2 3 7" xfId="5111"/>
    <cellStyle name="Normal 57 7 2 4" xfId="1644"/>
    <cellStyle name="Normal 57 7 2 4 2" xfId="3240"/>
    <cellStyle name="Normal 57 7 2 4 2 2" xfId="16790"/>
    <cellStyle name="Normal 57 7 2 4 2 3" xfId="13211"/>
    <cellStyle name="Normal 57 7 2 4 2 4" xfId="7922"/>
    <cellStyle name="Normal 57 7 2 4 3" xfId="4322"/>
    <cellStyle name="Normal 57 7 2 4 3 2" xfId="18154"/>
    <cellStyle name="Normal 57 7 2 4 3 3" xfId="14575"/>
    <cellStyle name="Normal 57 7 2 4 3 4" xfId="9318"/>
    <cellStyle name="Normal 57 7 2 4 4" xfId="6010"/>
    <cellStyle name="Normal 57 7 2 4 4 2" xfId="15096"/>
    <cellStyle name="Normal 57 7 2 4 5" xfId="10772"/>
    <cellStyle name="Normal 57 7 2 4 5 2" xfId="19599"/>
    <cellStyle name="Normal 57 7 2 4 6" xfId="12218"/>
    <cellStyle name="Normal 57 7 2 4 7" xfId="5516"/>
    <cellStyle name="Normal 57 7 2 5" xfId="2197"/>
    <cellStyle name="Normal 57 7 2 5 2" xfId="15939"/>
    <cellStyle name="Normal 57 7 2 5 3" xfId="12509"/>
    <cellStyle name="Normal 57 7 2 5 4" xfId="6896"/>
    <cellStyle name="Normal 57 7 2 6" xfId="3484"/>
    <cellStyle name="Normal 57 7 2 6 2" xfId="17111"/>
    <cellStyle name="Normal 57 7 2 6 3" xfId="13532"/>
    <cellStyle name="Normal 57 7 2 6 4" xfId="8275"/>
    <cellStyle name="Normal 57 7 2 7" xfId="5836"/>
    <cellStyle name="Normal 57 7 2 7 2" xfId="14922"/>
    <cellStyle name="Normal 57 7 2 8" xfId="9729"/>
    <cellStyle name="Normal 57 7 2 8 2" xfId="18556"/>
    <cellStyle name="Normal 57 7 2 9" xfId="11173"/>
    <cellStyle name="Normal 57 7 2_Degree data" xfId="1741"/>
    <cellStyle name="Normal 57 7 3" xfId="322"/>
    <cellStyle name="Normal 57 7 3 2" xfId="768"/>
    <cellStyle name="Normal 57 7 3 2 2" xfId="2497"/>
    <cellStyle name="Normal 57 7 3 2 2 2" xfId="16386"/>
    <cellStyle name="Normal 57 7 3 2 2 3" xfId="12808"/>
    <cellStyle name="Normal 57 7 3 2 2 4" xfId="7518"/>
    <cellStyle name="Normal 57 7 3 2 3" xfId="3765"/>
    <cellStyle name="Normal 57 7 3 2 3 2" xfId="17411"/>
    <cellStyle name="Normal 57 7 3 2 3 3" xfId="13832"/>
    <cellStyle name="Normal 57 7 3 2 3 4" xfId="8575"/>
    <cellStyle name="Normal 57 7 3 2 4" xfId="6634"/>
    <cellStyle name="Normal 57 7 3 2 4 2" xfId="15718"/>
    <cellStyle name="Normal 57 7 3 2 5" xfId="10029"/>
    <cellStyle name="Normal 57 7 3 2 5 2" xfId="18856"/>
    <cellStyle name="Normal 57 7 3 2 6" xfId="11474"/>
    <cellStyle name="Normal 57 7 3 2 7" xfId="5112"/>
    <cellStyle name="Normal 57 7 3 3" xfId="1125"/>
    <cellStyle name="Normal 57 7 3 3 2" xfId="2845"/>
    <cellStyle name="Normal 57 7 3 3 2 2" xfId="16685"/>
    <cellStyle name="Normal 57 7 3 3 2 3" xfId="13106"/>
    <cellStyle name="Normal 57 7 3 3 2 4" xfId="7817"/>
    <cellStyle name="Normal 57 7 3 3 3" xfId="4114"/>
    <cellStyle name="Normal 57 7 3 3 3 2" xfId="17759"/>
    <cellStyle name="Normal 57 7 3 3 3 3" xfId="14180"/>
    <cellStyle name="Normal 57 7 3 3 3 4" xfId="8923"/>
    <cellStyle name="Normal 57 7 3 3 4" xfId="6224"/>
    <cellStyle name="Normal 57 7 3 3 4 2" xfId="15308"/>
    <cellStyle name="Normal 57 7 3 3 5" xfId="10377"/>
    <cellStyle name="Normal 57 7 3 3 5 2" xfId="19204"/>
    <cellStyle name="Normal 57 7 3 3 6" xfId="11823"/>
    <cellStyle name="Normal 57 7 3 3 7" xfId="5411"/>
    <cellStyle name="Normal 57 7 3 4" xfId="1536"/>
    <cellStyle name="Normal 57 7 3 4 2" xfId="3135"/>
    <cellStyle name="Normal 57 7 3 4 2 2" xfId="18049"/>
    <cellStyle name="Normal 57 7 3 4 2 3" xfId="14470"/>
    <cellStyle name="Normal 57 7 3 4 2 4" xfId="9213"/>
    <cellStyle name="Normal 57 7 3 4 3" xfId="10667"/>
    <cellStyle name="Normal 57 7 3 4 3 2" xfId="19494"/>
    <cellStyle name="Normal 57 7 3 4 4" xfId="12113"/>
    <cellStyle name="Normal 57 7 3 4 5" xfId="7108"/>
    <cellStyle name="Normal 57 7 3 5" xfId="2092"/>
    <cellStyle name="Normal 57 7 3 5 2" xfId="17006"/>
    <cellStyle name="Normal 57 7 3 5 3" xfId="13427"/>
    <cellStyle name="Normal 57 7 3 5 4" xfId="8170"/>
    <cellStyle name="Normal 57 7 3 6" xfId="5731"/>
    <cellStyle name="Normal 57 7 3 6 2" xfId="14817"/>
    <cellStyle name="Normal 57 7 3 7" xfId="9624"/>
    <cellStyle name="Normal 57 7 3 7 2" xfId="18451"/>
    <cellStyle name="Normal 57 7 3 8" xfId="11068"/>
    <cellStyle name="Normal 57 7 3 9" xfId="4702"/>
    <cellStyle name="Normal 57 7 3_Degree data" xfId="1742"/>
    <cellStyle name="Normal 57 7 4" xfId="766"/>
    <cellStyle name="Normal 57 7 4 2" xfId="2495"/>
    <cellStyle name="Normal 57 7 4 2 2" xfId="16022"/>
    <cellStyle name="Normal 57 7 4 2 3" xfId="12493"/>
    <cellStyle name="Normal 57 7 4 2 4" xfId="7008"/>
    <cellStyle name="Normal 57 7 4 3" xfId="3763"/>
    <cellStyle name="Normal 57 7 4 3 2" xfId="17409"/>
    <cellStyle name="Normal 57 7 4 3 3" xfId="13830"/>
    <cellStyle name="Normal 57 7 4 3 4" xfId="8573"/>
    <cellStyle name="Normal 57 7 4 4" xfId="6124"/>
    <cellStyle name="Normal 57 7 4 4 2" xfId="15208"/>
    <cellStyle name="Normal 57 7 4 5" xfId="10027"/>
    <cellStyle name="Normal 57 7 4 5 2" xfId="18854"/>
    <cellStyle name="Normal 57 7 4 6" xfId="11472"/>
    <cellStyle name="Normal 57 7 4 7" xfId="4602"/>
    <cellStyle name="Normal 57 7 5" xfId="1123"/>
    <cellStyle name="Normal 57 7 5 2" xfId="2843"/>
    <cellStyle name="Normal 57 7 5 2 2" xfId="16384"/>
    <cellStyle name="Normal 57 7 5 2 3" xfId="12806"/>
    <cellStyle name="Normal 57 7 5 2 4" xfId="7516"/>
    <cellStyle name="Normal 57 7 5 3" xfId="4112"/>
    <cellStyle name="Normal 57 7 5 3 2" xfId="17757"/>
    <cellStyle name="Normal 57 7 5 3 3" xfId="14178"/>
    <cellStyle name="Normal 57 7 5 3 4" xfId="8921"/>
    <cellStyle name="Normal 57 7 5 4" xfId="6632"/>
    <cellStyle name="Normal 57 7 5 4 2" xfId="15716"/>
    <cellStyle name="Normal 57 7 5 5" xfId="10375"/>
    <cellStyle name="Normal 57 7 5 5 2" xfId="19202"/>
    <cellStyle name="Normal 57 7 5 6" xfId="11821"/>
    <cellStyle name="Normal 57 7 5 7" xfId="5110"/>
    <cellStyle name="Normal 57 7 6" xfId="1433"/>
    <cellStyle name="Normal 57 7 6 2" xfId="3035"/>
    <cellStyle name="Normal 57 7 6 2 2" xfId="16585"/>
    <cellStyle name="Normal 57 7 6 2 3" xfId="13006"/>
    <cellStyle name="Normal 57 7 6 2 4" xfId="7717"/>
    <cellStyle name="Normal 57 7 6 3" xfId="4244"/>
    <cellStyle name="Normal 57 7 6 3 2" xfId="17949"/>
    <cellStyle name="Normal 57 7 6 3 3" xfId="14370"/>
    <cellStyle name="Normal 57 7 6 3 4" xfId="9113"/>
    <cellStyle name="Normal 57 7 6 4" xfId="5904"/>
    <cellStyle name="Normal 57 7 6 4 2" xfId="14990"/>
    <cellStyle name="Normal 57 7 6 5" xfId="10567"/>
    <cellStyle name="Normal 57 7 6 5 2" xfId="19394"/>
    <cellStyle name="Normal 57 7 6 6" xfId="12013"/>
    <cellStyle name="Normal 57 7 6 7" xfId="5311"/>
    <cellStyle name="Normal 57 7 7" xfId="1992"/>
    <cellStyle name="Normal 57 7 7 2" xfId="15849"/>
    <cellStyle name="Normal 57 7 7 3" xfId="12269"/>
    <cellStyle name="Normal 57 7 7 4" xfId="6791"/>
    <cellStyle name="Normal 57 7 8" xfId="3407"/>
    <cellStyle name="Normal 57 7 8 2" xfId="16906"/>
    <cellStyle name="Normal 57 7 8 3" xfId="13327"/>
    <cellStyle name="Normal 57 7 8 4" xfId="8070"/>
    <cellStyle name="Normal 57 7 9" xfId="5631"/>
    <cellStyle name="Normal 57 7 9 2" xfId="14717"/>
    <cellStyle name="Normal 57 7_Degree data" xfId="1740"/>
    <cellStyle name="Normal 57 8" xfId="244"/>
    <cellStyle name="Normal 57 8 10" xfId="10998"/>
    <cellStyle name="Normal 57 8 11" xfId="4415"/>
    <cellStyle name="Normal 57 8 2" xfId="352"/>
    <cellStyle name="Normal 57 8 2 2" xfId="770"/>
    <cellStyle name="Normal 57 8 2 2 2" xfId="2499"/>
    <cellStyle name="Normal 57 8 2 2 2 2" xfId="16388"/>
    <cellStyle name="Normal 57 8 2 2 2 3" xfId="12810"/>
    <cellStyle name="Normal 57 8 2 2 2 4" xfId="7520"/>
    <cellStyle name="Normal 57 8 2 2 3" xfId="3767"/>
    <cellStyle name="Normal 57 8 2 2 3 2" xfId="17413"/>
    <cellStyle name="Normal 57 8 2 2 3 3" xfId="13834"/>
    <cellStyle name="Normal 57 8 2 2 3 4" xfId="8577"/>
    <cellStyle name="Normal 57 8 2 2 4" xfId="6636"/>
    <cellStyle name="Normal 57 8 2 2 4 2" xfId="15720"/>
    <cellStyle name="Normal 57 8 2 2 5" xfId="10031"/>
    <cellStyle name="Normal 57 8 2 2 5 2" xfId="18858"/>
    <cellStyle name="Normal 57 8 2 2 6" xfId="11476"/>
    <cellStyle name="Normal 57 8 2 2 7" xfId="5114"/>
    <cellStyle name="Normal 57 8 2 3" xfId="1127"/>
    <cellStyle name="Normal 57 8 2 3 2" xfId="2847"/>
    <cellStyle name="Normal 57 8 2 3 2 2" xfId="16715"/>
    <cellStyle name="Normal 57 8 2 3 2 3" xfId="13136"/>
    <cellStyle name="Normal 57 8 2 3 2 4" xfId="7847"/>
    <cellStyle name="Normal 57 8 2 3 3" xfId="4116"/>
    <cellStyle name="Normal 57 8 2 3 3 2" xfId="17761"/>
    <cellStyle name="Normal 57 8 2 3 3 3" xfId="14182"/>
    <cellStyle name="Normal 57 8 2 3 3 4" xfId="8925"/>
    <cellStyle name="Normal 57 8 2 3 4" xfId="6254"/>
    <cellStyle name="Normal 57 8 2 3 4 2" xfId="15338"/>
    <cellStyle name="Normal 57 8 2 3 5" xfId="10379"/>
    <cellStyle name="Normal 57 8 2 3 5 2" xfId="19206"/>
    <cellStyle name="Normal 57 8 2 3 6" xfId="11825"/>
    <cellStyle name="Normal 57 8 2 3 7" xfId="5441"/>
    <cellStyle name="Normal 57 8 2 4" xfId="1567"/>
    <cellStyle name="Normal 57 8 2 4 2" xfId="3165"/>
    <cellStyle name="Normal 57 8 2 4 2 2" xfId="18079"/>
    <cellStyle name="Normal 57 8 2 4 2 3" xfId="14500"/>
    <cellStyle name="Normal 57 8 2 4 2 4" xfId="9243"/>
    <cellStyle name="Normal 57 8 2 4 3" xfId="10697"/>
    <cellStyle name="Normal 57 8 2 4 3 2" xfId="19524"/>
    <cellStyle name="Normal 57 8 2 4 4" xfId="12143"/>
    <cellStyle name="Normal 57 8 2 4 5" xfId="7138"/>
    <cellStyle name="Normal 57 8 2 5" xfId="2122"/>
    <cellStyle name="Normal 57 8 2 5 2" xfId="17036"/>
    <cellStyle name="Normal 57 8 2 5 3" xfId="13457"/>
    <cellStyle name="Normal 57 8 2 5 4" xfId="8200"/>
    <cellStyle name="Normal 57 8 2 6" xfId="5761"/>
    <cellStyle name="Normal 57 8 2 6 2" xfId="14847"/>
    <cellStyle name="Normal 57 8 2 7" xfId="9654"/>
    <cellStyle name="Normal 57 8 2 7 2" xfId="18481"/>
    <cellStyle name="Normal 57 8 2 8" xfId="11098"/>
    <cellStyle name="Normal 57 8 2 9" xfId="4732"/>
    <cellStyle name="Normal 57 8 2_Degree data" xfId="1744"/>
    <cellStyle name="Normal 57 8 3" xfId="769"/>
    <cellStyle name="Normal 57 8 3 2" xfId="2498"/>
    <cellStyle name="Normal 57 8 3 2 2" xfId="16052"/>
    <cellStyle name="Normal 57 8 3 2 3" xfId="12318"/>
    <cellStyle name="Normal 57 8 3 2 4" xfId="7038"/>
    <cellStyle name="Normal 57 8 3 3" xfId="3766"/>
    <cellStyle name="Normal 57 8 3 3 2" xfId="17412"/>
    <cellStyle name="Normal 57 8 3 3 3" xfId="13833"/>
    <cellStyle name="Normal 57 8 3 3 4" xfId="8576"/>
    <cellStyle name="Normal 57 8 3 4" xfId="6154"/>
    <cellStyle name="Normal 57 8 3 4 2" xfId="15238"/>
    <cellStyle name="Normal 57 8 3 5" xfId="10030"/>
    <cellStyle name="Normal 57 8 3 5 2" xfId="18857"/>
    <cellStyle name="Normal 57 8 3 6" xfId="11475"/>
    <cellStyle name="Normal 57 8 3 7" xfId="4632"/>
    <cellStyle name="Normal 57 8 4" xfId="1126"/>
    <cellStyle name="Normal 57 8 4 2" xfId="2846"/>
    <cellStyle name="Normal 57 8 4 2 2" xfId="16387"/>
    <cellStyle name="Normal 57 8 4 2 3" xfId="12809"/>
    <cellStyle name="Normal 57 8 4 2 4" xfId="7519"/>
    <cellStyle name="Normal 57 8 4 3" xfId="4115"/>
    <cellStyle name="Normal 57 8 4 3 2" xfId="17760"/>
    <cellStyle name="Normal 57 8 4 3 3" xfId="14181"/>
    <cellStyle name="Normal 57 8 4 3 4" xfId="8924"/>
    <cellStyle name="Normal 57 8 4 4" xfId="6635"/>
    <cellStyle name="Normal 57 8 4 4 2" xfId="15719"/>
    <cellStyle name="Normal 57 8 4 5" xfId="10378"/>
    <cellStyle name="Normal 57 8 4 5 2" xfId="19205"/>
    <cellStyle name="Normal 57 8 4 6" xfId="11824"/>
    <cellStyle name="Normal 57 8 4 7" xfId="5113"/>
    <cellStyle name="Normal 57 8 5" xfId="1465"/>
    <cellStyle name="Normal 57 8 5 2" xfId="3065"/>
    <cellStyle name="Normal 57 8 5 2 2" xfId="16615"/>
    <cellStyle name="Normal 57 8 5 2 3" xfId="13036"/>
    <cellStyle name="Normal 57 8 5 2 4" xfId="7747"/>
    <cellStyle name="Normal 57 8 5 3" xfId="4274"/>
    <cellStyle name="Normal 57 8 5 3 2" xfId="17979"/>
    <cellStyle name="Normal 57 8 5 3 3" xfId="14400"/>
    <cellStyle name="Normal 57 8 5 3 4" xfId="9143"/>
    <cellStyle name="Normal 57 8 5 4" xfId="5935"/>
    <cellStyle name="Normal 57 8 5 4 2" xfId="15021"/>
    <cellStyle name="Normal 57 8 5 5" xfId="10597"/>
    <cellStyle name="Normal 57 8 5 5 2" xfId="19424"/>
    <cellStyle name="Normal 57 8 5 6" xfId="12043"/>
    <cellStyle name="Normal 57 8 5 7" xfId="5341"/>
    <cellStyle name="Normal 57 8 6" xfId="2022"/>
    <cellStyle name="Normal 57 8 6 2" xfId="15864"/>
    <cellStyle name="Normal 57 8 6 3" xfId="12448"/>
    <cellStyle name="Normal 57 8 6 4" xfId="6821"/>
    <cellStyle name="Normal 57 8 7" xfId="3436"/>
    <cellStyle name="Normal 57 8 7 2" xfId="16936"/>
    <cellStyle name="Normal 57 8 7 3" xfId="13357"/>
    <cellStyle name="Normal 57 8 7 4" xfId="8100"/>
    <cellStyle name="Normal 57 8 8" xfId="5661"/>
    <cellStyle name="Normal 57 8 8 2" xfId="14747"/>
    <cellStyle name="Normal 57 8 9" xfId="9554"/>
    <cellStyle name="Normal 57 8 9 2" xfId="18381"/>
    <cellStyle name="Normal 57 8_Degree data" xfId="1743"/>
    <cellStyle name="Normal 57 9" xfId="184"/>
    <cellStyle name="Normal 57 9 10" xfId="10941"/>
    <cellStyle name="Normal 57 9 11" xfId="4463"/>
    <cellStyle name="Normal 57 9 2" xfId="401"/>
    <cellStyle name="Normal 57 9 2 2" xfId="772"/>
    <cellStyle name="Normal 57 9 2 2 2" xfId="2501"/>
    <cellStyle name="Normal 57 9 2 2 2 2" xfId="16390"/>
    <cellStyle name="Normal 57 9 2 2 2 3" xfId="12812"/>
    <cellStyle name="Normal 57 9 2 2 2 4" xfId="7522"/>
    <cellStyle name="Normal 57 9 2 2 3" xfId="3769"/>
    <cellStyle name="Normal 57 9 2 2 3 2" xfId="17415"/>
    <cellStyle name="Normal 57 9 2 2 3 3" xfId="13836"/>
    <cellStyle name="Normal 57 9 2 2 3 4" xfId="8579"/>
    <cellStyle name="Normal 57 9 2 2 4" xfId="6638"/>
    <cellStyle name="Normal 57 9 2 2 4 2" xfId="15722"/>
    <cellStyle name="Normal 57 9 2 2 5" xfId="10033"/>
    <cellStyle name="Normal 57 9 2 2 5 2" xfId="18860"/>
    <cellStyle name="Normal 57 9 2 2 6" xfId="11478"/>
    <cellStyle name="Normal 57 9 2 2 7" xfId="5116"/>
    <cellStyle name="Normal 57 9 2 3" xfId="1129"/>
    <cellStyle name="Normal 57 9 2 3 2" xfId="2849"/>
    <cellStyle name="Normal 57 9 2 3 2 2" xfId="16763"/>
    <cellStyle name="Normal 57 9 2 3 2 3" xfId="13184"/>
    <cellStyle name="Normal 57 9 2 3 2 4" xfId="7895"/>
    <cellStyle name="Normal 57 9 2 3 3" xfId="4118"/>
    <cellStyle name="Normal 57 9 2 3 3 2" xfId="17763"/>
    <cellStyle name="Normal 57 9 2 3 3 3" xfId="14184"/>
    <cellStyle name="Normal 57 9 2 3 3 4" xfId="8927"/>
    <cellStyle name="Normal 57 9 2 3 4" xfId="6302"/>
    <cellStyle name="Normal 57 9 2 3 4 2" xfId="15386"/>
    <cellStyle name="Normal 57 9 2 3 5" xfId="10381"/>
    <cellStyle name="Normal 57 9 2 3 5 2" xfId="19208"/>
    <cellStyle name="Normal 57 9 2 3 6" xfId="11827"/>
    <cellStyle name="Normal 57 9 2 3 7" xfId="5489"/>
    <cellStyle name="Normal 57 9 2 4" xfId="1617"/>
    <cellStyle name="Normal 57 9 2 4 2" xfId="3213"/>
    <cellStyle name="Normal 57 9 2 4 2 2" xfId="18127"/>
    <cellStyle name="Normal 57 9 2 4 2 3" xfId="14548"/>
    <cellStyle name="Normal 57 9 2 4 2 4" xfId="9291"/>
    <cellStyle name="Normal 57 9 2 4 3" xfId="10745"/>
    <cellStyle name="Normal 57 9 2 4 3 2" xfId="19572"/>
    <cellStyle name="Normal 57 9 2 4 4" xfId="12191"/>
    <cellStyle name="Normal 57 9 2 4 5" xfId="7186"/>
    <cellStyle name="Normal 57 9 2 5" xfId="2170"/>
    <cellStyle name="Normal 57 9 2 5 2" xfId="17084"/>
    <cellStyle name="Normal 57 9 2 5 3" xfId="13505"/>
    <cellStyle name="Normal 57 9 2 5 4" xfId="8248"/>
    <cellStyle name="Normal 57 9 2 6" xfId="5809"/>
    <cellStyle name="Normal 57 9 2 6 2" xfId="14895"/>
    <cellStyle name="Normal 57 9 2 7" xfId="9702"/>
    <cellStyle name="Normal 57 9 2 7 2" xfId="18529"/>
    <cellStyle name="Normal 57 9 2 8" xfId="11146"/>
    <cellStyle name="Normal 57 9 2 9" xfId="4780"/>
    <cellStyle name="Normal 57 9 2_Degree data" xfId="1746"/>
    <cellStyle name="Normal 57 9 3" xfId="771"/>
    <cellStyle name="Normal 57 9 3 2" xfId="2500"/>
    <cellStyle name="Normal 57 9 3 2 2" xfId="15995"/>
    <cellStyle name="Normal 57 9 3 2 3" xfId="12348"/>
    <cellStyle name="Normal 57 9 3 2 4" xfId="6981"/>
    <cellStyle name="Normal 57 9 3 3" xfId="3768"/>
    <cellStyle name="Normal 57 9 3 3 2" xfId="17414"/>
    <cellStyle name="Normal 57 9 3 3 3" xfId="13835"/>
    <cellStyle name="Normal 57 9 3 3 4" xfId="8578"/>
    <cellStyle name="Normal 57 9 3 4" xfId="6097"/>
    <cellStyle name="Normal 57 9 3 4 2" xfId="15181"/>
    <cellStyle name="Normal 57 9 3 5" xfId="10032"/>
    <cellStyle name="Normal 57 9 3 5 2" xfId="18859"/>
    <cellStyle name="Normal 57 9 3 6" xfId="11477"/>
    <cellStyle name="Normal 57 9 3 7" xfId="4575"/>
    <cellStyle name="Normal 57 9 4" xfId="1128"/>
    <cellStyle name="Normal 57 9 4 2" xfId="2848"/>
    <cellStyle name="Normal 57 9 4 2 2" xfId="16389"/>
    <cellStyle name="Normal 57 9 4 2 3" xfId="12811"/>
    <cellStyle name="Normal 57 9 4 2 4" xfId="7521"/>
    <cellStyle name="Normal 57 9 4 3" xfId="4117"/>
    <cellStyle name="Normal 57 9 4 3 2" xfId="17762"/>
    <cellStyle name="Normal 57 9 4 3 3" xfId="14183"/>
    <cellStyle name="Normal 57 9 4 3 4" xfId="8926"/>
    <cellStyle name="Normal 57 9 4 4" xfId="6637"/>
    <cellStyle name="Normal 57 9 4 4 2" xfId="15721"/>
    <cellStyle name="Normal 57 9 4 5" xfId="10380"/>
    <cellStyle name="Normal 57 9 4 5 2" xfId="19207"/>
    <cellStyle name="Normal 57 9 4 6" xfId="11826"/>
    <cellStyle name="Normal 57 9 4 7" xfId="5115"/>
    <cellStyle name="Normal 57 9 5" xfId="1403"/>
    <cellStyle name="Normal 57 9 5 2" xfId="3008"/>
    <cellStyle name="Normal 57 9 5 2 2" xfId="16558"/>
    <cellStyle name="Normal 57 9 5 2 3" xfId="12979"/>
    <cellStyle name="Normal 57 9 5 2 4" xfId="7690"/>
    <cellStyle name="Normal 57 9 5 3" xfId="4217"/>
    <cellStyle name="Normal 57 9 5 3 2" xfId="17922"/>
    <cellStyle name="Normal 57 9 5 3 3" xfId="14343"/>
    <cellStyle name="Normal 57 9 5 3 4" xfId="9086"/>
    <cellStyle name="Normal 57 9 5 4" xfId="5983"/>
    <cellStyle name="Normal 57 9 5 4 2" xfId="15069"/>
    <cellStyle name="Normal 57 9 5 5" xfId="10540"/>
    <cellStyle name="Normal 57 9 5 5 2" xfId="19367"/>
    <cellStyle name="Normal 57 9 5 6" xfId="11986"/>
    <cellStyle name="Normal 57 9 5 7" xfId="5284"/>
    <cellStyle name="Normal 57 9 6" xfId="1965"/>
    <cellStyle name="Normal 57 9 6 2" xfId="15912"/>
    <cellStyle name="Normal 57 9 6 3" xfId="12494"/>
    <cellStyle name="Normal 57 9 6 4" xfId="6869"/>
    <cellStyle name="Normal 57 9 7" xfId="3380"/>
    <cellStyle name="Normal 57 9 7 2" xfId="16879"/>
    <cellStyle name="Normal 57 9 7 3" xfId="13300"/>
    <cellStyle name="Normal 57 9 7 4" xfId="8043"/>
    <cellStyle name="Normal 57 9 8" xfId="5604"/>
    <cellStyle name="Normal 57 9 8 2" xfId="14690"/>
    <cellStyle name="Normal 57 9 9" xfId="9497"/>
    <cellStyle name="Normal 57 9 9 2" xfId="18324"/>
    <cellStyle name="Normal 57 9_Degree data" xfId="1745"/>
    <cellStyle name="Normal 57_Degree data" xfId="1689"/>
    <cellStyle name="Normal 58" xfId="38"/>
    <cellStyle name="Normal 58 10" xfId="296"/>
    <cellStyle name="Normal 58 10 2" xfId="774"/>
    <cellStyle name="Normal 58 10 2 2" xfId="2503"/>
    <cellStyle name="Normal 58 10 2 2 2" xfId="16392"/>
    <cellStyle name="Normal 58 10 2 2 3" xfId="12814"/>
    <cellStyle name="Normal 58 10 2 2 4" xfId="7524"/>
    <cellStyle name="Normal 58 10 2 3" xfId="3771"/>
    <cellStyle name="Normal 58 10 2 3 2" xfId="17417"/>
    <cellStyle name="Normal 58 10 2 3 3" xfId="13838"/>
    <cellStyle name="Normal 58 10 2 3 4" xfId="8581"/>
    <cellStyle name="Normal 58 10 2 4" xfId="6640"/>
    <cellStyle name="Normal 58 10 2 4 2" xfId="15724"/>
    <cellStyle name="Normal 58 10 2 5" xfId="10035"/>
    <cellStyle name="Normal 58 10 2 5 2" xfId="18862"/>
    <cellStyle name="Normal 58 10 2 6" xfId="11480"/>
    <cellStyle name="Normal 58 10 2 7" xfId="5118"/>
    <cellStyle name="Normal 58 10 3" xfId="1131"/>
    <cellStyle name="Normal 58 10 3 2" xfId="2851"/>
    <cellStyle name="Normal 58 10 3 2 2" xfId="16659"/>
    <cellStyle name="Normal 58 10 3 2 3" xfId="13080"/>
    <cellStyle name="Normal 58 10 3 2 4" xfId="7791"/>
    <cellStyle name="Normal 58 10 3 3" xfId="4120"/>
    <cellStyle name="Normal 58 10 3 3 2" xfId="17765"/>
    <cellStyle name="Normal 58 10 3 3 3" xfId="14186"/>
    <cellStyle name="Normal 58 10 3 3 4" xfId="8929"/>
    <cellStyle name="Normal 58 10 3 4" xfId="6198"/>
    <cellStyle name="Normal 58 10 3 4 2" xfId="15282"/>
    <cellStyle name="Normal 58 10 3 5" xfId="10383"/>
    <cellStyle name="Normal 58 10 3 5 2" xfId="19210"/>
    <cellStyle name="Normal 58 10 3 6" xfId="11829"/>
    <cellStyle name="Normal 58 10 3 7" xfId="5385"/>
    <cellStyle name="Normal 58 10 4" xfId="1510"/>
    <cellStyle name="Normal 58 10 4 2" xfId="3109"/>
    <cellStyle name="Normal 58 10 4 2 2" xfId="18023"/>
    <cellStyle name="Normal 58 10 4 2 3" xfId="14444"/>
    <cellStyle name="Normal 58 10 4 2 4" xfId="9187"/>
    <cellStyle name="Normal 58 10 4 3" xfId="10641"/>
    <cellStyle name="Normal 58 10 4 3 2" xfId="19468"/>
    <cellStyle name="Normal 58 10 4 4" xfId="12087"/>
    <cellStyle name="Normal 58 10 4 5" xfId="7082"/>
    <cellStyle name="Normal 58 10 5" xfId="2066"/>
    <cellStyle name="Normal 58 10 5 2" xfId="16980"/>
    <cellStyle name="Normal 58 10 5 3" xfId="13401"/>
    <cellStyle name="Normal 58 10 5 4" xfId="8144"/>
    <cellStyle name="Normal 58 10 6" xfId="5705"/>
    <cellStyle name="Normal 58 10 6 2" xfId="14791"/>
    <cellStyle name="Normal 58 10 7" xfId="9598"/>
    <cellStyle name="Normal 58 10 7 2" xfId="18425"/>
    <cellStyle name="Normal 58 10 8" xfId="11042"/>
    <cellStyle name="Normal 58 10 9" xfId="4676"/>
    <cellStyle name="Normal 58 10_Degree data" xfId="1748"/>
    <cellStyle name="Normal 58 11" xfId="476"/>
    <cellStyle name="Normal 58 11 2" xfId="775"/>
    <cellStyle name="Normal 58 11 2 2" xfId="2504"/>
    <cellStyle name="Normal 58 11 2 2 2" xfId="16393"/>
    <cellStyle name="Normal 58 11 2 2 3" xfId="12815"/>
    <cellStyle name="Normal 58 11 2 2 4" xfId="7525"/>
    <cellStyle name="Normal 58 11 2 3" xfId="3772"/>
    <cellStyle name="Normal 58 11 2 3 2" xfId="17418"/>
    <cellStyle name="Normal 58 11 2 3 3" xfId="13839"/>
    <cellStyle name="Normal 58 11 2 3 4" xfId="8582"/>
    <cellStyle name="Normal 58 11 2 4" xfId="6641"/>
    <cellStyle name="Normal 58 11 2 4 2" xfId="15725"/>
    <cellStyle name="Normal 58 11 2 5" xfId="10036"/>
    <cellStyle name="Normal 58 11 2 5 2" xfId="18863"/>
    <cellStyle name="Normal 58 11 2 6" xfId="11481"/>
    <cellStyle name="Normal 58 11 2 7" xfId="5119"/>
    <cellStyle name="Normal 58 11 3" xfId="1132"/>
    <cellStyle name="Normal 58 11 3 2" xfId="2852"/>
    <cellStyle name="Normal 58 11 3 2 2" xfId="16515"/>
    <cellStyle name="Normal 58 11 3 2 3" xfId="12937"/>
    <cellStyle name="Normal 58 11 3 2 4" xfId="7647"/>
    <cellStyle name="Normal 58 11 3 3" xfId="4121"/>
    <cellStyle name="Normal 58 11 3 3 2" xfId="17766"/>
    <cellStyle name="Normal 58 11 3 3 3" xfId="14187"/>
    <cellStyle name="Normal 58 11 3 3 4" xfId="8930"/>
    <cellStyle name="Normal 58 11 3 4" xfId="6756"/>
    <cellStyle name="Normal 58 11 3 4 2" xfId="15839"/>
    <cellStyle name="Normal 58 11 3 5" xfId="10384"/>
    <cellStyle name="Normal 58 11 3 5 2" xfId="19211"/>
    <cellStyle name="Normal 58 11 3 6" xfId="11830"/>
    <cellStyle name="Normal 58 11 3 7" xfId="5241"/>
    <cellStyle name="Normal 58 11 4" xfId="1352"/>
    <cellStyle name="Normal 58 11 4 2" xfId="2965"/>
    <cellStyle name="Normal 58 11 4 2 2" xfId="17879"/>
    <cellStyle name="Normal 58 11 4 2 3" xfId="14300"/>
    <cellStyle name="Normal 58 11 4 2 4" xfId="9043"/>
    <cellStyle name="Normal 58 11 4 3" xfId="10497"/>
    <cellStyle name="Normal 58 11 4 3 2" xfId="19324"/>
    <cellStyle name="Normal 58 11 4 4" xfId="11943"/>
    <cellStyle name="Normal 58 11 4 5" xfId="6938"/>
    <cellStyle name="Normal 58 11 5" xfId="1922"/>
    <cellStyle name="Normal 58 11 5 2" xfId="16834"/>
    <cellStyle name="Normal 58 11 5 3" xfId="13255"/>
    <cellStyle name="Normal 58 11 5 4" xfId="7998"/>
    <cellStyle name="Normal 58 11 6" xfId="6054"/>
    <cellStyle name="Normal 58 11 6 2" xfId="15138"/>
    <cellStyle name="Normal 58 11 7" xfId="9454"/>
    <cellStyle name="Normal 58 11 7 2" xfId="18281"/>
    <cellStyle name="Normal 58 11 8" xfId="10898"/>
    <cellStyle name="Normal 58 11 9" xfId="4532"/>
    <cellStyle name="Normal 58 11_Degree data" xfId="1749"/>
    <cellStyle name="Normal 58 12" xfId="773"/>
    <cellStyle name="Normal 58 12 2" xfId="2502"/>
    <cellStyle name="Normal 58 12 2 2" xfId="16391"/>
    <cellStyle name="Normal 58 12 2 3" xfId="12813"/>
    <cellStyle name="Normal 58 12 2 4" xfId="7523"/>
    <cellStyle name="Normal 58 12 3" xfId="3770"/>
    <cellStyle name="Normal 58 12 3 2" xfId="17416"/>
    <cellStyle name="Normal 58 12 3 3" xfId="13837"/>
    <cellStyle name="Normal 58 12 3 4" xfId="8580"/>
    <cellStyle name="Normal 58 12 4" xfId="6639"/>
    <cellStyle name="Normal 58 12 4 2" xfId="15723"/>
    <cellStyle name="Normal 58 12 5" xfId="10034"/>
    <cellStyle name="Normal 58 12 5 2" xfId="18861"/>
    <cellStyle name="Normal 58 12 6" xfId="11479"/>
    <cellStyle name="Normal 58 12 7" xfId="5117"/>
    <cellStyle name="Normal 58 13" xfId="1130"/>
    <cellStyle name="Normal 58 13 2" xfId="2850"/>
    <cellStyle name="Normal 58 13 2 2" xfId="16488"/>
    <cellStyle name="Normal 58 13 2 3" xfId="12910"/>
    <cellStyle name="Normal 58 13 2 4" xfId="7620"/>
    <cellStyle name="Normal 58 13 3" xfId="4119"/>
    <cellStyle name="Normal 58 13 3 2" xfId="17764"/>
    <cellStyle name="Normal 58 13 3 3" xfId="14185"/>
    <cellStyle name="Normal 58 13 3 4" xfId="8928"/>
    <cellStyle name="Normal 58 13 4" xfId="5878"/>
    <cellStyle name="Normal 58 13 4 2" xfId="14964"/>
    <cellStyle name="Normal 58 13 5" xfId="10382"/>
    <cellStyle name="Normal 58 13 5 2" xfId="19209"/>
    <cellStyle name="Normal 58 13 6" xfId="11828"/>
    <cellStyle name="Normal 58 13 7" xfId="5214"/>
    <cellStyle name="Normal 58 14" xfId="1284"/>
    <cellStyle name="Normal 58 14 2" xfId="2938"/>
    <cellStyle name="Normal 58 14 2 2" xfId="17852"/>
    <cellStyle name="Normal 58 14 2 3" xfId="14273"/>
    <cellStyle name="Normal 58 14 2 4" xfId="9016"/>
    <cellStyle name="Normal 58 14 3" xfId="10470"/>
    <cellStyle name="Normal 58 14 3 2" xfId="19297"/>
    <cellStyle name="Normal 58 14 4" xfId="11916"/>
    <cellStyle name="Normal 58 14 5" xfId="6764"/>
    <cellStyle name="Normal 58 15" xfId="1895"/>
    <cellStyle name="Normal 58 15 2" xfId="9427"/>
    <cellStyle name="Normal 58 15 2 2" xfId="18254"/>
    <cellStyle name="Normal 58 15 3" xfId="10871"/>
    <cellStyle name="Normal 58 15 4" xfId="7971"/>
    <cellStyle name="Normal 58 16" xfId="1852"/>
    <cellStyle name="Normal 58 16 2" xfId="14647"/>
    <cellStyle name="Normal 58 16 3" xfId="5561"/>
    <cellStyle name="Normal 58 17" xfId="9387"/>
    <cellStyle name="Normal 58 17 2" xfId="18214"/>
    <cellStyle name="Normal 58 18" xfId="10826"/>
    <cellStyle name="Normal 58 19" xfId="4359"/>
    <cellStyle name="Normal 58 2" xfId="37"/>
    <cellStyle name="Normal 58 3" xfId="132"/>
    <cellStyle name="Normal 58 3 10" xfId="1907"/>
    <cellStyle name="Normal 58 3 10 2" xfId="9439"/>
    <cellStyle name="Normal 58 3 10 2 2" xfId="18266"/>
    <cellStyle name="Normal 58 3 10 3" xfId="10883"/>
    <cellStyle name="Normal 58 3 10 4" xfId="7983"/>
    <cellStyle name="Normal 58 3 11" xfId="1877"/>
    <cellStyle name="Normal 58 3 11 2" xfId="14652"/>
    <cellStyle name="Normal 58 3 11 3" xfId="5566"/>
    <cellStyle name="Normal 58 3 12" xfId="9409"/>
    <cellStyle name="Normal 58 3 12 2" xfId="18236"/>
    <cellStyle name="Normal 58 3 13" xfId="10853"/>
    <cellStyle name="Normal 58 3 14" xfId="4372"/>
    <cellStyle name="Normal 58 3 2" xfId="161"/>
    <cellStyle name="Normal 58 3 2 10" xfId="5591"/>
    <cellStyle name="Normal 58 3 2 10 2" xfId="14677"/>
    <cellStyle name="Normal 58 3 2 11" xfId="9484"/>
    <cellStyle name="Normal 58 3 2 11 2" xfId="18311"/>
    <cellStyle name="Normal 58 3 2 12" xfId="10928"/>
    <cellStyle name="Normal 58 3 2 13" xfId="4402"/>
    <cellStyle name="Normal 58 3 2 2" xfId="231"/>
    <cellStyle name="Normal 58 3 2 2 10" xfId="10985"/>
    <cellStyle name="Normal 58 3 2 2 11" xfId="4506"/>
    <cellStyle name="Normal 58 3 2 2 2" xfId="444"/>
    <cellStyle name="Normal 58 3 2 2 2 2" xfId="779"/>
    <cellStyle name="Normal 58 3 2 2 2 2 2" xfId="2508"/>
    <cellStyle name="Normal 58 3 2 2 2 2 2 2" xfId="16397"/>
    <cellStyle name="Normal 58 3 2 2 2 2 2 3" xfId="12819"/>
    <cellStyle name="Normal 58 3 2 2 2 2 2 4" xfId="7529"/>
    <cellStyle name="Normal 58 3 2 2 2 2 3" xfId="3776"/>
    <cellStyle name="Normal 58 3 2 2 2 2 3 2" xfId="17422"/>
    <cellStyle name="Normal 58 3 2 2 2 2 3 3" xfId="13843"/>
    <cellStyle name="Normal 58 3 2 2 2 2 3 4" xfId="8586"/>
    <cellStyle name="Normal 58 3 2 2 2 2 4" xfId="6645"/>
    <cellStyle name="Normal 58 3 2 2 2 2 4 2" xfId="15729"/>
    <cellStyle name="Normal 58 3 2 2 2 2 5" xfId="10040"/>
    <cellStyle name="Normal 58 3 2 2 2 2 5 2" xfId="18867"/>
    <cellStyle name="Normal 58 3 2 2 2 2 6" xfId="11485"/>
    <cellStyle name="Normal 58 3 2 2 2 2 7" xfId="5123"/>
    <cellStyle name="Normal 58 3 2 2 2 3" xfId="1136"/>
    <cellStyle name="Normal 58 3 2 2 2 3 2" xfId="2856"/>
    <cellStyle name="Normal 58 3 2 2 2 3 2 2" xfId="16806"/>
    <cellStyle name="Normal 58 3 2 2 2 3 2 3" xfId="13227"/>
    <cellStyle name="Normal 58 3 2 2 2 3 2 4" xfId="7938"/>
    <cellStyle name="Normal 58 3 2 2 2 3 3" xfId="4125"/>
    <cellStyle name="Normal 58 3 2 2 2 3 3 2" xfId="17770"/>
    <cellStyle name="Normal 58 3 2 2 2 3 3 3" xfId="14191"/>
    <cellStyle name="Normal 58 3 2 2 2 3 3 4" xfId="8934"/>
    <cellStyle name="Normal 58 3 2 2 2 3 4" xfId="6345"/>
    <cellStyle name="Normal 58 3 2 2 2 3 4 2" xfId="15429"/>
    <cellStyle name="Normal 58 3 2 2 2 3 5" xfId="10388"/>
    <cellStyle name="Normal 58 3 2 2 2 3 5 2" xfId="19215"/>
    <cellStyle name="Normal 58 3 2 2 2 3 6" xfId="11834"/>
    <cellStyle name="Normal 58 3 2 2 2 3 7" xfId="5532"/>
    <cellStyle name="Normal 58 3 2 2 2 4" xfId="1660"/>
    <cellStyle name="Normal 58 3 2 2 2 4 2" xfId="3256"/>
    <cellStyle name="Normal 58 3 2 2 2 4 2 2" xfId="18170"/>
    <cellStyle name="Normal 58 3 2 2 2 4 2 3" xfId="14591"/>
    <cellStyle name="Normal 58 3 2 2 2 4 2 4" xfId="9334"/>
    <cellStyle name="Normal 58 3 2 2 2 4 3" xfId="10788"/>
    <cellStyle name="Normal 58 3 2 2 2 4 3 2" xfId="19615"/>
    <cellStyle name="Normal 58 3 2 2 2 4 4" xfId="12234"/>
    <cellStyle name="Normal 58 3 2 2 2 4 5" xfId="7229"/>
    <cellStyle name="Normal 58 3 2 2 2 5" xfId="2213"/>
    <cellStyle name="Normal 58 3 2 2 2 5 2" xfId="17127"/>
    <cellStyle name="Normal 58 3 2 2 2 5 3" xfId="13548"/>
    <cellStyle name="Normal 58 3 2 2 2 5 4" xfId="8291"/>
    <cellStyle name="Normal 58 3 2 2 2 6" xfId="5852"/>
    <cellStyle name="Normal 58 3 2 2 2 6 2" xfId="14938"/>
    <cellStyle name="Normal 58 3 2 2 2 7" xfId="9745"/>
    <cellStyle name="Normal 58 3 2 2 2 7 2" xfId="18572"/>
    <cellStyle name="Normal 58 3 2 2 2 8" xfId="11189"/>
    <cellStyle name="Normal 58 3 2 2 2 9" xfId="4823"/>
    <cellStyle name="Normal 58 3 2 2 2_Degree data" xfId="1753"/>
    <cellStyle name="Normal 58 3 2 2 3" xfId="778"/>
    <cellStyle name="Normal 58 3 2 2 3 2" xfId="2507"/>
    <cellStyle name="Normal 58 3 2 2 3 2 2" xfId="16039"/>
    <cellStyle name="Normal 58 3 2 2 3 2 3" xfId="12340"/>
    <cellStyle name="Normal 58 3 2 2 3 2 4" xfId="7025"/>
    <cellStyle name="Normal 58 3 2 2 3 3" xfId="3775"/>
    <cellStyle name="Normal 58 3 2 2 3 3 2" xfId="17421"/>
    <cellStyle name="Normal 58 3 2 2 3 3 3" xfId="13842"/>
    <cellStyle name="Normal 58 3 2 2 3 3 4" xfId="8585"/>
    <cellStyle name="Normal 58 3 2 2 3 4" xfId="6141"/>
    <cellStyle name="Normal 58 3 2 2 3 4 2" xfId="15225"/>
    <cellStyle name="Normal 58 3 2 2 3 5" xfId="10039"/>
    <cellStyle name="Normal 58 3 2 2 3 5 2" xfId="18866"/>
    <cellStyle name="Normal 58 3 2 2 3 6" xfId="11484"/>
    <cellStyle name="Normal 58 3 2 2 3 7" xfId="4619"/>
    <cellStyle name="Normal 58 3 2 2 4" xfId="1135"/>
    <cellStyle name="Normal 58 3 2 2 4 2" xfId="2855"/>
    <cellStyle name="Normal 58 3 2 2 4 2 2" xfId="16396"/>
    <cellStyle name="Normal 58 3 2 2 4 2 3" xfId="12818"/>
    <cellStyle name="Normal 58 3 2 2 4 2 4" xfId="7528"/>
    <cellStyle name="Normal 58 3 2 2 4 3" xfId="4124"/>
    <cellStyle name="Normal 58 3 2 2 4 3 2" xfId="17769"/>
    <cellStyle name="Normal 58 3 2 2 4 3 3" xfId="14190"/>
    <cellStyle name="Normal 58 3 2 2 4 3 4" xfId="8933"/>
    <cellStyle name="Normal 58 3 2 2 4 4" xfId="6644"/>
    <cellStyle name="Normal 58 3 2 2 4 4 2" xfId="15728"/>
    <cellStyle name="Normal 58 3 2 2 4 5" xfId="10387"/>
    <cellStyle name="Normal 58 3 2 2 4 5 2" xfId="19214"/>
    <cellStyle name="Normal 58 3 2 2 4 6" xfId="11833"/>
    <cellStyle name="Normal 58 3 2 2 4 7" xfId="5122"/>
    <cellStyle name="Normal 58 3 2 2 5" xfId="1451"/>
    <cellStyle name="Normal 58 3 2 2 5 2" xfId="3052"/>
    <cellStyle name="Normal 58 3 2 2 5 2 2" xfId="16602"/>
    <cellStyle name="Normal 58 3 2 2 5 2 3" xfId="13023"/>
    <cellStyle name="Normal 58 3 2 2 5 2 4" xfId="7734"/>
    <cellStyle name="Normal 58 3 2 2 5 3" xfId="4261"/>
    <cellStyle name="Normal 58 3 2 2 5 3 2" xfId="17966"/>
    <cellStyle name="Normal 58 3 2 2 5 3 3" xfId="14387"/>
    <cellStyle name="Normal 58 3 2 2 5 3 4" xfId="9130"/>
    <cellStyle name="Normal 58 3 2 2 5 4" xfId="6026"/>
    <cellStyle name="Normal 58 3 2 2 5 4 2" xfId="15112"/>
    <cellStyle name="Normal 58 3 2 2 5 5" xfId="10584"/>
    <cellStyle name="Normal 58 3 2 2 5 5 2" xfId="19411"/>
    <cellStyle name="Normal 58 3 2 2 5 6" xfId="12030"/>
    <cellStyle name="Normal 58 3 2 2 5 7" xfId="5328"/>
    <cellStyle name="Normal 58 3 2 2 6" xfId="2009"/>
    <cellStyle name="Normal 58 3 2 2 6 2" xfId="15955"/>
    <cellStyle name="Normal 58 3 2 2 6 3" xfId="12420"/>
    <cellStyle name="Normal 58 3 2 2 6 4" xfId="6912"/>
    <cellStyle name="Normal 58 3 2 2 7" xfId="3423"/>
    <cellStyle name="Normal 58 3 2 2 7 2" xfId="16923"/>
    <cellStyle name="Normal 58 3 2 2 7 3" xfId="13344"/>
    <cellStyle name="Normal 58 3 2 2 7 4" xfId="8087"/>
    <cellStyle name="Normal 58 3 2 2 8" xfId="5648"/>
    <cellStyle name="Normal 58 3 2 2 8 2" xfId="14734"/>
    <cellStyle name="Normal 58 3 2 2 9" xfId="9541"/>
    <cellStyle name="Normal 58 3 2 2 9 2" xfId="18368"/>
    <cellStyle name="Normal 58 3 2 2_Degree data" xfId="1752"/>
    <cellStyle name="Normal 58 3 2 3" xfId="400"/>
    <cellStyle name="Normal 58 3 2 3 10" xfId="4462"/>
    <cellStyle name="Normal 58 3 2 3 2" xfId="780"/>
    <cellStyle name="Normal 58 3 2 3 2 2" xfId="2509"/>
    <cellStyle name="Normal 58 3 2 3 2 2 2" xfId="16099"/>
    <cellStyle name="Normal 58 3 2 3 2 2 3" xfId="12324"/>
    <cellStyle name="Normal 58 3 2 3 2 2 4" xfId="7185"/>
    <cellStyle name="Normal 58 3 2 3 2 3" xfId="3777"/>
    <cellStyle name="Normal 58 3 2 3 2 3 2" xfId="17423"/>
    <cellStyle name="Normal 58 3 2 3 2 3 3" xfId="13844"/>
    <cellStyle name="Normal 58 3 2 3 2 3 4" xfId="8587"/>
    <cellStyle name="Normal 58 3 2 3 2 4" xfId="6301"/>
    <cellStyle name="Normal 58 3 2 3 2 4 2" xfId="15385"/>
    <cellStyle name="Normal 58 3 2 3 2 5" xfId="10041"/>
    <cellStyle name="Normal 58 3 2 3 2 5 2" xfId="18868"/>
    <cellStyle name="Normal 58 3 2 3 2 6" xfId="11486"/>
    <cellStyle name="Normal 58 3 2 3 2 7" xfId="4779"/>
    <cellStyle name="Normal 58 3 2 3 3" xfId="1137"/>
    <cellStyle name="Normal 58 3 2 3 3 2" xfId="2857"/>
    <cellStyle name="Normal 58 3 2 3 3 2 2" xfId="16398"/>
    <cellStyle name="Normal 58 3 2 3 3 2 3" xfId="12820"/>
    <cellStyle name="Normal 58 3 2 3 3 2 4" xfId="7530"/>
    <cellStyle name="Normal 58 3 2 3 3 3" xfId="4126"/>
    <cellStyle name="Normal 58 3 2 3 3 3 2" xfId="17771"/>
    <cellStyle name="Normal 58 3 2 3 3 3 3" xfId="14192"/>
    <cellStyle name="Normal 58 3 2 3 3 3 4" xfId="8935"/>
    <cellStyle name="Normal 58 3 2 3 3 4" xfId="6646"/>
    <cellStyle name="Normal 58 3 2 3 3 4 2" xfId="15730"/>
    <cellStyle name="Normal 58 3 2 3 3 5" xfId="10389"/>
    <cellStyle name="Normal 58 3 2 3 3 5 2" xfId="19216"/>
    <cellStyle name="Normal 58 3 2 3 3 6" xfId="11835"/>
    <cellStyle name="Normal 58 3 2 3 3 7" xfId="5124"/>
    <cellStyle name="Normal 58 3 2 3 4" xfId="1616"/>
    <cellStyle name="Normal 58 3 2 3 4 2" xfId="3212"/>
    <cellStyle name="Normal 58 3 2 3 4 2 2" xfId="16762"/>
    <cellStyle name="Normal 58 3 2 3 4 2 3" xfId="13183"/>
    <cellStyle name="Normal 58 3 2 3 4 2 4" xfId="7894"/>
    <cellStyle name="Normal 58 3 2 3 4 3" xfId="4321"/>
    <cellStyle name="Normal 58 3 2 3 4 3 2" xfId="18126"/>
    <cellStyle name="Normal 58 3 2 3 4 3 3" xfId="14547"/>
    <cellStyle name="Normal 58 3 2 3 4 3 4" xfId="9290"/>
    <cellStyle name="Normal 58 3 2 3 4 4" xfId="5982"/>
    <cellStyle name="Normal 58 3 2 3 4 4 2" xfId="15068"/>
    <cellStyle name="Normal 58 3 2 3 4 5" xfId="10744"/>
    <cellStyle name="Normal 58 3 2 3 4 5 2" xfId="19571"/>
    <cellStyle name="Normal 58 3 2 3 4 6" xfId="12190"/>
    <cellStyle name="Normal 58 3 2 3 4 7" xfId="5488"/>
    <cellStyle name="Normal 58 3 2 3 5" xfId="2169"/>
    <cellStyle name="Normal 58 3 2 3 5 2" xfId="15911"/>
    <cellStyle name="Normal 58 3 2 3 5 3" xfId="12264"/>
    <cellStyle name="Normal 58 3 2 3 5 4" xfId="6868"/>
    <cellStyle name="Normal 58 3 2 3 6" xfId="3483"/>
    <cellStyle name="Normal 58 3 2 3 6 2" xfId="17083"/>
    <cellStyle name="Normal 58 3 2 3 6 3" xfId="13504"/>
    <cellStyle name="Normal 58 3 2 3 6 4" xfId="8247"/>
    <cellStyle name="Normal 58 3 2 3 7" xfId="5808"/>
    <cellStyle name="Normal 58 3 2 3 7 2" xfId="14894"/>
    <cellStyle name="Normal 58 3 2 3 8" xfId="9701"/>
    <cellStyle name="Normal 58 3 2 3 8 2" xfId="18528"/>
    <cellStyle name="Normal 58 3 2 3 9" xfId="11145"/>
    <cellStyle name="Normal 58 3 2 3_Degree data" xfId="1754"/>
    <cellStyle name="Normal 58 3 2 4" xfId="339"/>
    <cellStyle name="Normal 58 3 2 4 2" xfId="781"/>
    <cellStyle name="Normal 58 3 2 4 2 2" xfId="2510"/>
    <cellStyle name="Normal 58 3 2 4 2 2 2" xfId="16399"/>
    <cellStyle name="Normal 58 3 2 4 2 2 3" xfId="12821"/>
    <cellStyle name="Normal 58 3 2 4 2 2 4" xfId="7531"/>
    <cellStyle name="Normal 58 3 2 4 2 3" xfId="3778"/>
    <cellStyle name="Normal 58 3 2 4 2 3 2" xfId="17424"/>
    <cellStyle name="Normal 58 3 2 4 2 3 3" xfId="13845"/>
    <cellStyle name="Normal 58 3 2 4 2 3 4" xfId="8588"/>
    <cellStyle name="Normal 58 3 2 4 2 4" xfId="6647"/>
    <cellStyle name="Normal 58 3 2 4 2 4 2" xfId="15731"/>
    <cellStyle name="Normal 58 3 2 4 2 5" xfId="10042"/>
    <cellStyle name="Normal 58 3 2 4 2 5 2" xfId="18869"/>
    <cellStyle name="Normal 58 3 2 4 2 6" xfId="11487"/>
    <cellStyle name="Normal 58 3 2 4 2 7" xfId="5125"/>
    <cellStyle name="Normal 58 3 2 4 3" xfId="1138"/>
    <cellStyle name="Normal 58 3 2 4 3 2" xfId="2858"/>
    <cellStyle name="Normal 58 3 2 4 3 2 2" xfId="16702"/>
    <cellStyle name="Normal 58 3 2 4 3 2 3" xfId="13123"/>
    <cellStyle name="Normal 58 3 2 4 3 2 4" xfId="7834"/>
    <cellStyle name="Normal 58 3 2 4 3 3" xfId="4127"/>
    <cellStyle name="Normal 58 3 2 4 3 3 2" xfId="17772"/>
    <cellStyle name="Normal 58 3 2 4 3 3 3" xfId="14193"/>
    <cellStyle name="Normal 58 3 2 4 3 3 4" xfId="8936"/>
    <cellStyle name="Normal 58 3 2 4 3 4" xfId="6241"/>
    <cellStyle name="Normal 58 3 2 4 3 4 2" xfId="15325"/>
    <cellStyle name="Normal 58 3 2 4 3 5" xfId="10390"/>
    <cellStyle name="Normal 58 3 2 4 3 5 2" xfId="19217"/>
    <cellStyle name="Normal 58 3 2 4 3 6" xfId="11836"/>
    <cellStyle name="Normal 58 3 2 4 3 7" xfId="5428"/>
    <cellStyle name="Normal 58 3 2 4 4" xfId="1553"/>
    <cellStyle name="Normal 58 3 2 4 4 2" xfId="3152"/>
    <cellStyle name="Normal 58 3 2 4 4 2 2" xfId="18066"/>
    <cellStyle name="Normal 58 3 2 4 4 2 3" xfId="14487"/>
    <cellStyle name="Normal 58 3 2 4 4 2 4" xfId="9230"/>
    <cellStyle name="Normal 58 3 2 4 4 3" xfId="10684"/>
    <cellStyle name="Normal 58 3 2 4 4 3 2" xfId="19511"/>
    <cellStyle name="Normal 58 3 2 4 4 4" xfId="12130"/>
    <cellStyle name="Normal 58 3 2 4 4 5" xfId="7125"/>
    <cellStyle name="Normal 58 3 2 4 5" xfId="2109"/>
    <cellStyle name="Normal 58 3 2 4 5 2" xfId="17023"/>
    <cellStyle name="Normal 58 3 2 4 5 3" xfId="13444"/>
    <cellStyle name="Normal 58 3 2 4 5 4" xfId="8187"/>
    <cellStyle name="Normal 58 3 2 4 6" xfId="5748"/>
    <cellStyle name="Normal 58 3 2 4 6 2" xfId="14834"/>
    <cellStyle name="Normal 58 3 2 4 7" xfId="9641"/>
    <cellStyle name="Normal 58 3 2 4 7 2" xfId="18468"/>
    <cellStyle name="Normal 58 3 2 4 8" xfId="11085"/>
    <cellStyle name="Normal 58 3 2 4 9" xfId="4719"/>
    <cellStyle name="Normal 58 3 2 4_Degree data" xfId="1755"/>
    <cellStyle name="Normal 58 3 2 5" xfId="777"/>
    <cellStyle name="Normal 58 3 2 5 2" xfId="2506"/>
    <cellStyle name="Normal 58 3 2 5 2 2" xfId="15993"/>
    <cellStyle name="Normal 58 3 2 5 2 3" xfId="12411"/>
    <cellStyle name="Normal 58 3 2 5 2 4" xfId="6968"/>
    <cellStyle name="Normal 58 3 2 5 3" xfId="3774"/>
    <cellStyle name="Normal 58 3 2 5 3 2" xfId="17420"/>
    <cellStyle name="Normal 58 3 2 5 3 3" xfId="13841"/>
    <cellStyle name="Normal 58 3 2 5 3 4" xfId="8584"/>
    <cellStyle name="Normal 58 3 2 5 4" xfId="6084"/>
    <cellStyle name="Normal 58 3 2 5 4 2" xfId="15168"/>
    <cellStyle name="Normal 58 3 2 5 5" xfId="10038"/>
    <cellStyle name="Normal 58 3 2 5 5 2" xfId="18865"/>
    <cellStyle name="Normal 58 3 2 5 6" xfId="11483"/>
    <cellStyle name="Normal 58 3 2 5 7" xfId="4562"/>
    <cellStyle name="Normal 58 3 2 6" xfId="1134"/>
    <cellStyle name="Normal 58 3 2 6 2" xfId="2854"/>
    <cellStyle name="Normal 58 3 2 6 2 2" xfId="16395"/>
    <cellStyle name="Normal 58 3 2 6 2 3" xfId="12817"/>
    <cellStyle name="Normal 58 3 2 6 2 4" xfId="7527"/>
    <cellStyle name="Normal 58 3 2 6 3" xfId="4123"/>
    <cellStyle name="Normal 58 3 2 6 3 2" xfId="17768"/>
    <cellStyle name="Normal 58 3 2 6 3 3" xfId="14189"/>
    <cellStyle name="Normal 58 3 2 6 3 4" xfId="8932"/>
    <cellStyle name="Normal 58 3 2 6 4" xfId="6643"/>
    <cellStyle name="Normal 58 3 2 6 4 2" xfId="15727"/>
    <cellStyle name="Normal 58 3 2 6 5" xfId="10386"/>
    <cellStyle name="Normal 58 3 2 6 5 2" xfId="19213"/>
    <cellStyle name="Normal 58 3 2 6 6" xfId="11832"/>
    <cellStyle name="Normal 58 3 2 6 7" xfId="5121"/>
    <cellStyle name="Normal 58 3 2 7" xfId="1386"/>
    <cellStyle name="Normal 58 3 2 7 2" xfId="2995"/>
    <cellStyle name="Normal 58 3 2 7 2 2" xfId="16545"/>
    <cellStyle name="Normal 58 3 2 7 2 3" xfId="12966"/>
    <cellStyle name="Normal 58 3 2 7 2 4" xfId="7677"/>
    <cellStyle name="Normal 58 3 2 7 3" xfId="4215"/>
    <cellStyle name="Normal 58 3 2 7 3 2" xfId="17909"/>
    <cellStyle name="Normal 58 3 2 7 3 3" xfId="14330"/>
    <cellStyle name="Normal 58 3 2 7 3 4" xfId="9073"/>
    <cellStyle name="Normal 58 3 2 7 4" xfId="5922"/>
    <cellStyle name="Normal 58 3 2 7 4 2" xfId="15008"/>
    <cellStyle name="Normal 58 3 2 7 5" xfId="10527"/>
    <cellStyle name="Normal 58 3 2 7 5 2" xfId="19354"/>
    <cellStyle name="Normal 58 3 2 7 6" xfId="11973"/>
    <cellStyle name="Normal 58 3 2 7 7" xfId="5271"/>
    <cellStyle name="Normal 58 3 2 8" xfId="1952"/>
    <cellStyle name="Normal 58 3 2 8 2" xfId="15854"/>
    <cellStyle name="Normal 58 3 2 8 3" xfId="12472"/>
    <cellStyle name="Normal 58 3 2 8 4" xfId="6808"/>
    <cellStyle name="Normal 58 3 2 9" xfId="3377"/>
    <cellStyle name="Normal 58 3 2 9 2" xfId="16864"/>
    <cellStyle name="Normal 58 3 2 9 3" xfId="13285"/>
    <cellStyle name="Normal 58 3 2 9 4" xfId="8028"/>
    <cellStyle name="Normal 58 3 2_Degree data" xfId="1751"/>
    <cellStyle name="Normal 58 3 3" xfId="274"/>
    <cellStyle name="Normal 58 3 3 10" xfId="11028"/>
    <cellStyle name="Normal 58 3 3 11" xfId="4445"/>
    <cellStyle name="Normal 58 3 3 2" xfId="382"/>
    <cellStyle name="Normal 58 3 3 2 2" xfId="783"/>
    <cellStyle name="Normal 58 3 3 2 2 2" xfId="2512"/>
    <cellStyle name="Normal 58 3 3 2 2 2 2" xfId="16401"/>
    <cellStyle name="Normal 58 3 3 2 2 2 3" xfId="12823"/>
    <cellStyle name="Normal 58 3 3 2 2 2 4" xfId="7533"/>
    <cellStyle name="Normal 58 3 3 2 2 3" xfId="3780"/>
    <cellStyle name="Normal 58 3 3 2 2 3 2" xfId="17426"/>
    <cellStyle name="Normal 58 3 3 2 2 3 3" xfId="13847"/>
    <cellStyle name="Normal 58 3 3 2 2 3 4" xfId="8590"/>
    <cellStyle name="Normal 58 3 3 2 2 4" xfId="6649"/>
    <cellStyle name="Normal 58 3 3 2 2 4 2" xfId="15733"/>
    <cellStyle name="Normal 58 3 3 2 2 5" xfId="10044"/>
    <cellStyle name="Normal 58 3 3 2 2 5 2" xfId="18871"/>
    <cellStyle name="Normal 58 3 3 2 2 6" xfId="11489"/>
    <cellStyle name="Normal 58 3 3 2 2 7" xfId="5127"/>
    <cellStyle name="Normal 58 3 3 2 3" xfId="1140"/>
    <cellStyle name="Normal 58 3 3 2 3 2" xfId="2860"/>
    <cellStyle name="Normal 58 3 3 2 3 2 2" xfId="16745"/>
    <cellStyle name="Normal 58 3 3 2 3 2 3" xfId="13166"/>
    <cellStyle name="Normal 58 3 3 2 3 2 4" xfId="7877"/>
    <cellStyle name="Normal 58 3 3 2 3 3" xfId="4129"/>
    <cellStyle name="Normal 58 3 3 2 3 3 2" xfId="17774"/>
    <cellStyle name="Normal 58 3 3 2 3 3 3" xfId="14195"/>
    <cellStyle name="Normal 58 3 3 2 3 3 4" xfId="8938"/>
    <cellStyle name="Normal 58 3 3 2 3 4" xfId="6284"/>
    <cellStyle name="Normal 58 3 3 2 3 4 2" xfId="15368"/>
    <cellStyle name="Normal 58 3 3 2 3 5" xfId="10392"/>
    <cellStyle name="Normal 58 3 3 2 3 5 2" xfId="19219"/>
    <cellStyle name="Normal 58 3 3 2 3 6" xfId="11838"/>
    <cellStyle name="Normal 58 3 3 2 3 7" xfId="5471"/>
    <cellStyle name="Normal 58 3 3 2 4" xfId="1598"/>
    <cellStyle name="Normal 58 3 3 2 4 2" xfId="3195"/>
    <cellStyle name="Normal 58 3 3 2 4 2 2" xfId="18109"/>
    <cellStyle name="Normal 58 3 3 2 4 2 3" xfId="14530"/>
    <cellStyle name="Normal 58 3 3 2 4 2 4" xfId="9273"/>
    <cellStyle name="Normal 58 3 3 2 4 3" xfId="10727"/>
    <cellStyle name="Normal 58 3 3 2 4 3 2" xfId="19554"/>
    <cellStyle name="Normal 58 3 3 2 4 4" xfId="12173"/>
    <cellStyle name="Normal 58 3 3 2 4 5" xfId="7168"/>
    <cellStyle name="Normal 58 3 3 2 5" xfId="2152"/>
    <cellStyle name="Normal 58 3 3 2 5 2" xfId="17066"/>
    <cellStyle name="Normal 58 3 3 2 5 3" xfId="13487"/>
    <cellStyle name="Normal 58 3 3 2 5 4" xfId="8230"/>
    <cellStyle name="Normal 58 3 3 2 6" xfId="5791"/>
    <cellStyle name="Normal 58 3 3 2 6 2" xfId="14877"/>
    <cellStyle name="Normal 58 3 3 2 7" xfId="9684"/>
    <cellStyle name="Normal 58 3 3 2 7 2" xfId="18511"/>
    <cellStyle name="Normal 58 3 3 2 8" xfId="11128"/>
    <cellStyle name="Normal 58 3 3 2 9" xfId="4762"/>
    <cellStyle name="Normal 58 3 3 2_Degree data" xfId="1757"/>
    <cellStyle name="Normal 58 3 3 3" xfId="782"/>
    <cellStyle name="Normal 58 3 3 3 2" xfId="2511"/>
    <cellStyle name="Normal 58 3 3 3 2 2" xfId="16082"/>
    <cellStyle name="Normal 58 3 3 3 2 3" xfId="12302"/>
    <cellStyle name="Normal 58 3 3 3 2 4" xfId="7068"/>
    <cellStyle name="Normal 58 3 3 3 3" xfId="3779"/>
    <cellStyle name="Normal 58 3 3 3 3 2" xfId="17425"/>
    <cellStyle name="Normal 58 3 3 3 3 3" xfId="13846"/>
    <cellStyle name="Normal 58 3 3 3 3 4" xfId="8589"/>
    <cellStyle name="Normal 58 3 3 3 4" xfId="6184"/>
    <cellStyle name="Normal 58 3 3 3 4 2" xfId="15268"/>
    <cellStyle name="Normal 58 3 3 3 5" xfId="10043"/>
    <cellStyle name="Normal 58 3 3 3 5 2" xfId="18870"/>
    <cellStyle name="Normal 58 3 3 3 6" xfId="11488"/>
    <cellStyle name="Normal 58 3 3 3 7" xfId="4662"/>
    <cellStyle name="Normal 58 3 3 4" xfId="1139"/>
    <cellStyle name="Normal 58 3 3 4 2" xfId="2859"/>
    <cellStyle name="Normal 58 3 3 4 2 2" xfId="16400"/>
    <cellStyle name="Normal 58 3 3 4 2 3" xfId="12822"/>
    <cellStyle name="Normal 58 3 3 4 2 4" xfId="7532"/>
    <cellStyle name="Normal 58 3 3 4 3" xfId="4128"/>
    <cellStyle name="Normal 58 3 3 4 3 2" xfId="17773"/>
    <cellStyle name="Normal 58 3 3 4 3 3" xfId="14194"/>
    <cellStyle name="Normal 58 3 3 4 3 4" xfId="8937"/>
    <cellStyle name="Normal 58 3 3 4 4" xfId="6648"/>
    <cellStyle name="Normal 58 3 3 4 4 2" xfId="15732"/>
    <cellStyle name="Normal 58 3 3 4 5" xfId="10391"/>
    <cellStyle name="Normal 58 3 3 4 5 2" xfId="19218"/>
    <cellStyle name="Normal 58 3 3 4 6" xfId="11837"/>
    <cellStyle name="Normal 58 3 3 4 7" xfId="5126"/>
    <cellStyle name="Normal 58 3 3 5" xfId="1496"/>
    <cellStyle name="Normal 58 3 3 5 2" xfId="3095"/>
    <cellStyle name="Normal 58 3 3 5 2 2" xfId="16645"/>
    <cellStyle name="Normal 58 3 3 5 2 3" xfId="13066"/>
    <cellStyle name="Normal 58 3 3 5 2 4" xfId="7777"/>
    <cellStyle name="Normal 58 3 3 5 3" xfId="4304"/>
    <cellStyle name="Normal 58 3 3 5 3 2" xfId="18009"/>
    <cellStyle name="Normal 58 3 3 5 3 3" xfId="14430"/>
    <cellStyle name="Normal 58 3 3 5 3 4" xfId="9173"/>
    <cellStyle name="Normal 58 3 3 5 4" xfId="5965"/>
    <cellStyle name="Normal 58 3 3 5 4 2" xfId="15051"/>
    <cellStyle name="Normal 58 3 3 5 5" xfId="10627"/>
    <cellStyle name="Normal 58 3 3 5 5 2" xfId="19454"/>
    <cellStyle name="Normal 58 3 3 5 6" xfId="12073"/>
    <cellStyle name="Normal 58 3 3 5 7" xfId="5371"/>
    <cellStyle name="Normal 58 3 3 6" xfId="2052"/>
    <cellStyle name="Normal 58 3 3 6 2" xfId="15894"/>
    <cellStyle name="Normal 58 3 3 6 3" xfId="12454"/>
    <cellStyle name="Normal 58 3 3 6 4" xfId="6851"/>
    <cellStyle name="Normal 58 3 3 7" xfId="3466"/>
    <cellStyle name="Normal 58 3 3 7 2" xfId="16966"/>
    <cellStyle name="Normal 58 3 3 7 3" xfId="13387"/>
    <cellStyle name="Normal 58 3 3 7 4" xfId="8130"/>
    <cellStyle name="Normal 58 3 3 8" xfId="5691"/>
    <cellStyle name="Normal 58 3 3 8 2" xfId="14777"/>
    <cellStyle name="Normal 58 3 3 9" xfId="9584"/>
    <cellStyle name="Normal 58 3 3 9 2" xfId="18411"/>
    <cellStyle name="Normal 58 3 3_Degree data" xfId="1756"/>
    <cellStyle name="Normal 58 3 4" xfId="198"/>
    <cellStyle name="Normal 58 3 4 10" xfId="10955"/>
    <cellStyle name="Normal 58 3 4 11" xfId="4477"/>
    <cellStyle name="Normal 58 3 4 2" xfId="415"/>
    <cellStyle name="Normal 58 3 4 2 2" xfId="785"/>
    <cellStyle name="Normal 58 3 4 2 2 2" xfId="2514"/>
    <cellStyle name="Normal 58 3 4 2 2 2 2" xfId="16403"/>
    <cellStyle name="Normal 58 3 4 2 2 2 3" xfId="12825"/>
    <cellStyle name="Normal 58 3 4 2 2 2 4" xfId="7535"/>
    <cellStyle name="Normal 58 3 4 2 2 3" xfId="3782"/>
    <cellStyle name="Normal 58 3 4 2 2 3 2" xfId="17428"/>
    <cellStyle name="Normal 58 3 4 2 2 3 3" xfId="13849"/>
    <cellStyle name="Normal 58 3 4 2 2 3 4" xfId="8592"/>
    <cellStyle name="Normal 58 3 4 2 2 4" xfId="6651"/>
    <cellStyle name="Normal 58 3 4 2 2 4 2" xfId="15735"/>
    <cellStyle name="Normal 58 3 4 2 2 5" xfId="10046"/>
    <cellStyle name="Normal 58 3 4 2 2 5 2" xfId="18873"/>
    <cellStyle name="Normal 58 3 4 2 2 6" xfId="11491"/>
    <cellStyle name="Normal 58 3 4 2 2 7" xfId="5129"/>
    <cellStyle name="Normal 58 3 4 2 3" xfId="1142"/>
    <cellStyle name="Normal 58 3 4 2 3 2" xfId="2862"/>
    <cellStyle name="Normal 58 3 4 2 3 2 2" xfId="16777"/>
    <cellStyle name="Normal 58 3 4 2 3 2 3" xfId="13198"/>
    <cellStyle name="Normal 58 3 4 2 3 2 4" xfId="7909"/>
    <cellStyle name="Normal 58 3 4 2 3 3" xfId="4131"/>
    <cellStyle name="Normal 58 3 4 2 3 3 2" xfId="17776"/>
    <cellStyle name="Normal 58 3 4 2 3 3 3" xfId="14197"/>
    <cellStyle name="Normal 58 3 4 2 3 3 4" xfId="8940"/>
    <cellStyle name="Normal 58 3 4 2 3 4" xfId="6316"/>
    <cellStyle name="Normal 58 3 4 2 3 4 2" xfId="15400"/>
    <cellStyle name="Normal 58 3 4 2 3 5" xfId="10394"/>
    <cellStyle name="Normal 58 3 4 2 3 5 2" xfId="19221"/>
    <cellStyle name="Normal 58 3 4 2 3 6" xfId="11840"/>
    <cellStyle name="Normal 58 3 4 2 3 7" xfId="5503"/>
    <cellStyle name="Normal 58 3 4 2 4" xfId="1631"/>
    <cellStyle name="Normal 58 3 4 2 4 2" xfId="3227"/>
    <cellStyle name="Normal 58 3 4 2 4 2 2" xfId="18141"/>
    <cellStyle name="Normal 58 3 4 2 4 2 3" xfId="14562"/>
    <cellStyle name="Normal 58 3 4 2 4 2 4" xfId="9305"/>
    <cellStyle name="Normal 58 3 4 2 4 3" xfId="10759"/>
    <cellStyle name="Normal 58 3 4 2 4 3 2" xfId="19586"/>
    <cellStyle name="Normal 58 3 4 2 4 4" xfId="12205"/>
    <cellStyle name="Normal 58 3 4 2 4 5" xfId="7200"/>
    <cellStyle name="Normal 58 3 4 2 5" xfId="2184"/>
    <cellStyle name="Normal 58 3 4 2 5 2" xfId="17098"/>
    <cellStyle name="Normal 58 3 4 2 5 3" xfId="13519"/>
    <cellStyle name="Normal 58 3 4 2 5 4" xfId="8262"/>
    <cellStyle name="Normal 58 3 4 2 6" xfId="5823"/>
    <cellStyle name="Normal 58 3 4 2 6 2" xfId="14909"/>
    <cellStyle name="Normal 58 3 4 2 7" xfId="9716"/>
    <cellStyle name="Normal 58 3 4 2 7 2" xfId="18543"/>
    <cellStyle name="Normal 58 3 4 2 8" xfId="11160"/>
    <cellStyle name="Normal 58 3 4 2 9" xfId="4794"/>
    <cellStyle name="Normal 58 3 4 2_Degree data" xfId="1759"/>
    <cellStyle name="Normal 58 3 4 3" xfId="784"/>
    <cellStyle name="Normal 58 3 4 3 2" xfId="2513"/>
    <cellStyle name="Normal 58 3 4 3 2 2" xfId="16009"/>
    <cellStyle name="Normal 58 3 4 3 2 3" xfId="12408"/>
    <cellStyle name="Normal 58 3 4 3 2 4" xfId="6995"/>
    <cellStyle name="Normal 58 3 4 3 3" xfId="3781"/>
    <cellStyle name="Normal 58 3 4 3 3 2" xfId="17427"/>
    <cellStyle name="Normal 58 3 4 3 3 3" xfId="13848"/>
    <cellStyle name="Normal 58 3 4 3 3 4" xfId="8591"/>
    <cellStyle name="Normal 58 3 4 3 4" xfId="6111"/>
    <cellStyle name="Normal 58 3 4 3 4 2" xfId="15195"/>
    <cellStyle name="Normal 58 3 4 3 5" xfId="10045"/>
    <cellStyle name="Normal 58 3 4 3 5 2" xfId="18872"/>
    <cellStyle name="Normal 58 3 4 3 6" xfId="11490"/>
    <cellStyle name="Normal 58 3 4 3 7" xfId="4589"/>
    <cellStyle name="Normal 58 3 4 4" xfId="1141"/>
    <cellStyle name="Normal 58 3 4 4 2" xfId="2861"/>
    <cellStyle name="Normal 58 3 4 4 2 2" xfId="16402"/>
    <cellStyle name="Normal 58 3 4 4 2 3" xfId="12824"/>
    <cellStyle name="Normal 58 3 4 4 2 4" xfId="7534"/>
    <cellStyle name="Normal 58 3 4 4 3" xfId="4130"/>
    <cellStyle name="Normal 58 3 4 4 3 2" xfId="17775"/>
    <cellStyle name="Normal 58 3 4 4 3 3" xfId="14196"/>
    <cellStyle name="Normal 58 3 4 4 3 4" xfId="8939"/>
    <cellStyle name="Normal 58 3 4 4 4" xfId="6650"/>
    <cellStyle name="Normal 58 3 4 4 4 2" xfId="15734"/>
    <cellStyle name="Normal 58 3 4 4 5" xfId="10393"/>
    <cellStyle name="Normal 58 3 4 4 5 2" xfId="19220"/>
    <cellStyle name="Normal 58 3 4 4 6" xfId="11839"/>
    <cellStyle name="Normal 58 3 4 4 7" xfId="5128"/>
    <cellStyle name="Normal 58 3 4 5" xfId="1417"/>
    <cellStyle name="Normal 58 3 4 5 2" xfId="3022"/>
    <cellStyle name="Normal 58 3 4 5 2 2" xfId="16572"/>
    <cellStyle name="Normal 58 3 4 5 2 3" xfId="12993"/>
    <cellStyle name="Normal 58 3 4 5 2 4" xfId="7704"/>
    <cellStyle name="Normal 58 3 4 5 3" xfId="4231"/>
    <cellStyle name="Normal 58 3 4 5 3 2" xfId="17936"/>
    <cellStyle name="Normal 58 3 4 5 3 3" xfId="14357"/>
    <cellStyle name="Normal 58 3 4 5 3 4" xfId="9100"/>
    <cellStyle name="Normal 58 3 4 5 4" xfId="5997"/>
    <cellStyle name="Normal 58 3 4 5 4 2" xfId="15083"/>
    <cellStyle name="Normal 58 3 4 5 5" xfId="10554"/>
    <cellStyle name="Normal 58 3 4 5 5 2" xfId="19381"/>
    <cellStyle name="Normal 58 3 4 5 6" xfId="12000"/>
    <cellStyle name="Normal 58 3 4 5 7" xfId="5298"/>
    <cellStyle name="Normal 58 3 4 6" xfId="1979"/>
    <cellStyle name="Normal 58 3 4 6 2" xfId="15926"/>
    <cellStyle name="Normal 58 3 4 6 3" xfId="12366"/>
    <cellStyle name="Normal 58 3 4 6 4" xfId="6883"/>
    <cellStyle name="Normal 58 3 4 7" xfId="3394"/>
    <cellStyle name="Normal 58 3 4 7 2" xfId="16893"/>
    <cellStyle name="Normal 58 3 4 7 3" xfId="13314"/>
    <cellStyle name="Normal 58 3 4 7 4" xfId="8057"/>
    <cellStyle name="Normal 58 3 4 8" xfId="5618"/>
    <cellStyle name="Normal 58 3 4 8 2" xfId="14704"/>
    <cellStyle name="Normal 58 3 4 9" xfId="9511"/>
    <cellStyle name="Normal 58 3 4 9 2" xfId="18338"/>
    <cellStyle name="Normal 58 3 4_Degree data" xfId="1758"/>
    <cellStyle name="Normal 58 3 5" xfId="309"/>
    <cellStyle name="Normal 58 3 5 2" xfId="786"/>
    <cellStyle name="Normal 58 3 5 2 2" xfId="2515"/>
    <cellStyle name="Normal 58 3 5 2 2 2" xfId="16404"/>
    <cellStyle name="Normal 58 3 5 2 2 3" xfId="12826"/>
    <cellStyle name="Normal 58 3 5 2 2 4" xfId="7536"/>
    <cellStyle name="Normal 58 3 5 2 3" xfId="3783"/>
    <cellStyle name="Normal 58 3 5 2 3 2" xfId="17429"/>
    <cellStyle name="Normal 58 3 5 2 3 3" xfId="13850"/>
    <cellStyle name="Normal 58 3 5 2 3 4" xfId="8593"/>
    <cellStyle name="Normal 58 3 5 2 4" xfId="6652"/>
    <cellStyle name="Normal 58 3 5 2 4 2" xfId="15736"/>
    <cellStyle name="Normal 58 3 5 2 5" xfId="10047"/>
    <cellStyle name="Normal 58 3 5 2 5 2" xfId="18874"/>
    <cellStyle name="Normal 58 3 5 2 6" xfId="11492"/>
    <cellStyle name="Normal 58 3 5 2 7" xfId="5130"/>
    <cellStyle name="Normal 58 3 5 3" xfId="1143"/>
    <cellStyle name="Normal 58 3 5 3 2" xfId="2863"/>
    <cellStyle name="Normal 58 3 5 3 2 2" xfId="16672"/>
    <cellStyle name="Normal 58 3 5 3 2 3" xfId="13093"/>
    <cellStyle name="Normal 58 3 5 3 2 4" xfId="7804"/>
    <cellStyle name="Normal 58 3 5 3 3" xfId="4132"/>
    <cellStyle name="Normal 58 3 5 3 3 2" xfId="17777"/>
    <cellStyle name="Normal 58 3 5 3 3 3" xfId="14198"/>
    <cellStyle name="Normal 58 3 5 3 3 4" xfId="8941"/>
    <cellStyle name="Normal 58 3 5 3 4" xfId="6211"/>
    <cellStyle name="Normal 58 3 5 3 4 2" xfId="15295"/>
    <cellStyle name="Normal 58 3 5 3 5" xfId="10395"/>
    <cellStyle name="Normal 58 3 5 3 5 2" xfId="19222"/>
    <cellStyle name="Normal 58 3 5 3 6" xfId="11841"/>
    <cellStyle name="Normal 58 3 5 3 7" xfId="5398"/>
    <cellStyle name="Normal 58 3 5 4" xfId="1523"/>
    <cellStyle name="Normal 58 3 5 4 2" xfId="3122"/>
    <cellStyle name="Normal 58 3 5 4 2 2" xfId="18036"/>
    <cellStyle name="Normal 58 3 5 4 2 3" xfId="14457"/>
    <cellStyle name="Normal 58 3 5 4 2 4" xfId="9200"/>
    <cellStyle name="Normal 58 3 5 4 3" xfId="10654"/>
    <cellStyle name="Normal 58 3 5 4 3 2" xfId="19481"/>
    <cellStyle name="Normal 58 3 5 4 4" xfId="12100"/>
    <cellStyle name="Normal 58 3 5 4 5" xfId="7095"/>
    <cellStyle name="Normal 58 3 5 5" xfId="2079"/>
    <cellStyle name="Normal 58 3 5 5 2" xfId="16993"/>
    <cellStyle name="Normal 58 3 5 5 3" xfId="13414"/>
    <cellStyle name="Normal 58 3 5 5 4" xfId="8157"/>
    <cellStyle name="Normal 58 3 5 6" xfId="5718"/>
    <cellStyle name="Normal 58 3 5 6 2" xfId="14804"/>
    <cellStyle name="Normal 58 3 5 7" xfId="9611"/>
    <cellStyle name="Normal 58 3 5 7 2" xfId="18438"/>
    <cellStyle name="Normal 58 3 5 8" xfId="11055"/>
    <cellStyle name="Normal 58 3 5 9" xfId="4689"/>
    <cellStyle name="Normal 58 3 5_Degree data" xfId="1760"/>
    <cellStyle name="Normal 58 3 6" xfId="481"/>
    <cellStyle name="Normal 58 3 6 2" xfId="787"/>
    <cellStyle name="Normal 58 3 6 2 2" xfId="2516"/>
    <cellStyle name="Normal 58 3 6 2 2 2" xfId="16405"/>
    <cellStyle name="Normal 58 3 6 2 2 3" xfId="12827"/>
    <cellStyle name="Normal 58 3 6 2 2 4" xfId="7537"/>
    <cellStyle name="Normal 58 3 6 2 3" xfId="3784"/>
    <cellStyle name="Normal 58 3 6 2 3 2" xfId="17430"/>
    <cellStyle name="Normal 58 3 6 2 3 3" xfId="13851"/>
    <cellStyle name="Normal 58 3 6 2 3 4" xfId="8594"/>
    <cellStyle name="Normal 58 3 6 2 4" xfId="6653"/>
    <cellStyle name="Normal 58 3 6 2 4 2" xfId="15737"/>
    <cellStyle name="Normal 58 3 6 2 5" xfId="10048"/>
    <cellStyle name="Normal 58 3 6 2 5 2" xfId="18875"/>
    <cellStyle name="Normal 58 3 6 2 6" xfId="11493"/>
    <cellStyle name="Normal 58 3 6 2 7" xfId="5131"/>
    <cellStyle name="Normal 58 3 6 3" xfId="1144"/>
    <cellStyle name="Normal 58 3 6 3 2" xfId="2864"/>
    <cellStyle name="Normal 58 3 6 3 2 2" xfId="16520"/>
    <cellStyle name="Normal 58 3 6 3 2 3" xfId="12942"/>
    <cellStyle name="Normal 58 3 6 3 2 4" xfId="7652"/>
    <cellStyle name="Normal 58 3 6 3 3" xfId="4133"/>
    <cellStyle name="Normal 58 3 6 3 3 2" xfId="17778"/>
    <cellStyle name="Normal 58 3 6 3 3 3" xfId="14199"/>
    <cellStyle name="Normal 58 3 6 3 3 4" xfId="8942"/>
    <cellStyle name="Normal 58 3 6 3 4" xfId="6757"/>
    <cellStyle name="Normal 58 3 6 3 4 2" xfId="15840"/>
    <cellStyle name="Normal 58 3 6 3 5" xfId="10396"/>
    <cellStyle name="Normal 58 3 6 3 5 2" xfId="19223"/>
    <cellStyle name="Normal 58 3 6 3 6" xfId="11842"/>
    <cellStyle name="Normal 58 3 6 3 7" xfId="5246"/>
    <cellStyle name="Normal 58 3 6 4" xfId="1357"/>
    <cellStyle name="Normal 58 3 6 4 2" xfId="2970"/>
    <cellStyle name="Normal 58 3 6 4 2 2" xfId="17884"/>
    <cellStyle name="Normal 58 3 6 4 2 3" xfId="14305"/>
    <cellStyle name="Normal 58 3 6 4 2 4" xfId="9048"/>
    <cellStyle name="Normal 58 3 6 4 3" xfId="10502"/>
    <cellStyle name="Normal 58 3 6 4 3 2" xfId="19329"/>
    <cellStyle name="Normal 58 3 6 4 4" xfId="11948"/>
    <cellStyle name="Normal 58 3 6 4 5" xfId="6943"/>
    <cellStyle name="Normal 58 3 6 5" xfId="1927"/>
    <cellStyle name="Normal 58 3 6 5 2" xfId="16839"/>
    <cellStyle name="Normal 58 3 6 5 3" xfId="13260"/>
    <cellStyle name="Normal 58 3 6 5 4" xfId="8003"/>
    <cellStyle name="Normal 58 3 6 6" xfId="6059"/>
    <cellStyle name="Normal 58 3 6 6 2" xfId="15143"/>
    <cellStyle name="Normal 58 3 6 7" xfId="9459"/>
    <cellStyle name="Normal 58 3 6 7 2" xfId="18286"/>
    <cellStyle name="Normal 58 3 6 8" xfId="10903"/>
    <cellStyle name="Normal 58 3 6 9" xfId="4537"/>
    <cellStyle name="Normal 58 3 6_Degree data" xfId="1761"/>
    <cellStyle name="Normal 58 3 7" xfId="776"/>
    <cellStyle name="Normal 58 3 7 2" xfId="2505"/>
    <cellStyle name="Normal 58 3 7 2 2" xfId="16394"/>
    <cellStyle name="Normal 58 3 7 2 3" xfId="12816"/>
    <cellStyle name="Normal 58 3 7 2 4" xfId="7526"/>
    <cellStyle name="Normal 58 3 7 3" xfId="3773"/>
    <cellStyle name="Normal 58 3 7 3 2" xfId="17419"/>
    <cellStyle name="Normal 58 3 7 3 3" xfId="13840"/>
    <cellStyle name="Normal 58 3 7 3 4" xfId="8583"/>
    <cellStyle name="Normal 58 3 7 4" xfId="6642"/>
    <cellStyle name="Normal 58 3 7 4 2" xfId="15726"/>
    <cellStyle name="Normal 58 3 7 5" xfId="10037"/>
    <cellStyle name="Normal 58 3 7 5 2" xfId="18864"/>
    <cellStyle name="Normal 58 3 7 6" xfId="11482"/>
    <cellStyle name="Normal 58 3 7 7" xfId="5120"/>
    <cellStyle name="Normal 58 3 8" xfId="1133"/>
    <cellStyle name="Normal 58 3 8 2" xfId="2853"/>
    <cellStyle name="Normal 58 3 8 2 2" xfId="16500"/>
    <cellStyle name="Normal 58 3 8 2 3" xfId="12922"/>
    <cellStyle name="Normal 58 3 8 2 4" xfId="7632"/>
    <cellStyle name="Normal 58 3 8 3" xfId="4122"/>
    <cellStyle name="Normal 58 3 8 3 2" xfId="17767"/>
    <cellStyle name="Normal 58 3 8 3 3" xfId="14188"/>
    <cellStyle name="Normal 58 3 8 3 4" xfId="8931"/>
    <cellStyle name="Normal 58 3 8 4" xfId="5891"/>
    <cellStyle name="Normal 58 3 8 4 2" xfId="14977"/>
    <cellStyle name="Normal 58 3 8 5" xfId="10385"/>
    <cellStyle name="Normal 58 3 8 5 2" xfId="19212"/>
    <cellStyle name="Normal 58 3 8 6" xfId="11831"/>
    <cellStyle name="Normal 58 3 8 7" xfId="5226"/>
    <cellStyle name="Normal 58 3 9" xfId="1335"/>
    <cellStyle name="Normal 58 3 9 2" xfId="2950"/>
    <cellStyle name="Normal 58 3 9 2 2" xfId="17864"/>
    <cellStyle name="Normal 58 3 9 2 3" xfId="14285"/>
    <cellStyle name="Normal 58 3 9 2 4" xfId="9028"/>
    <cellStyle name="Normal 58 3 9 3" xfId="10482"/>
    <cellStyle name="Normal 58 3 9 3 2" xfId="19309"/>
    <cellStyle name="Normal 58 3 9 4" xfId="11928"/>
    <cellStyle name="Normal 58 3 9 5" xfId="6777"/>
    <cellStyle name="Normal 58 3_Degree data" xfId="1750"/>
    <cellStyle name="Normal 58 4" xfId="103"/>
    <cellStyle name="Normal 58 4 10" xfId="1902"/>
    <cellStyle name="Normal 58 4 10 2" xfId="9434"/>
    <cellStyle name="Normal 58 4 10 2 2" xfId="18261"/>
    <cellStyle name="Normal 58 4 10 3" xfId="10878"/>
    <cellStyle name="Normal 58 4 10 4" xfId="7978"/>
    <cellStyle name="Normal 58 4 11" xfId="1869"/>
    <cellStyle name="Normal 58 4 11 2" xfId="14670"/>
    <cellStyle name="Normal 58 4 11 3" xfId="5584"/>
    <cellStyle name="Normal 58 4 12" xfId="9404"/>
    <cellStyle name="Normal 58 4 12 2" xfId="18231"/>
    <cellStyle name="Normal 58 4 13" xfId="10845"/>
    <cellStyle name="Normal 58 4 14" xfId="4383"/>
    <cellStyle name="Normal 58 4 2" xfId="225"/>
    <cellStyle name="Normal 58 4 2 10" xfId="9536"/>
    <cellStyle name="Normal 58 4 2 10 2" xfId="18363"/>
    <cellStyle name="Normal 58 4 2 11" xfId="10980"/>
    <cellStyle name="Normal 58 4 2 12" xfId="4397"/>
    <cellStyle name="Normal 58 4 2 2" xfId="439"/>
    <cellStyle name="Normal 58 4 2 2 10" xfId="4501"/>
    <cellStyle name="Normal 58 4 2 2 2" xfId="790"/>
    <cellStyle name="Normal 58 4 2 2 2 2" xfId="2519"/>
    <cellStyle name="Normal 58 4 2 2 2 2 2" xfId="16101"/>
    <cellStyle name="Normal 58 4 2 2 2 2 3" xfId="12523"/>
    <cellStyle name="Normal 58 4 2 2 2 2 4" xfId="7224"/>
    <cellStyle name="Normal 58 4 2 2 2 3" xfId="3787"/>
    <cellStyle name="Normal 58 4 2 2 2 3 2" xfId="17433"/>
    <cellStyle name="Normal 58 4 2 2 2 3 3" xfId="13854"/>
    <cellStyle name="Normal 58 4 2 2 2 3 4" xfId="8597"/>
    <cellStyle name="Normal 58 4 2 2 2 4" xfId="6340"/>
    <cellStyle name="Normal 58 4 2 2 2 4 2" xfId="15424"/>
    <cellStyle name="Normal 58 4 2 2 2 5" xfId="10051"/>
    <cellStyle name="Normal 58 4 2 2 2 5 2" xfId="18878"/>
    <cellStyle name="Normal 58 4 2 2 2 6" xfId="11496"/>
    <cellStyle name="Normal 58 4 2 2 2 7" xfId="4818"/>
    <cellStyle name="Normal 58 4 2 2 3" xfId="1147"/>
    <cellStyle name="Normal 58 4 2 2 3 2" xfId="2867"/>
    <cellStyle name="Normal 58 4 2 2 3 2 2" xfId="16408"/>
    <cellStyle name="Normal 58 4 2 2 3 2 3" xfId="12830"/>
    <cellStyle name="Normal 58 4 2 2 3 2 4" xfId="7540"/>
    <cellStyle name="Normal 58 4 2 2 3 3" xfId="4136"/>
    <cellStyle name="Normal 58 4 2 2 3 3 2" xfId="17781"/>
    <cellStyle name="Normal 58 4 2 2 3 3 3" xfId="14202"/>
    <cellStyle name="Normal 58 4 2 2 3 3 4" xfId="8945"/>
    <cellStyle name="Normal 58 4 2 2 3 4" xfId="6656"/>
    <cellStyle name="Normal 58 4 2 2 3 4 2" xfId="15740"/>
    <cellStyle name="Normal 58 4 2 2 3 5" xfId="10399"/>
    <cellStyle name="Normal 58 4 2 2 3 5 2" xfId="19226"/>
    <cellStyle name="Normal 58 4 2 2 3 6" xfId="11845"/>
    <cellStyle name="Normal 58 4 2 2 3 7" xfId="5134"/>
    <cellStyle name="Normal 58 4 2 2 4" xfId="1655"/>
    <cellStyle name="Normal 58 4 2 2 4 2" xfId="3251"/>
    <cellStyle name="Normal 58 4 2 2 4 2 2" xfId="16801"/>
    <cellStyle name="Normal 58 4 2 2 4 2 3" xfId="13222"/>
    <cellStyle name="Normal 58 4 2 2 4 2 4" xfId="7933"/>
    <cellStyle name="Normal 58 4 2 2 4 3" xfId="4323"/>
    <cellStyle name="Normal 58 4 2 2 4 3 2" xfId="18165"/>
    <cellStyle name="Normal 58 4 2 2 4 3 3" xfId="14586"/>
    <cellStyle name="Normal 58 4 2 2 4 3 4" xfId="9329"/>
    <cellStyle name="Normal 58 4 2 2 4 4" xfId="6021"/>
    <cellStyle name="Normal 58 4 2 2 4 4 2" xfId="15107"/>
    <cellStyle name="Normal 58 4 2 2 4 5" xfId="10783"/>
    <cellStyle name="Normal 58 4 2 2 4 5 2" xfId="19610"/>
    <cellStyle name="Normal 58 4 2 2 4 6" xfId="12229"/>
    <cellStyle name="Normal 58 4 2 2 4 7" xfId="5527"/>
    <cellStyle name="Normal 58 4 2 2 5" xfId="2208"/>
    <cellStyle name="Normal 58 4 2 2 5 2" xfId="15950"/>
    <cellStyle name="Normal 58 4 2 2 5 3" xfId="12278"/>
    <cellStyle name="Normal 58 4 2 2 5 4" xfId="6907"/>
    <cellStyle name="Normal 58 4 2 2 6" xfId="3485"/>
    <cellStyle name="Normal 58 4 2 2 6 2" xfId="17122"/>
    <cellStyle name="Normal 58 4 2 2 6 3" xfId="13543"/>
    <cellStyle name="Normal 58 4 2 2 6 4" xfId="8286"/>
    <cellStyle name="Normal 58 4 2 2 7" xfId="5847"/>
    <cellStyle name="Normal 58 4 2 2 7 2" xfId="14933"/>
    <cellStyle name="Normal 58 4 2 2 8" xfId="9740"/>
    <cellStyle name="Normal 58 4 2 2 8 2" xfId="18567"/>
    <cellStyle name="Normal 58 4 2 2 9" xfId="11184"/>
    <cellStyle name="Normal 58 4 2 2_Degree data" xfId="1764"/>
    <cellStyle name="Normal 58 4 2 3" xfId="334"/>
    <cellStyle name="Normal 58 4 2 3 2" xfId="791"/>
    <cellStyle name="Normal 58 4 2 3 2 2" xfId="2520"/>
    <cellStyle name="Normal 58 4 2 3 2 2 2" xfId="16409"/>
    <cellStyle name="Normal 58 4 2 3 2 2 3" xfId="12831"/>
    <cellStyle name="Normal 58 4 2 3 2 2 4" xfId="7541"/>
    <cellStyle name="Normal 58 4 2 3 2 3" xfId="3788"/>
    <cellStyle name="Normal 58 4 2 3 2 3 2" xfId="17434"/>
    <cellStyle name="Normal 58 4 2 3 2 3 3" xfId="13855"/>
    <cellStyle name="Normal 58 4 2 3 2 3 4" xfId="8598"/>
    <cellStyle name="Normal 58 4 2 3 2 4" xfId="6657"/>
    <cellStyle name="Normal 58 4 2 3 2 4 2" xfId="15741"/>
    <cellStyle name="Normal 58 4 2 3 2 5" xfId="10052"/>
    <cellStyle name="Normal 58 4 2 3 2 5 2" xfId="18879"/>
    <cellStyle name="Normal 58 4 2 3 2 6" xfId="11497"/>
    <cellStyle name="Normal 58 4 2 3 2 7" xfId="5135"/>
    <cellStyle name="Normal 58 4 2 3 3" xfId="1148"/>
    <cellStyle name="Normal 58 4 2 3 3 2" xfId="2868"/>
    <cellStyle name="Normal 58 4 2 3 3 2 2" xfId="16697"/>
    <cellStyle name="Normal 58 4 2 3 3 2 3" xfId="13118"/>
    <cellStyle name="Normal 58 4 2 3 3 2 4" xfId="7829"/>
    <cellStyle name="Normal 58 4 2 3 3 3" xfId="4137"/>
    <cellStyle name="Normal 58 4 2 3 3 3 2" xfId="17782"/>
    <cellStyle name="Normal 58 4 2 3 3 3 3" xfId="14203"/>
    <cellStyle name="Normal 58 4 2 3 3 3 4" xfId="8946"/>
    <cellStyle name="Normal 58 4 2 3 3 4" xfId="6236"/>
    <cellStyle name="Normal 58 4 2 3 3 4 2" xfId="15320"/>
    <cellStyle name="Normal 58 4 2 3 3 5" xfId="10400"/>
    <cellStyle name="Normal 58 4 2 3 3 5 2" xfId="19227"/>
    <cellStyle name="Normal 58 4 2 3 3 6" xfId="11846"/>
    <cellStyle name="Normal 58 4 2 3 3 7" xfId="5423"/>
    <cellStyle name="Normal 58 4 2 3 4" xfId="1548"/>
    <cellStyle name="Normal 58 4 2 3 4 2" xfId="3147"/>
    <cellStyle name="Normal 58 4 2 3 4 2 2" xfId="18061"/>
    <cellStyle name="Normal 58 4 2 3 4 2 3" xfId="14482"/>
    <cellStyle name="Normal 58 4 2 3 4 2 4" xfId="9225"/>
    <cellStyle name="Normal 58 4 2 3 4 3" xfId="10679"/>
    <cellStyle name="Normal 58 4 2 3 4 3 2" xfId="19506"/>
    <cellStyle name="Normal 58 4 2 3 4 4" xfId="12125"/>
    <cellStyle name="Normal 58 4 2 3 4 5" xfId="7120"/>
    <cellStyle name="Normal 58 4 2 3 5" xfId="2104"/>
    <cellStyle name="Normal 58 4 2 3 5 2" xfId="17018"/>
    <cellStyle name="Normal 58 4 2 3 5 3" xfId="13439"/>
    <cellStyle name="Normal 58 4 2 3 5 4" xfId="8182"/>
    <cellStyle name="Normal 58 4 2 3 6" xfId="5743"/>
    <cellStyle name="Normal 58 4 2 3 6 2" xfId="14829"/>
    <cellStyle name="Normal 58 4 2 3 7" xfId="9636"/>
    <cellStyle name="Normal 58 4 2 3 7 2" xfId="18463"/>
    <cellStyle name="Normal 58 4 2 3 8" xfId="11080"/>
    <cellStyle name="Normal 58 4 2 3 9" xfId="4714"/>
    <cellStyle name="Normal 58 4 2 3_Degree data" xfId="1765"/>
    <cellStyle name="Normal 58 4 2 4" xfId="789"/>
    <cellStyle name="Normal 58 4 2 4 2" xfId="2518"/>
    <cellStyle name="Normal 58 4 2 4 2 2" xfId="16034"/>
    <cellStyle name="Normal 58 4 2 4 2 3" xfId="12487"/>
    <cellStyle name="Normal 58 4 2 4 2 4" xfId="7020"/>
    <cellStyle name="Normal 58 4 2 4 3" xfId="3786"/>
    <cellStyle name="Normal 58 4 2 4 3 2" xfId="17432"/>
    <cellStyle name="Normal 58 4 2 4 3 3" xfId="13853"/>
    <cellStyle name="Normal 58 4 2 4 3 4" xfId="8596"/>
    <cellStyle name="Normal 58 4 2 4 4" xfId="6136"/>
    <cellStyle name="Normal 58 4 2 4 4 2" xfId="15220"/>
    <cellStyle name="Normal 58 4 2 4 5" xfId="10050"/>
    <cellStyle name="Normal 58 4 2 4 5 2" xfId="18877"/>
    <cellStyle name="Normal 58 4 2 4 6" xfId="11495"/>
    <cellStyle name="Normal 58 4 2 4 7" xfId="4614"/>
    <cellStyle name="Normal 58 4 2 5" xfId="1146"/>
    <cellStyle name="Normal 58 4 2 5 2" xfId="2866"/>
    <cellStyle name="Normal 58 4 2 5 2 2" xfId="16407"/>
    <cellStyle name="Normal 58 4 2 5 2 3" xfId="12829"/>
    <cellStyle name="Normal 58 4 2 5 2 4" xfId="7539"/>
    <cellStyle name="Normal 58 4 2 5 3" xfId="4135"/>
    <cellStyle name="Normal 58 4 2 5 3 2" xfId="17780"/>
    <cellStyle name="Normal 58 4 2 5 3 3" xfId="14201"/>
    <cellStyle name="Normal 58 4 2 5 3 4" xfId="8944"/>
    <cellStyle name="Normal 58 4 2 5 4" xfId="6655"/>
    <cellStyle name="Normal 58 4 2 5 4 2" xfId="15739"/>
    <cellStyle name="Normal 58 4 2 5 5" xfId="10398"/>
    <cellStyle name="Normal 58 4 2 5 5 2" xfId="19225"/>
    <cellStyle name="Normal 58 4 2 5 6" xfId="11844"/>
    <cellStyle name="Normal 58 4 2 5 7" xfId="5133"/>
    <cellStyle name="Normal 58 4 2 6" xfId="1445"/>
    <cellStyle name="Normal 58 4 2 6 2" xfId="3047"/>
    <cellStyle name="Normal 58 4 2 6 2 2" xfId="16597"/>
    <cellStyle name="Normal 58 4 2 6 2 3" xfId="13018"/>
    <cellStyle name="Normal 58 4 2 6 2 4" xfId="7729"/>
    <cellStyle name="Normal 58 4 2 6 3" xfId="4256"/>
    <cellStyle name="Normal 58 4 2 6 3 2" xfId="17961"/>
    <cellStyle name="Normal 58 4 2 6 3 3" xfId="14382"/>
    <cellStyle name="Normal 58 4 2 6 3 4" xfId="9125"/>
    <cellStyle name="Normal 58 4 2 6 4" xfId="5916"/>
    <cellStyle name="Normal 58 4 2 6 4 2" xfId="15002"/>
    <cellStyle name="Normal 58 4 2 6 5" xfId="10579"/>
    <cellStyle name="Normal 58 4 2 6 5 2" xfId="19406"/>
    <cellStyle name="Normal 58 4 2 6 6" xfId="12025"/>
    <cellStyle name="Normal 58 4 2 6 7" xfId="5323"/>
    <cellStyle name="Normal 58 4 2 7" xfId="2004"/>
    <cellStyle name="Normal 58 4 2 7 2" xfId="15851"/>
    <cellStyle name="Normal 58 4 2 7 3" xfId="12492"/>
    <cellStyle name="Normal 58 4 2 7 4" xfId="6803"/>
    <cellStyle name="Normal 58 4 2 8" xfId="3418"/>
    <cellStyle name="Normal 58 4 2 8 2" xfId="16918"/>
    <cellStyle name="Normal 58 4 2 8 3" xfId="13339"/>
    <cellStyle name="Normal 58 4 2 8 4" xfId="8082"/>
    <cellStyle name="Normal 58 4 2 9" xfId="5643"/>
    <cellStyle name="Normal 58 4 2 9 2" xfId="14729"/>
    <cellStyle name="Normal 58 4 2_Degree data" xfId="1763"/>
    <cellStyle name="Normal 58 4 3" xfId="269"/>
    <cellStyle name="Normal 58 4 3 10" xfId="11023"/>
    <cellStyle name="Normal 58 4 3 11" xfId="4440"/>
    <cellStyle name="Normal 58 4 3 2" xfId="377"/>
    <cellStyle name="Normal 58 4 3 2 2" xfId="793"/>
    <cellStyle name="Normal 58 4 3 2 2 2" xfId="2522"/>
    <cellStyle name="Normal 58 4 3 2 2 2 2" xfId="16411"/>
    <cellStyle name="Normal 58 4 3 2 2 2 3" xfId="12833"/>
    <cellStyle name="Normal 58 4 3 2 2 2 4" xfId="7543"/>
    <cellStyle name="Normal 58 4 3 2 2 3" xfId="3790"/>
    <cellStyle name="Normal 58 4 3 2 2 3 2" xfId="17436"/>
    <cellStyle name="Normal 58 4 3 2 2 3 3" xfId="13857"/>
    <cellStyle name="Normal 58 4 3 2 2 3 4" xfId="8600"/>
    <cellStyle name="Normal 58 4 3 2 2 4" xfId="6659"/>
    <cellStyle name="Normal 58 4 3 2 2 4 2" xfId="15743"/>
    <cellStyle name="Normal 58 4 3 2 2 5" xfId="10054"/>
    <cellStyle name="Normal 58 4 3 2 2 5 2" xfId="18881"/>
    <cellStyle name="Normal 58 4 3 2 2 6" xfId="11499"/>
    <cellStyle name="Normal 58 4 3 2 2 7" xfId="5137"/>
    <cellStyle name="Normal 58 4 3 2 3" xfId="1150"/>
    <cellStyle name="Normal 58 4 3 2 3 2" xfId="2870"/>
    <cellStyle name="Normal 58 4 3 2 3 2 2" xfId="16740"/>
    <cellStyle name="Normal 58 4 3 2 3 2 3" xfId="13161"/>
    <cellStyle name="Normal 58 4 3 2 3 2 4" xfId="7872"/>
    <cellStyle name="Normal 58 4 3 2 3 3" xfId="4139"/>
    <cellStyle name="Normal 58 4 3 2 3 3 2" xfId="17784"/>
    <cellStyle name="Normal 58 4 3 2 3 3 3" xfId="14205"/>
    <cellStyle name="Normal 58 4 3 2 3 3 4" xfId="8948"/>
    <cellStyle name="Normal 58 4 3 2 3 4" xfId="6279"/>
    <cellStyle name="Normal 58 4 3 2 3 4 2" xfId="15363"/>
    <cellStyle name="Normal 58 4 3 2 3 5" xfId="10402"/>
    <cellStyle name="Normal 58 4 3 2 3 5 2" xfId="19229"/>
    <cellStyle name="Normal 58 4 3 2 3 6" xfId="11848"/>
    <cellStyle name="Normal 58 4 3 2 3 7" xfId="5466"/>
    <cellStyle name="Normal 58 4 3 2 4" xfId="1592"/>
    <cellStyle name="Normal 58 4 3 2 4 2" xfId="3190"/>
    <cellStyle name="Normal 58 4 3 2 4 2 2" xfId="18104"/>
    <cellStyle name="Normal 58 4 3 2 4 2 3" xfId="14525"/>
    <cellStyle name="Normal 58 4 3 2 4 2 4" xfId="9268"/>
    <cellStyle name="Normal 58 4 3 2 4 3" xfId="10722"/>
    <cellStyle name="Normal 58 4 3 2 4 3 2" xfId="19549"/>
    <cellStyle name="Normal 58 4 3 2 4 4" xfId="12168"/>
    <cellStyle name="Normal 58 4 3 2 4 5" xfId="7163"/>
    <cellStyle name="Normal 58 4 3 2 5" xfId="2147"/>
    <cellStyle name="Normal 58 4 3 2 5 2" xfId="17061"/>
    <cellStyle name="Normal 58 4 3 2 5 3" xfId="13482"/>
    <cellStyle name="Normal 58 4 3 2 5 4" xfId="8225"/>
    <cellStyle name="Normal 58 4 3 2 6" xfId="5786"/>
    <cellStyle name="Normal 58 4 3 2 6 2" xfId="14872"/>
    <cellStyle name="Normal 58 4 3 2 7" xfId="9679"/>
    <cellStyle name="Normal 58 4 3 2 7 2" xfId="18506"/>
    <cellStyle name="Normal 58 4 3 2 8" xfId="11123"/>
    <cellStyle name="Normal 58 4 3 2 9" xfId="4757"/>
    <cellStyle name="Normal 58 4 3 2_Degree data" xfId="1767"/>
    <cellStyle name="Normal 58 4 3 3" xfId="792"/>
    <cellStyle name="Normal 58 4 3 3 2" xfId="2521"/>
    <cellStyle name="Normal 58 4 3 3 2 2" xfId="16077"/>
    <cellStyle name="Normal 58 4 3 3 2 3" xfId="12390"/>
    <cellStyle name="Normal 58 4 3 3 2 4" xfId="7063"/>
    <cellStyle name="Normal 58 4 3 3 3" xfId="3789"/>
    <cellStyle name="Normal 58 4 3 3 3 2" xfId="17435"/>
    <cellStyle name="Normal 58 4 3 3 3 3" xfId="13856"/>
    <cellStyle name="Normal 58 4 3 3 3 4" xfId="8599"/>
    <cellStyle name="Normal 58 4 3 3 4" xfId="6179"/>
    <cellStyle name="Normal 58 4 3 3 4 2" xfId="15263"/>
    <cellStyle name="Normal 58 4 3 3 5" xfId="10053"/>
    <cellStyle name="Normal 58 4 3 3 5 2" xfId="18880"/>
    <cellStyle name="Normal 58 4 3 3 6" xfId="11498"/>
    <cellStyle name="Normal 58 4 3 3 7" xfId="4657"/>
    <cellStyle name="Normal 58 4 3 4" xfId="1149"/>
    <cellStyle name="Normal 58 4 3 4 2" xfId="2869"/>
    <cellStyle name="Normal 58 4 3 4 2 2" xfId="16410"/>
    <cellStyle name="Normal 58 4 3 4 2 3" xfId="12832"/>
    <cellStyle name="Normal 58 4 3 4 2 4" xfId="7542"/>
    <cellStyle name="Normal 58 4 3 4 3" xfId="4138"/>
    <cellStyle name="Normal 58 4 3 4 3 2" xfId="17783"/>
    <cellStyle name="Normal 58 4 3 4 3 3" xfId="14204"/>
    <cellStyle name="Normal 58 4 3 4 3 4" xfId="8947"/>
    <cellStyle name="Normal 58 4 3 4 4" xfId="6658"/>
    <cellStyle name="Normal 58 4 3 4 4 2" xfId="15742"/>
    <cellStyle name="Normal 58 4 3 4 5" xfId="10401"/>
    <cellStyle name="Normal 58 4 3 4 5 2" xfId="19228"/>
    <cellStyle name="Normal 58 4 3 4 6" xfId="11847"/>
    <cellStyle name="Normal 58 4 3 4 7" xfId="5136"/>
    <cellStyle name="Normal 58 4 3 5" xfId="1490"/>
    <cellStyle name="Normal 58 4 3 5 2" xfId="3090"/>
    <cellStyle name="Normal 58 4 3 5 2 2" xfId="16640"/>
    <cellStyle name="Normal 58 4 3 5 2 3" xfId="13061"/>
    <cellStyle name="Normal 58 4 3 5 2 4" xfId="7772"/>
    <cellStyle name="Normal 58 4 3 5 3" xfId="4299"/>
    <cellStyle name="Normal 58 4 3 5 3 2" xfId="18004"/>
    <cellStyle name="Normal 58 4 3 5 3 3" xfId="14425"/>
    <cellStyle name="Normal 58 4 3 5 3 4" xfId="9168"/>
    <cellStyle name="Normal 58 4 3 5 4" xfId="5960"/>
    <cellStyle name="Normal 58 4 3 5 4 2" xfId="15046"/>
    <cellStyle name="Normal 58 4 3 5 5" xfId="10622"/>
    <cellStyle name="Normal 58 4 3 5 5 2" xfId="19449"/>
    <cellStyle name="Normal 58 4 3 5 6" xfId="12068"/>
    <cellStyle name="Normal 58 4 3 5 7" xfId="5366"/>
    <cellStyle name="Normal 58 4 3 6" xfId="2047"/>
    <cellStyle name="Normal 58 4 3 6 2" xfId="15889"/>
    <cellStyle name="Normal 58 4 3 6 3" xfId="12281"/>
    <cellStyle name="Normal 58 4 3 6 4" xfId="6846"/>
    <cellStyle name="Normal 58 4 3 7" xfId="3461"/>
    <cellStyle name="Normal 58 4 3 7 2" xfId="16961"/>
    <cellStyle name="Normal 58 4 3 7 3" xfId="13382"/>
    <cellStyle name="Normal 58 4 3 7 4" xfId="8125"/>
    <cellStyle name="Normal 58 4 3 8" xfId="5686"/>
    <cellStyle name="Normal 58 4 3 8 2" xfId="14772"/>
    <cellStyle name="Normal 58 4 3 9" xfId="9579"/>
    <cellStyle name="Normal 58 4 3 9 2" xfId="18406"/>
    <cellStyle name="Normal 58 4 3_Degree data" xfId="1766"/>
    <cellStyle name="Normal 58 4 4" xfId="209"/>
    <cellStyle name="Normal 58 4 4 10" xfId="10966"/>
    <cellStyle name="Normal 58 4 4 11" xfId="4488"/>
    <cellStyle name="Normal 58 4 4 2" xfId="426"/>
    <cellStyle name="Normal 58 4 4 2 2" xfId="795"/>
    <cellStyle name="Normal 58 4 4 2 2 2" xfId="2524"/>
    <cellStyle name="Normal 58 4 4 2 2 2 2" xfId="16413"/>
    <cellStyle name="Normal 58 4 4 2 2 2 3" xfId="12835"/>
    <cellStyle name="Normal 58 4 4 2 2 2 4" xfId="7545"/>
    <cellStyle name="Normal 58 4 4 2 2 3" xfId="3792"/>
    <cellStyle name="Normal 58 4 4 2 2 3 2" xfId="17438"/>
    <cellStyle name="Normal 58 4 4 2 2 3 3" xfId="13859"/>
    <cellStyle name="Normal 58 4 4 2 2 3 4" xfId="8602"/>
    <cellStyle name="Normal 58 4 4 2 2 4" xfId="6661"/>
    <cellStyle name="Normal 58 4 4 2 2 4 2" xfId="15745"/>
    <cellStyle name="Normal 58 4 4 2 2 5" xfId="10056"/>
    <cellStyle name="Normal 58 4 4 2 2 5 2" xfId="18883"/>
    <cellStyle name="Normal 58 4 4 2 2 6" xfId="11501"/>
    <cellStyle name="Normal 58 4 4 2 2 7" xfId="5139"/>
    <cellStyle name="Normal 58 4 4 2 3" xfId="1152"/>
    <cellStyle name="Normal 58 4 4 2 3 2" xfId="2872"/>
    <cellStyle name="Normal 58 4 4 2 3 2 2" xfId="16788"/>
    <cellStyle name="Normal 58 4 4 2 3 2 3" xfId="13209"/>
    <cellStyle name="Normal 58 4 4 2 3 2 4" xfId="7920"/>
    <cellStyle name="Normal 58 4 4 2 3 3" xfId="4141"/>
    <cellStyle name="Normal 58 4 4 2 3 3 2" xfId="17786"/>
    <cellStyle name="Normal 58 4 4 2 3 3 3" xfId="14207"/>
    <cellStyle name="Normal 58 4 4 2 3 3 4" xfId="8950"/>
    <cellStyle name="Normal 58 4 4 2 3 4" xfId="6327"/>
    <cellStyle name="Normal 58 4 4 2 3 4 2" xfId="15411"/>
    <cellStyle name="Normal 58 4 4 2 3 5" xfId="10404"/>
    <cellStyle name="Normal 58 4 4 2 3 5 2" xfId="19231"/>
    <cellStyle name="Normal 58 4 4 2 3 6" xfId="11850"/>
    <cellStyle name="Normal 58 4 4 2 3 7" xfId="5514"/>
    <cellStyle name="Normal 58 4 4 2 4" xfId="1642"/>
    <cellStyle name="Normal 58 4 4 2 4 2" xfId="3238"/>
    <cellStyle name="Normal 58 4 4 2 4 2 2" xfId="18152"/>
    <cellStyle name="Normal 58 4 4 2 4 2 3" xfId="14573"/>
    <cellStyle name="Normal 58 4 4 2 4 2 4" xfId="9316"/>
    <cellStyle name="Normal 58 4 4 2 4 3" xfId="10770"/>
    <cellStyle name="Normal 58 4 4 2 4 3 2" xfId="19597"/>
    <cellStyle name="Normal 58 4 4 2 4 4" xfId="12216"/>
    <cellStyle name="Normal 58 4 4 2 4 5" xfId="7211"/>
    <cellStyle name="Normal 58 4 4 2 5" xfId="2195"/>
    <cellStyle name="Normal 58 4 4 2 5 2" xfId="17109"/>
    <cellStyle name="Normal 58 4 4 2 5 3" xfId="13530"/>
    <cellStyle name="Normal 58 4 4 2 5 4" xfId="8273"/>
    <cellStyle name="Normal 58 4 4 2 6" xfId="5834"/>
    <cellStyle name="Normal 58 4 4 2 6 2" xfId="14920"/>
    <cellStyle name="Normal 58 4 4 2 7" xfId="9727"/>
    <cellStyle name="Normal 58 4 4 2 7 2" xfId="18554"/>
    <cellStyle name="Normal 58 4 4 2 8" xfId="11171"/>
    <cellStyle name="Normal 58 4 4 2 9" xfId="4805"/>
    <cellStyle name="Normal 58 4 4 2_Degree data" xfId="1769"/>
    <cellStyle name="Normal 58 4 4 3" xfId="794"/>
    <cellStyle name="Normal 58 4 4 3 2" xfId="2523"/>
    <cellStyle name="Normal 58 4 4 3 2 2" xfId="16020"/>
    <cellStyle name="Normal 58 4 4 3 2 3" xfId="12344"/>
    <cellStyle name="Normal 58 4 4 3 2 4" xfId="7006"/>
    <cellStyle name="Normal 58 4 4 3 3" xfId="3791"/>
    <cellStyle name="Normal 58 4 4 3 3 2" xfId="17437"/>
    <cellStyle name="Normal 58 4 4 3 3 3" xfId="13858"/>
    <cellStyle name="Normal 58 4 4 3 3 4" xfId="8601"/>
    <cellStyle name="Normal 58 4 4 3 4" xfId="6122"/>
    <cellStyle name="Normal 58 4 4 3 4 2" xfId="15206"/>
    <cellStyle name="Normal 58 4 4 3 5" xfId="10055"/>
    <cellStyle name="Normal 58 4 4 3 5 2" xfId="18882"/>
    <cellStyle name="Normal 58 4 4 3 6" xfId="11500"/>
    <cellStyle name="Normal 58 4 4 3 7" xfId="4600"/>
    <cellStyle name="Normal 58 4 4 4" xfId="1151"/>
    <cellStyle name="Normal 58 4 4 4 2" xfId="2871"/>
    <cellStyle name="Normal 58 4 4 4 2 2" xfId="16412"/>
    <cellStyle name="Normal 58 4 4 4 2 3" xfId="12834"/>
    <cellStyle name="Normal 58 4 4 4 2 4" xfId="7544"/>
    <cellStyle name="Normal 58 4 4 4 3" xfId="4140"/>
    <cellStyle name="Normal 58 4 4 4 3 2" xfId="17785"/>
    <cellStyle name="Normal 58 4 4 4 3 3" xfId="14206"/>
    <cellStyle name="Normal 58 4 4 4 3 4" xfId="8949"/>
    <cellStyle name="Normal 58 4 4 4 4" xfId="6660"/>
    <cellStyle name="Normal 58 4 4 4 4 2" xfId="15744"/>
    <cellStyle name="Normal 58 4 4 4 5" xfId="10403"/>
    <cellStyle name="Normal 58 4 4 4 5 2" xfId="19230"/>
    <cellStyle name="Normal 58 4 4 4 6" xfId="11849"/>
    <cellStyle name="Normal 58 4 4 4 7" xfId="5138"/>
    <cellStyle name="Normal 58 4 4 5" xfId="1428"/>
    <cellStyle name="Normal 58 4 4 5 2" xfId="3033"/>
    <cellStyle name="Normal 58 4 4 5 2 2" xfId="16583"/>
    <cellStyle name="Normal 58 4 4 5 2 3" xfId="13004"/>
    <cellStyle name="Normal 58 4 4 5 2 4" xfId="7715"/>
    <cellStyle name="Normal 58 4 4 5 3" xfId="4242"/>
    <cellStyle name="Normal 58 4 4 5 3 2" xfId="17947"/>
    <cellStyle name="Normal 58 4 4 5 3 3" xfId="14368"/>
    <cellStyle name="Normal 58 4 4 5 3 4" xfId="9111"/>
    <cellStyle name="Normal 58 4 4 5 4" xfId="6008"/>
    <cellStyle name="Normal 58 4 4 5 4 2" xfId="15094"/>
    <cellStyle name="Normal 58 4 4 5 5" xfId="10565"/>
    <cellStyle name="Normal 58 4 4 5 5 2" xfId="19392"/>
    <cellStyle name="Normal 58 4 4 5 6" xfId="12011"/>
    <cellStyle name="Normal 58 4 4 5 7" xfId="5309"/>
    <cellStyle name="Normal 58 4 4 6" xfId="1990"/>
    <cellStyle name="Normal 58 4 4 6 2" xfId="15937"/>
    <cellStyle name="Normal 58 4 4 6 3" xfId="12365"/>
    <cellStyle name="Normal 58 4 4 6 4" xfId="6894"/>
    <cellStyle name="Normal 58 4 4 7" xfId="3405"/>
    <cellStyle name="Normal 58 4 4 7 2" xfId="16904"/>
    <cellStyle name="Normal 58 4 4 7 3" xfId="13325"/>
    <cellStyle name="Normal 58 4 4 7 4" xfId="8068"/>
    <cellStyle name="Normal 58 4 4 8" xfId="5629"/>
    <cellStyle name="Normal 58 4 4 8 2" xfId="14715"/>
    <cellStyle name="Normal 58 4 4 9" xfId="9522"/>
    <cellStyle name="Normal 58 4 4 9 2" xfId="18349"/>
    <cellStyle name="Normal 58 4 4_Degree data" xfId="1768"/>
    <cellStyle name="Normal 58 4 5" xfId="320"/>
    <cellStyle name="Normal 58 4 5 2" xfId="796"/>
    <cellStyle name="Normal 58 4 5 2 2" xfId="2525"/>
    <cellStyle name="Normal 58 4 5 2 2 2" xfId="16414"/>
    <cellStyle name="Normal 58 4 5 2 2 3" xfId="12836"/>
    <cellStyle name="Normal 58 4 5 2 2 4" xfId="7546"/>
    <cellStyle name="Normal 58 4 5 2 3" xfId="3793"/>
    <cellStyle name="Normal 58 4 5 2 3 2" xfId="17439"/>
    <cellStyle name="Normal 58 4 5 2 3 3" xfId="13860"/>
    <cellStyle name="Normal 58 4 5 2 3 4" xfId="8603"/>
    <cellStyle name="Normal 58 4 5 2 4" xfId="6662"/>
    <cellStyle name="Normal 58 4 5 2 4 2" xfId="15746"/>
    <cellStyle name="Normal 58 4 5 2 5" xfId="10057"/>
    <cellStyle name="Normal 58 4 5 2 5 2" xfId="18884"/>
    <cellStyle name="Normal 58 4 5 2 6" xfId="11502"/>
    <cellStyle name="Normal 58 4 5 2 7" xfId="5140"/>
    <cellStyle name="Normal 58 4 5 3" xfId="1153"/>
    <cellStyle name="Normal 58 4 5 3 2" xfId="2873"/>
    <cellStyle name="Normal 58 4 5 3 2 2" xfId="16683"/>
    <cellStyle name="Normal 58 4 5 3 2 3" xfId="13104"/>
    <cellStyle name="Normal 58 4 5 3 2 4" xfId="7815"/>
    <cellStyle name="Normal 58 4 5 3 3" xfId="4142"/>
    <cellStyle name="Normal 58 4 5 3 3 2" xfId="17787"/>
    <cellStyle name="Normal 58 4 5 3 3 3" xfId="14208"/>
    <cellStyle name="Normal 58 4 5 3 3 4" xfId="8951"/>
    <cellStyle name="Normal 58 4 5 3 4" xfId="6222"/>
    <cellStyle name="Normal 58 4 5 3 4 2" xfId="15306"/>
    <cellStyle name="Normal 58 4 5 3 5" xfId="10405"/>
    <cellStyle name="Normal 58 4 5 3 5 2" xfId="19232"/>
    <cellStyle name="Normal 58 4 5 3 6" xfId="11851"/>
    <cellStyle name="Normal 58 4 5 3 7" xfId="5409"/>
    <cellStyle name="Normal 58 4 5 4" xfId="1534"/>
    <cellStyle name="Normal 58 4 5 4 2" xfId="3133"/>
    <cellStyle name="Normal 58 4 5 4 2 2" xfId="18047"/>
    <cellStyle name="Normal 58 4 5 4 2 3" xfId="14468"/>
    <cellStyle name="Normal 58 4 5 4 2 4" xfId="9211"/>
    <cellStyle name="Normal 58 4 5 4 3" xfId="10665"/>
    <cellStyle name="Normal 58 4 5 4 3 2" xfId="19492"/>
    <cellStyle name="Normal 58 4 5 4 4" xfId="12111"/>
    <cellStyle name="Normal 58 4 5 4 5" xfId="7106"/>
    <cellStyle name="Normal 58 4 5 5" xfId="2090"/>
    <cellStyle name="Normal 58 4 5 5 2" xfId="17004"/>
    <cellStyle name="Normal 58 4 5 5 3" xfId="13425"/>
    <cellStyle name="Normal 58 4 5 5 4" xfId="8168"/>
    <cellStyle name="Normal 58 4 5 6" xfId="5729"/>
    <cellStyle name="Normal 58 4 5 6 2" xfId="14815"/>
    <cellStyle name="Normal 58 4 5 7" xfId="9622"/>
    <cellStyle name="Normal 58 4 5 7 2" xfId="18449"/>
    <cellStyle name="Normal 58 4 5 8" xfId="11066"/>
    <cellStyle name="Normal 58 4 5 9" xfId="4700"/>
    <cellStyle name="Normal 58 4 5_Degree data" xfId="1770"/>
    <cellStyle name="Normal 58 4 6" xfId="488"/>
    <cellStyle name="Normal 58 4 6 2" xfId="797"/>
    <cellStyle name="Normal 58 4 6 2 2" xfId="2526"/>
    <cellStyle name="Normal 58 4 6 2 2 2" xfId="16415"/>
    <cellStyle name="Normal 58 4 6 2 2 3" xfId="12837"/>
    <cellStyle name="Normal 58 4 6 2 2 4" xfId="7547"/>
    <cellStyle name="Normal 58 4 6 2 3" xfId="3794"/>
    <cellStyle name="Normal 58 4 6 2 3 2" xfId="17440"/>
    <cellStyle name="Normal 58 4 6 2 3 3" xfId="13861"/>
    <cellStyle name="Normal 58 4 6 2 3 4" xfId="8604"/>
    <cellStyle name="Normal 58 4 6 2 4" xfId="6663"/>
    <cellStyle name="Normal 58 4 6 2 4 2" xfId="15747"/>
    <cellStyle name="Normal 58 4 6 2 5" xfId="10058"/>
    <cellStyle name="Normal 58 4 6 2 5 2" xfId="18885"/>
    <cellStyle name="Normal 58 4 6 2 6" xfId="11503"/>
    <cellStyle name="Normal 58 4 6 2 7" xfId="5141"/>
    <cellStyle name="Normal 58 4 6 3" xfId="1154"/>
    <cellStyle name="Normal 58 4 6 3 2" xfId="2874"/>
    <cellStyle name="Normal 58 4 6 3 2 2" xfId="16538"/>
    <cellStyle name="Normal 58 4 6 3 2 3" xfId="12960"/>
    <cellStyle name="Normal 58 4 6 3 2 4" xfId="7670"/>
    <cellStyle name="Normal 58 4 6 3 3" xfId="4143"/>
    <cellStyle name="Normal 58 4 6 3 3 2" xfId="17788"/>
    <cellStyle name="Normal 58 4 6 3 3 3" xfId="14209"/>
    <cellStyle name="Normal 58 4 6 3 3 4" xfId="8952"/>
    <cellStyle name="Normal 58 4 6 3 4" xfId="6758"/>
    <cellStyle name="Normal 58 4 6 3 4 2" xfId="15841"/>
    <cellStyle name="Normal 58 4 6 3 5" xfId="10406"/>
    <cellStyle name="Normal 58 4 6 3 5 2" xfId="19233"/>
    <cellStyle name="Normal 58 4 6 3 6" xfId="11852"/>
    <cellStyle name="Normal 58 4 6 3 7" xfId="5264"/>
    <cellStyle name="Normal 58 4 6 4" xfId="1377"/>
    <cellStyle name="Normal 58 4 6 4 2" xfId="2988"/>
    <cellStyle name="Normal 58 4 6 4 2 2" xfId="17902"/>
    <cellStyle name="Normal 58 4 6 4 2 3" xfId="14323"/>
    <cellStyle name="Normal 58 4 6 4 2 4" xfId="9066"/>
    <cellStyle name="Normal 58 4 6 4 3" xfId="10520"/>
    <cellStyle name="Normal 58 4 6 4 3 2" xfId="19347"/>
    <cellStyle name="Normal 58 4 6 4 4" xfId="11966"/>
    <cellStyle name="Normal 58 4 6 4 5" xfId="6961"/>
    <cellStyle name="Normal 58 4 6 5" xfId="1945"/>
    <cellStyle name="Normal 58 4 6 5 2" xfId="16857"/>
    <cellStyle name="Normal 58 4 6 5 3" xfId="13278"/>
    <cellStyle name="Normal 58 4 6 5 4" xfId="8021"/>
    <cellStyle name="Normal 58 4 6 6" xfId="6077"/>
    <cellStyle name="Normal 58 4 6 6 2" xfId="15161"/>
    <cellStyle name="Normal 58 4 6 7" xfId="9477"/>
    <cellStyle name="Normal 58 4 6 7 2" xfId="18304"/>
    <cellStyle name="Normal 58 4 6 8" xfId="10921"/>
    <cellStyle name="Normal 58 4 6 9" xfId="4555"/>
    <cellStyle name="Normal 58 4 6_Degree data" xfId="1771"/>
    <cellStyle name="Normal 58 4 7" xfId="788"/>
    <cellStyle name="Normal 58 4 7 2" xfId="2517"/>
    <cellStyle name="Normal 58 4 7 2 2" xfId="16406"/>
    <cellStyle name="Normal 58 4 7 2 3" xfId="12828"/>
    <cellStyle name="Normal 58 4 7 2 4" xfId="7538"/>
    <cellStyle name="Normal 58 4 7 3" xfId="3785"/>
    <cellStyle name="Normal 58 4 7 3 2" xfId="17431"/>
    <cellStyle name="Normal 58 4 7 3 3" xfId="13852"/>
    <cellStyle name="Normal 58 4 7 3 4" xfId="8595"/>
    <cellStyle name="Normal 58 4 7 4" xfId="6654"/>
    <cellStyle name="Normal 58 4 7 4 2" xfId="15738"/>
    <cellStyle name="Normal 58 4 7 5" xfId="10049"/>
    <cellStyle name="Normal 58 4 7 5 2" xfId="18876"/>
    <cellStyle name="Normal 58 4 7 6" xfId="11494"/>
    <cellStyle name="Normal 58 4 7 7" xfId="5132"/>
    <cellStyle name="Normal 58 4 8" xfId="1145"/>
    <cellStyle name="Normal 58 4 8 2" xfId="2865"/>
    <cellStyle name="Normal 58 4 8 2 2" xfId="16495"/>
    <cellStyle name="Normal 58 4 8 2 3" xfId="12917"/>
    <cellStyle name="Normal 58 4 8 2 4" xfId="7627"/>
    <cellStyle name="Normal 58 4 8 3" xfId="4134"/>
    <cellStyle name="Normal 58 4 8 3 2" xfId="17779"/>
    <cellStyle name="Normal 58 4 8 3 3" xfId="14200"/>
    <cellStyle name="Normal 58 4 8 3 4" xfId="8943"/>
    <cellStyle name="Normal 58 4 8 4" xfId="5902"/>
    <cellStyle name="Normal 58 4 8 4 2" xfId="14988"/>
    <cellStyle name="Normal 58 4 8 5" xfId="10397"/>
    <cellStyle name="Normal 58 4 8 5 2" xfId="19224"/>
    <cellStyle name="Normal 58 4 8 6" xfId="11843"/>
    <cellStyle name="Normal 58 4 8 7" xfId="5221"/>
    <cellStyle name="Normal 58 4 9" xfId="1306"/>
    <cellStyle name="Normal 58 4 9 2" xfId="2945"/>
    <cellStyle name="Normal 58 4 9 2 2" xfId="17859"/>
    <cellStyle name="Normal 58 4 9 2 3" xfId="14280"/>
    <cellStyle name="Normal 58 4 9 2 4" xfId="9023"/>
    <cellStyle name="Normal 58 4 9 3" xfId="10477"/>
    <cellStyle name="Normal 58 4 9 3 2" xfId="19304"/>
    <cellStyle name="Normal 58 4 9 4" xfId="11923"/>
    <cellStyle name="Normal 58 4 9 5" xfId="6789"/>
    <cellStyle name="Normal 58 4_Degree data" xfId="1762"/>
    <cellStyle name="Normal 58 5" xfId="164"/>
    <cellStyle name="Normal 58 5 10" xfId="1885"/>
    <cellStyle name="Normal 58 5 10 2" xfId="14685"/>
    <cellStyle name="Normal 58 5 10 3" xfId="5599"/>
    <cellStyle name="Normal 58 5 11" xfId="9417"/>
    <cellStyle name="Normal 58 5 11 2" xfId="18244"/>
    <cellStyle name="Normal 58 5 12" xfId="10861"/>
    <cellStyle name="Normal 58 5 13" xfId="4410"/>
    <cellStyle name="Normal 58 5 2" xfId="282"/>
    <cellStyle name="Normal 58 5 2 10" xfId="11036"/>
    <cellStyle name="Normal 58 5 2 11" xfId="4453"/>
    <cellStyle name="Normal 58 5 2 2" xfId="390"/>
    <cellStyle name="Normal 58 5 2 2 2" xfId="800"/>
    <cellStyle name="Normal 58 5 2 2 2 2" xfId="2529"/>
    <cellStyle name="Normal 58 5 2 2 2 2 2" xfId="16418"/>
    <cellStyle name="Normal 58 5 2 2 2 2 3" xfId="12840"/>
    <cellStyle name="Normal 58 5 2 2 2 2 4" xfId="7550"/>
    <cellStyle name="Normal 58 5 2 2 2 3" xfId="3797"/>
    <cellStyle name="Normal 58 5 2 2 2 3 2" xfId="17443"/>
    <cellStyle name="Normal 58 5 2 2 2 3 3" xfId="13864"/>
    <cellStyle name="Normal 58 5 2 2 2 3 4" xfId="8607"/>
    <cellStyle name="Normal 58 5 2 2 2 4" xfId="6666"/>
    <cellStyle name="Normal 58 5 2 2 2 4 2" xfId="15750"/>
    <cellStyle name="Normal 58 5 2 2 2 5" xfId="10061"/>
    <cellStyle name="Normal 58 5 2 2 2 5 2" xfId="18888"/>
    <cellStyle name="Normal 58 5 2 2 2 6" xfId="11506"/>
    <cellStyle name="Normal 58 5 2 2 2 7" xfId="5144"/>
    <cellStyle name="Normal 58 5 2 2 3" xfId="1157"/>
    <cellStyle name="Normal 58 5 2 2 3 2" xfId="2877"/>
    <cellStyle name="Normal 58 5 2 2 3 2 2" xfId="16753"/>
    <cellStyle name="Normal 58 5 2 2 3 2 3" xfId="13174"/>
    <cellStyle name="Normal 58 5 2 2 3 2 4" xfId="7885"/>
    <cellStyle name="Normal 58 5 2 2 3 3" xfId="4146"/>
    <cellStyle name="Normal 58 5 2 2 3 3 2" xfId="17791"/>
    <cellStyle name="Normal 58 5 2 2 3 3 3" xfId="14212"/>
    <cellStyle name="Normal 58 5 2 2 3 3 4" xfId="8955"/>
    <cellStyle name="Normal 58 5 2 2 3 4" xfId="6292"/>
    <cellStyle name="Normal 58 5 2 2 3 4 2" xfId="15376"/>
    <cellStyle name="Normal 58 5 2 2 3 5" xfId="10409"/>
    <cellStyle name="Normal 58 5 2 2 3 5 2" xfId="19236"/>
    <cellStyle name="Normal 58 5 2 2 3 6" xfId="11855"/>
    <cellStyle name="Normal 58 5 2 2 3 7" xfId="5479"/>
    <cellStyle name="Normal 58 5 2 2 4" xfId="1606"/>
    <cellStyle name="Normal 58 5 2 2 4 2" xfId="3203"/>
    <cellStyle name="Normal 58 5 2 2 4 2 2" xfId="18117"/>
    <cellStyle name="Normal 58 5 2 2 4 2 3" xfId="14538"/>
    <cellStyle name="Normal 58 5 2 2 4 2 4" xfId="9281"/>
    <cellStyle name="Normal 58 5 2 2 4 3" xfId="10735"/>
    <cellStyle name="Normal 58 5 2 2 4 3 2" xfId="19562"/>
    <cellStyle name="Normal 58 5 2 2 4 4" xfId="12181"/>
    <cellStyle name="Normal 58 5 2 2 4 5" xfId="7176"/>
    <cellStyle name="Normal 58 5 2 2 5" xfId="2160"/>
    <cellStyle name="Normal 58 5 2 2 5 2" xfId="17074"/>
    <cellStyle name="Normal 58 5 2 2 5 3" xfId="13495"/>
    <cellStyle name="Normal 58 5 2 2 5 4" xfId="8238"/>
    <cellStyle name="Normal 58 5 2 2 6" xfId="5799"/>
    <cellStyle name="Normal 58 5 2 2 6 2" xfId="14885"/>
    <cellStyle name="Normal 58 5 2 2 7" xfId="9692"/>
    <cellStyle name="Normal 58 5 2 2 7 2" xfId="18519"/>
    <cellStyle name="Normal 58 5 2 2 8" xfId="11136"/>
    <cellStyle name="Normal 58 5 2 2 9" xfId="4770"/>
    <cellStyle name="Normal 58 5 2 2_Degree data" xfId="1774"/>
    <cellStyle name="Normal 58 5 2 3" xfId="799"/>
    <cellStyle name="Normal 58 5 2 3 2" xfId="2528"/>
    <cellStyle name="Normal 58 5 2 3 2 2" xfId="16090"/>
    <cellStyle name="Normal 58 5 2 3 2 3" xfId="12327"/>
    <cellStyle name="Normal 58 5 2 3 2 4" xfId="7076"/>
    <cellStyle name="Normal 58 5 2 3 3" xfId="3796"/>
    <cellStyle name="Normal 58 5 2 3 3 2" xfId="17442"/>
    <cellStyle name="Normal 58 5 2 3 3 3" xfId="13863"/>
    <cellStyle name="Normal 58 5 2 3 3 4" xfId="8606"/>
    <cellStyle name="Normal 58 5 2 3 4" xfId="6192"/>
    <cellStyle name="Normal 58 5 2 3 4 2" xfId="15276"/>
    <cellStyle name="Normal 58 5 2 3 5" xfId="10060"/>
    <cellStyle name="Normal 58 5 2 3 5 2" xfId="18887"/>
    <cellStyle name="Normal 58 5 2 3 6" xfId="11505"/>
    <cellStyle name="Normal 58 5 2 3 7" xfId="4670"/>
    <cellStyle name="Normal 58 5 2 4" xfId="1156"/>
    <cellStyle name="Normal 58 5 2 4 2" xfId="2876"/>
    <cellStyle name="Normal 58 5 2 4 2 2" xfId="16417"/>
    <cellStyle name="Normal 58 5 2 4 2 3" xfId="12839"/>
    <cellStyle name="Normal 58 5 2 4 2 4" xfId="7549"/>
    <cellStyle name="Normal 58 5 2 4 3" xfId="4145"/>
    <cellStyle name="Normal 58 5 2 4 3 2" xfId="17790"/>
    <cellStyle name="Normal 58 5 2 4 3 3" xfId="14211"/>
    <cellStyle name="Normal 58 5 2 4 3 4" xfId="8954"/>
    <cellStyle name="Normal 58 5 2 4 4" xfId="6665"/>
    <cellStyle name="Normal 58 5 2 4 4 2" xfId="15749"/>
    <cellStyle name="Normal 58 5 2 4 5" xfId="10408"/>
    <cellStyle name="Normal 58 5 2 4 5 2" xfId="19235"/>
    <cellStyle name="Normal 58 5 2 4 6" xfId="11854"/>
    <cellStyle name="Normal 58 5 2 4 7" xfId="5143"/>
    <cellStyle name="Normal 58 5 2 5" xfId="1504"/>
    <cellStyle name="Normal 58 5 2 5 2" xfId="3103"/>
    <cellStyle name="Normal 58 5 2 5 2 2" xfId="16653"/>
    <cellStyle name="Normal 58 5 2 5 2 3" xfId="13074"/>
    <cellStyle name="Normal 58 5 2 5 2 4" xfId="7785"/>
    <cellStyle name="Normal 58 5 2 5 3" xfId="4312"/>
    <cellStyle name="Normal 58 5 2 5 3 2" xfId="18017"/>
    <cellStyle name="Normal 58 5 2 5 3 3" xfId="14438"/>
    <cellStyle name="Normal 58 5 2 5 3 4" xfId="9181"/>
    <cellStyle name="Normal 58 5 2 5 4" xfId="5973"/>
    <cellStyle name="Normal 58 5 2 5 4 2" xfId="15059"/>
    <cellStyle name="Normal 58 5 2 5 5" xfId="10635"/>
    <cellStyle name="Normal 58 5 2 5 5 2" xfId="19462"/>
    <cellStyle name="Normal 58 5 2 5 6" xfId="12081"/>
    <cellStyle name="Normal 58 5 2 5 7" xfId="5379"/>
    <cellStyle name="Normal 58 5 2 6" xfId="2060"/>
    <cellStyle name="Normal 58 5 2 6 2" xfId="15902"/>
    <cellStyle name="Normal 58 5 2 6 3" xfId="10830"/>
    <cellStyle name="Normal 58 5 2 6 4" xfId="6859"/>
    <cellStyle name="Normal 58 5 2 7" xfId="3474"/>
    <cellStyle name="Normal 58 5 2 7 2" xfId="16974"/>
    <cellStyle name="Normal 58 5 2 7 3" xfId="13395"/>
    <cellStyle name="Normal 58 5 2 7 4" xfId="8138"/>
    <cellStyle name="Normal 58 5 2 8" xfId="5699"/>
    <cellStyle name="Normal 58 5 2 8 2" xfId="14785"/>
    <cellStyle name="Normal 58 5 2 9" xfId="9592"/>
    <cellStyle name="Normal 58 5 2 9 2" xfId="18419"/>
    <cellStyle name="Normal 58 5 2_Degree data" xfId="1773"/>
    <cellStyle name="Normal 58 5 3" xfId="239"/>
    <cellStyle name="Normal 58 5 3 10" xfId="10993"/>
    <cellStyle name="Normal 58 5 3 11" xfId="4514"/>
    <cellStyle name="Normal 58 5 3 2" xfId="452"/>
    <cellStyle name="Normal 58 5 3 2 2" xfId="802"/>
    <cellStyle name="Normal 58 5 3 2 2 2" xfId="2531"/>
    <cellStyle name="Normal 58 5 3 2 2 2 2" xfId="16420"/>
    <cellStyle name="Normal 58 5 3 2 2 2 3" xfId="12842"/>
    <cellStyle name="Normal 58 5 3 2 2 2 4" xfId="7552"/>
    <cellStyle name="Normal 58 5 3 2 2 3" xfId="3799"/>
    <cellStyle name="Normal 58 5 3 2 2 3 2" xfId="17445"/>
    <cellStyle name="Normal 58 5 3 2 2 3 3" xfId="13866"/>
    <cellStyle name="Normal 58 5 3 2 2 3 4" xfId="8609"/>
    <cellStyle name="Normal 58 5 3 2 2 4" xfId="6668"/>
    <cellStyle name="Normal 58 5 3 2 2 4 2" xfId="15752"/>
    <cellStyle name="Normal 58 5 3 2 2 5" xfId="10063"/>
    <cellStyle name="Normal 58 5 3 2 2 5 2" xfId="18890"/>
    <cellStyle name="Normal 58 5 3 2 2 6" xfId="11508"/>
    <cellStyle name="Normal 58 5 3 2 2 7" xfId="5146"/>
    <cellStyle name="Normal 58 5 3 2 3" xfId="1159"/>
    <cellStyle name="Normal 58 5 3 2 3 2" xfId="2879"/>
    <cellStyle name="Normal 58 5 3 2 3 2 2" xfId="16814"/>
    <cellStyle name="Normal 58 5 3 2 3 2 3" xfId="13235"/>
    <cellStyle name="Normal 58 5 3 2 3 2 4" xfId="7946"/>
    <cellStyle name="Normal 58 5 3 2 3 3" xfId="4148"/>
    <cellStyle name="Normal 58 5 3 2 3 3 2" xfId="17793"/>
    <cellStyle name="Normal 58 5 3 2 3 3 3" xfId="14214"/>
    <cellStyle name="Normal 58 5 3 2 3 3 4" xfId="8957"/>
    <cellStyle name="Normal 58 5 3 2 3 4" xfId="6353"/>
    <cellStyle name="Normal 58 5 3 2 3 4 2" xfId="15437"/>
    <cellStyle name="Normal 58 5 3 2 3 5" xfId="10411"/>
    <cellStyle name="Normal 58 5 3 2 3 5 2" xfId="19238"/>
    <cellStyle name="Normal 58 5 3 2 3 6" xfId="11857"/>
    <cellStyle name="Normal 58 5 3 2 3 7" xfId="5540"/>
    <cellStyle name="Normal 58 5 3 2 4" xfId="1668"/>
    <cellStyle name="Normal 58 5 3 2 4 2" xfId="3264"/>
    <cellStyle name="Normal 58 5 3 2 4 2 2" xfId="18178"/>
    <cellStyle name="Normal 58 5 3 2 4 2 3" xfId="14599"/>
    <cellStyle name="Normal 58 5 3 2 4 2 4" xfId="9342"/>
    <cellStyle name="Normal 58 5 3 2 4 3" xfId="10796"/>
    <cellStyle name="Normal 58 5 3 2 4 3 2" xfId="19623"/>
    <cellStyle name="Normal 58 5 3 2 4 4" xfId="12242"/>
    <cellStyle name="Normal 58 5 3 2 4 5" xfId="7237"/>
    <cellStyle name="Normal 58 5 3 2 5" xfId="2221"/>
    <cellStyle name="Normal 58 5 3 2 5 2" xfId="17135"/>
    <cellStyle name="Normal 58 5 3 2 5 3" xfId="13556"/>
    <cellStyle name="Normal 58 5 3 2 5 4" xfId="8299"/>
    <cellStyle name="Normal 58 5 3 2 6" xfId="5860"/>
    <cellStyle name="Normal 58 5 3 2 6 2" xfId="14946"/>
    <cellStyle name="Normal 58 5 3 2 7" xfId="9753"/>
    <cellStyle name="Normal 58 5 3 2 7 2" xfId="18580"/>
    <cellStyle name="Normal 58 5 3 2 8" xfId="11197"/>
    <cellStyle name="Normal 58 5 3 2 9" xfId="4831"/>
    <cellStyle name="Normal 58 5 3 2_Degree data" xfId="1776"/>
    <cellStyle name="Normal 58 5 3 3" xfId="801"/>
    <cellStyle name="Normal 58 5 3 3 2" xfId="2530"/>
    <cellStyle name="Normal 58 5 3 3 2 2" xfId="16047"/>
    <cellStyle name="Normal 58 5 3 3 2 3" xfId="12338"/>
    <cellStyle name="Normal 58 5 3 3 2 4" xfId="7033"/>
    <cellStyle name="Normal 58 5 3 3 3" xfId="3798"/>
    <cellStyle name="Normal 58 5 3 3 3 2" xfId="17444"/>
    <cellStyle name="Normal 58 5 3 3 3 3" xfId="13865"/>
    <cellStyle name="Normal 58 5 3 3 3 4" xfId="8608"/>
    <cellStyle name="Normal 58 5 3 3 4" xfId="6149"/>
    <cellStyle name="Normal 58 5 3 3 4 2" xfId="15233"/>
    <cellStyle name="Normal 58 5 3 3 5" xfId="10062"/>
    <cellStyle name="Normal 58 5 3 3 5 2" xfId="18889"/>
    <cellStyle name="Normal 58 5 3 3 6" xfId="11507"/>
    <cellStyle name="Normal 58 5 3 3 7" xfId="4627"/>
    <cellStyle name="Normal 58 5 3 4" xfId="1158"/>
    <cellStyle name="Normal 58 5 3 4 2" xfId="2878"/>
    <cellStyle name="Normal 58 5 3 4 2 2" xfId="16419"/>
    <cellStyle name="Normal 58 5 3 4 2 3" xfId="12841"/>
    <cellStyle name="Normal 58 5 3 4 2 4" xfId="7551"/>
    <cellStyle name="Normal 58 5 3 4 3" xfId="4147"/>
    <cellStyle name="Normal 58 5 3 4 3 2" xfId="17792"/>
    <cellStyle name="Normal 58 5 3 4 3 3" xfId="14213"/>
    <cellStyle name="Normal 58 5 3 4 3 4" xfId="8956"/>
    <cellStyle name="Normal 58 5 3 4 4" xfId="6667"/>
    <cellStyle name="Normal 58 5 3 4 4 2" xfId="15751"/>
    <cellStyle name="Normal 58 5 3 4 5" xfId="10410"/>
    <cellStyle name="Normal 58 5 3 4 5 2" xfId="19237"/>
    <cellStyle name="Normal 58 5 3 4 6" xfId="11856"/>
    <cellStyle name="Normal 58 5 3 4 7" xfId="5145"/>
    <cellStyle name="Normal 58 5 3 5" xfId="1459"/>
    <cellStyle name="Normal 58 5 3 5 2" xfId="3060"/>
    <cellStyle name="Normal 58 5 3 5 2 2" xfId="16610"/>
    <cellStyle name="Normal 58 5 3 5 2 3" xfId="13031"/>
    <cellStyle name="Normal 58 5 3 5 2 4" xfId="7742"/>
    <cellStyle name="Normal 58 5 3 5 3" xfId="4269"/>
    <cellStyle name="Normal 58 5 3 5 3 2" xfId="17974"/>
    <cellStyle name="Normal 58 5 3 5 3 3" xfId="14395"/>
    <cellStyle name="Normal 58 5 3 5 3 4" xfId="9138"/>
    <cellStyle name="Normal 58 5 3 5 4" xfId="6034"/>
    <cellStyle name="Normal 58 5 3 5 4 2" xfId="15120"/>
    <cellStyle name="Normal 58 5 3 5 5" xfId="10592"/>
    <cellStyle name="Normal 58 5 3 5 5 2" xfId="19419"/>
    <cellStyle name="Normal 58 5 3 5 6" xfId="12038"/>
    <cellStyle name="Normal 58 5 3 5 7" xfId="5336"/>
    <cellStyle name="Normal 58 5 3 6" xfId="2017"/>
    <cellStyle name="Normal 58 5 3 6 2" xfId="15963"/>
    <cellStyle name="Normal 58 5 3 6 3" xfId="12417"/>
    <cellStyle name="Normal 58 5 3 6 4" xfId="6920"/>
    <cellStyle name="Normal 58 5 3 7" xfId="3431"/>
    <cellStyle name="Normal 58 5 3 7 2" xfId="16931"/>
    <cellStyle name="Normal 58 5 3 7 3" xfId="13352"/>
    <cellStyle name="Normal 58 5 3 7 4" xfId="8095"/>
    <cellStyle name="Normal 58 5 3 8" xfId="5656"/>
    <cellStyle name="Normal 58 5 3 8 2" xfId="14742"/>
    <cellStyle name="Normal 58 5 3 9" xfId="9549"/>
    <cellStyle name="Normal 58 5 3 9 2" xfId="18376"/>
    <cellStyle name="Normal 58 5 3_Degree data" xfId="1775"/>
    <cellStyle name="Normal 58 5 4" xfId="347"/>
    <cellStyle name="Normal 58 5 4 2" xfId="803"/>
    <cellStyle name="Normal 58 5 4 2 2" xfId="2532"/>
    <cellStyle name="Normal 58 5 4 2 2 2" xfId="16421"/>
    <cellStyle name="Normal 58 5 4 2 2 3" xfId="12843"/>
    <cellStyle name="Normal 58 5 4 2 2 4" xfId="7553"/>
    <cellStyle name="Normal 58 5 4 2 3" xfId="3800"/>
    <cellStyle name="Normal 58 5 4 2 3 2" xfId="17446"/>
    <cellStyle name="Normal 58 5 4 2 3 3" xfId="13867"/>
    <cellStyle name="Normal 58 5 4 2 3 4" xfId="8610"/>
    <cellStyle name="Normal 58 5 4 2 4" xfId="6669"/>
    <cellStyle name="Normal 58 5 4 2 4 2" xfId="15753"/>
    <cellStyle name="Normal 58 5 4 2 5" xfId="10064"/>
    <cellStyle name="Normal 58 5 4 2 5 2" xfId="18891"/>
    <cellStyle name="Normal 58 5 4 2 6" xfId="11509"/>
    <cellStyle name="Normal 58 5 4 2 7" xfId="5147"/>
    <cellStyle name="Normal 58 5 4 3" xfId="1160"/>
    <cellStyle name="Normal 58 5 4 3 2" xfId="2880"/>
    <cellStyle name="Normal 58 5 4 3 2 2" xfId="16710"/>
    <cellStyle name="Normal 58 5 4 3 2 3" xfId="13131"/>
    <cellStyle name="Normal 58 5 4 3 2 4" xfId="7842"/>
    <cellStyle name="Normal 58 5 4 3 3" xfId="4149"/>
    <cellStyle name="Normal 58 5 4 3 3 2" xfId="17794"/>
    <cellStyle name="Normal 58 5 4 3 3 3" xfId="14215"/>
    <cellStyle name="Normal 58 5 4 3 3 4" xfId="8958"/>
    <cellStyle name="Normal 58 5 4 3 4" xfId="6249"/>
    <cellStyle name="Normal 58 5 4 3 4 2" xfId="15333"/>
    <cellStyle name="Normal 58 5 4 3 5" xfId="10412"/>
    <cellStyle name="Normal 58 5 4 3 5 2" xfId="19239"/>
    <cellStyle name="Normal 58 5 4 3 6" xfId="11858"/>
    <cellStyle name="Normal 58 5 4 3 7" xfId="5436"/>
    <cellStyle name="Normal 58 5 4 4" xfId="1561"/>
    <cellStyle name="Normal 58 5 4 4 2" xfId="3160"/>
    <cellStyle name="Normal 58 5 4 4 2 2" xfId="18074"/>
    <cellStyle name="Normal 58 5 4 4 2 3" xfId="14495"/>
    <cellStyle name="Normal 58 5 4 4 2 4" xfId="9238"/>
    <cellStyle name="Normal 58 5 4 4 3" xfId="10692"/>
    <cellStyle name="Normal 58 5 4 4 3 2" xfId="19519"/>
    <cellStyle name="Normal 58 5 4 4 4" xfId="12138"/>
    <cellStyle name="Normal 58 5 4 4 5" xfId="7133"/>
    <cellStyle name="Normal 58 5 4 5" xfId="2117"/>
    <cellStyle name="Normal 58 5 4 5 2" xfId="17031"/>
    <cellStyle name="Normal 58 5 4 5 3" xfId="13452"/>
    <cellStyle name="Normal 58 5 4 5 4" xfId="8195"/>
    <cellStyle name="Normal 58 5 4 6" xfId="5756"/>
    <cellStyle name="Normal 58 5 4 6 2" xfId="14842"/>
    <cellStyle name="Normal 58 5 4 7" xfId="9649"/>
    <cellStyle name="Normal 58 5 4 7 2" xfId="18476"/>
    <cellStyle name="Normal 58 5 4 8" xfId="11093"/>
    <cellStyle name="Normal 58 5 4 9" xfId="4727"/>
    <cellStyle name="Normal 58 5 4_Degree data" xfId="1777"/>
    <cellStyle name="Normal 58 5 5" xfId="498"/>
    <cellStyle name="Normal 58 5 5 2" xfId="804"/>
    <cellStyle name="Normal 58 5 5 2 2" xfId="2533"/>
    <cellStyle name="Normal 58 5 5 2 2 2" xfId="16422"/>
    <cellStyle name="Normal 58 5 5 2 2 3" xfId="12844"/>
    <cellStyle name="Normal 58 5 5 2 2 4" xfId="7554"/>
    <cellStyle name="Normal 58 5 5 2 3" xfId="3801"/>
    <cellStyle name="Normal 58 5 5 2 3 2" xfId="17447"/>
    <cellStyle name="Normal 58 5 5 2 3 3" xfId="13868"/>
    <cellStyle name="Normal 58 5 5 2 3 4" xfId="8611"/>
    <cellStyle name="Normal 58 5 5 2 4" xfId="6670"/>
    <cellStyle name="Normal 58 5 5 2 4 2" xfId="15754"/>
    <cellStyle name="Normal 58 5 5 2 5" xfId="10065"/>
    <cellStyle name="Normal 58 5 5 2 5 2" xfId="18892"/>
    <cellStyle name="Normal 58 5 5 2 6" xfId="11510"/>
    <cellStyle name="Normal 58 5 5 2 7" xfId="5148"/>
    <cellStyle name="Normal 58 5 5 3" xfId="1161"/>
    <cellStyle name="Normal 58 5 5 3 2" xfId="2881"/>
    <cellStyle name="Normal 58 5 5 3 2 2" xfId="16553"/>
    <cellStyle name="Normal 58 5 5 3 2 3" xfId="12974"/>
    <cellStyle name="Normal 58 5 5 3 2 4" xfId="7685"/>
    <cellStyle name="Normal 58 5 5 3 3" xfId="4150"/>
    <cellStyle name="Normal 58 5 5 3 3 2" xfId="17795"/>
    <cellStyle name="Normal 58 5 5 3 3 3" xfId="14216"/>
    <cellStyle name="Normal 58 5 5 3 3 4" xfId="8959"/>
    <cellStyle name="Normal 58 5 5 3 4" xfId="6759"/>
    <cellStyle name="Normal 58 5 5 3 4 2" xfId="15842"/>
    <cellStyle name="Normal 58 5 5 3 5" xfId="10413"/>
    <cellStyle name="Normal 58 5 5 3 5 2" xfId="19240"/>
    <cellStyle name="Normal 58 5 5 3 6" xfId="11859"/>
    <cellStyle name="Normal 58 5 5 3 7" xfId="5279"/>
    <cellStyle name="Normal 58 5 5 4" xfId="1394"/>
    <cellStyle name="Normal 58 5 5 4 2" xfId="3003"/>
    <cellStyle name="Normal 58 5 5 4 2 2" xfId="17917"/>
    <cellStyle name="Normal 58 5 5 4 2 3" xfId="14338"/>
    <cellStyle name="Normal 58 5 5 4 2 4" xfId="9081"/>
    <cellStyle name="Normal 58 5 5 4 3" xfId="10535"/>
    <cellStyle name="Normal 58 5 5 4 3 2" xfId="19362"/>
    <cellStyle name="Normal 58 5 5 4 4" xfId="11981"/>
    <cellStyle name="Normal 58 5 5 4 5" xfId="6976"/>
    <cellStyle name="Normal 58 5 5 5" xfId="1960"/>
    <cellStyle name="Normal 58 5 5 5 2" xfId="16872"/>
    <cellStyle name="Normal 58 5 5 5 3" xfId="13293"/>
    <cellStyle name="Normal 58 5 5 5 4" xfId="8036"/>
    <cellStyle name="Normal 58 5 5 6" xfId="6092"/>
    <cellStyle name="Normal 58 5 5 6 2" xfId="15176"/>
    <cellStyle name="Normal 58 5 5 7" xfId="9492"/>
    <cellStyle name="Normal 58 5 5 7 2" xfId="18319"/>
    <cellStyle name="Normal 58 5 5 8" xfId="10936"/>
    <cellStyle name="Normal 58 5 5 9" xfId="4570"/>
    <cellStyle name="Normal 58 5 5_Degree data" xfId="1778"/>
    <cellStyle name="Normal 58 5 6" xfId="798"/>
    <cellStyle name="Normal 58 5 6 2" xfId="2527"/>
    <cellStyle name="Normal 58 5 6 2 2" xfId="16416"/>
    <cellStyle name="Normal 58 5 6 2 3" xfId="12838"/>
    <cellStyle name="Normal 58 5 6 2 4" xfId="7548"/>
    <cellStyle name="Normal 58 5 6 3" xfId="3795"/>
    <cellStyle name="Normal 58 5 6 3 2" xfId="17441"/>
    <cellStyle name="Normal 58 5 6 3 3" xfId="13862"/>
    <cellStyle name="Normal 58 5 6 3 4" xfId="8605"/>
    <cellStyle name="Normal 58 5 6 4" xfId="6664"/>
    <cellStyle name="Normal 58 5 6 4 2" xfId="15748"/>
    <cellStyle name="Normal 58 5 6 5" xfId="10059"/>
    <cellStyle name="Normal 58 5 6 5 2" xfId="18886"/>
    <cellStyle name="Normal 58 5 6 6" xfId="11504"/>
    <cellStyle name="Normal 58 5 6 7" xfId="5142"/>
    <cellStyle name="Normal 58 5 7" xfId="1155"/>
    <cellStyle name="Normal 58 5 7 2" xfId="2875"/>
    <cellStyle name="Normal 58 5 7 2 2" xfId="16508"/>
    <cellStyle name="Normal 58 5 7 2 3" xfId="12930"/>
    <cellStyle name="Normal 58 5 7 2 4" xfId="7640"/>
    <cellStyle name="Normal 58 5 7 3" xfId="4144"/>
    <cellStyle name="Normal 58 5 7 3 2" xfId="17789"/>
    <cellStyle name="Normal 58 5 7 3 3" xfId="14210"/>
    <cellStyle name="Normal 58 5 7 3 4" xfId="8953"/>
    <cellStyle name="Normal 58 5 7 4" xfId="5930"/>
    <cellStyle name="Normal 58 5 7 4 2" xfId="15016"/>
    <cellStyle name="Normal 58 5 7 5" xfId="10407"/>
    <cellStyle name="Normal 58 5 7 5 2" xfId="19234"/>
    <cellStyle name="Normal 58 5 7 6" xfId="11853"/>
    <cellStyle name="Normal 58 5 7 7" xfId="5234"/>
    <cellStyle name="Normal 58 5 8" xfId="1345"/>
    <cellStyle name="Normal 58 5 8 2" xfId="2958"/>
    <cellStyle name="Normal 58 5 8 2 2" xfId="17872"/>
    <cellStyle name="Normal 58 5 8 2 3" xfId="14293"/>
    <cellStyle name="Normal 58 5 8 2 4" xfId="9036"/>
    <cellStyle name="Normal 58 5 8 3" xfId="10490"/>
    <cellStyle name="Normal 58 5 8 3 2" xfId="19317"/>
    <cellStyle name="Normal 58 5 8 4" xfId="11936"/>
    <cellStyle name="Normal 58 5 8 5" xfId="6816"/>
    <cellStyle name="Normal 58 5 9" xfId="1915"/>
    <cellStyle name="Normal 58 5 9 2" xfId="9447"/>
    <cellStyle name="Normal 58 5 9 2 2" xfId="18274"/>
    <cellStyle name="Normal 58 5 9 3" xfId="10891"/>
    <cellStyle name="Normal 58 5 9 4" xfId="7991"/>
    <cellStyle name="Normal 58 5_Degree data" xfId="1772"/>
    <cellStyle name="Normal 58 6" xfId="150"/>
    <cellStyle name="Normal 58 6 10" xfId="5577"/>
    <cellStyle name="Normal 58 6 10 2" xfId="14663"/>
    <cellStyle name="Normal 58 6 11" xfId="9397"/>
    <cellStyle name="Normal 58 6 11 2" xfId="18224"/>
    <cellStyle name="Normal 58 6 12" xfId="10837"/>
    <cellStyle name="Normal 58 6 13" xfId="4390"/>
    <cellStyle name="Normal 58 6 2" xfId="262"/>
    <cellStyle name="Normal 58 6 2 10" xfId="11016"/>
    <cellStyle name="Normal 58 6 2 11" xfId="4433"/>
    <cellStyle name="Normal 58 6 2 2" xfId="370"/>
    <cellStyle name="Normal 58 6 2 2 2" xfId="807"/>
    <cellStyle name="Normal 58 6 2 2 2 2" xfId="2536"/>
    <cellStyle name="Normal 58 6 2 2 2 2 2" xfId="16425"/>
    <cellStyle name="Normal 58 6 2 2 2 2 3" xfId="12847"/>
    <cellStyle name="Normal 58 6 2 2 2 2 4" xfId="7557"/>
    <cellStyle name="Normal 58 6 2 2 2 3" xfId="3804"/>
    <cellStyle name="Normal 58 6 2 2 2 3 2" xfId="17450"/>
    <cellStyle name="Normal 58 6 2 2 2 3 3" xfId="13871"/>
    <cellStyle name="Normal 58 6 2 2 2 3 4" xfId="8614"/>
    <cellStyle name="Normal 58 6 2 2 2 4" xfId="6673"/>
    <cellStyle name="Normal 58 6 2 2 2 4 2" xfId="15757"/>
    <cellStyle name="Normal 58 6 2 2 2 5" xfId="10068"/>
    <cellStyle name="Normal 58 6 2 2 2 5 2" xfId="18895"/>
    <cellStyle name="Normal 58 6 2 2 2 6" xfId="11513"/>
    <cellStyle name="Normal 58 6 2 2 2 7" xfId="5151"/>
    <cellStyle name="Normal 58 6 2 2 3" xfId="1164"/>
    <cellStyle name="Normal 58 6 2 2 3 2" xfId="2884"/>
    <cellStyle name="Normal 58 6 2 2 3 2 2" xfId="16733"/>
    <cellStyle name="Normal 58 6 2 2 3 2 3" xfId="13154"/>
    <cellStyle name="Normal 58 6 2 2 3 2 4" xfId="7865"/>
    <cellStyle name="Normal 58 6 2 2 3 3" xfId="4153"/>
    <cellStyle name="Normal 58 6 2 2 3 3 2" xfId="17798"/>
    <cellStyle name="Normal 58 6 2 2 3 3 3" xfId="14219"/>
    <cellStyle name="Normal 58 6 2 2 3 3 4" xfId="8962"/>
    <cellStyle name="Normal 58 6 2 2 3 4" xfId="6272"/>
    <cellStyle name="Normal 58 6 2 2 3 4 2" xfId="15356"/>
    <cellStyle name="Normal 58 6 2 2 3 5" xfId="10416"/>
    <cellStyle name="Normal 58 6 2 2 3 5 2" xfId="19243"/>
    <cellStyle name="Normal 58 6 2 2 3 6" xfId="11862"/>
    <cellStyle name="Normal 58 6 2 2 3 7" xfId="5459"/>
    <cellStyle name="Normal 58 6 2 2 4" xfId="1585"/>
    <cellStyle name="Normal 58 6 2 2 4 2" xfId="3183"/>
    <cellStyle name="Normal 58 6 2 2 4 2 2" xfId="18097"/>
    <cellStyle name="Normal 58 6 2 2 4 2 3" xfId="14518"/>
    <cellStyle name="Normal 58 6 2 2 4 2 4" xfId="9261"/>
    <cellStyle name="Normal 58 6 2 2 4 3" xfId="10715"/>
    <cellStyle name="Normal 58 6 2 2 4 3 2" xfId="19542"/>
    <cellStyle name="Normal 58 6 2 2 4 4" xfId="12161"/>
    <cellStyle name="Normal 58 6 2 2 4 5" xfId="7156"/>
    <cellStyle name="Normal 58 6 2 2 5" xfId="2140"/>
    <cellStyle name="Normal 58 6 2 2 5 2" xfId="17054"/>
    <cellStyle name="Normal 58 6 2 2 5 3" xfId="13475"/>
    <cellStyle name="Normal 58 6 2 2 5 4" xfId="8218"/>
    <cellStyle name="Normal 58 6 2 2 6" xfId="5779"/>
    <cellStyle name="Normal 58 6 2 2 6 2" xfId="14865"/>
    <cellStyle name="Normal 58 6 2 2 7" xfId="9672"/>
    <cellStyle name="Normal 58 6 2 2 7 2" xfId="18499"/>
    <cellStyle name="Normal 58 6 2 2 8" xfId="11116"/>
    <cellStyle name="Normal 58 6 2 2 9" xfId="4750"/>
    <cellStyle name="Normal 58 6 2 2_Degree data" xfId="1781"/>
    <cellStyle name="Normal 58 6 2 3" xfId="806"/>
    <cellStyle name="Normal 58 6 2 3 2" xfId="2535"/>
    <cellStyle name="Normal 58 6 2 3 2 2" xfId="16070"/>
    <cellStyle name="Normal 58 6 2 3 2 3" xfId="12330"/>
    <cellStyle name="Normal 58 6 2 3 2 4" xfId="7056"/>
    <cellStyle name="Normal 58 6 2 3 3" xfId="3803"/>
    <cellStyle name="Normal 58 6 2 3 3 2" xfId="17449"/>
    <cellStyle name="Normal 58 6 2 3 3 3" xfId="13870"/>
    <cellStyle name="Normal 58 6 2 3 3 4" xfId="8613"/>
    <cellStyle name="Normal 58 6 2 3 4" xfId="6172"/>
    <cellStyle name="Normal 58 6 2 3 4 2" xfId="15256"/>
    <cellStyle name="Normal 58 6 2 3 5" xfId="10067"/>
    <cellStyle name="Normal 58 6 2 3 5 2" xfId="18894"/>
    <cellStyle name="Normal 58 6 2 3 6" xfId="11512"/>
    <cellStyle name="Normal 58 6 2 3 7" xfId="4650"/>
    <cellStyle name="Normal 58 6 2 4" xfId="1163"/>
    <cellStyle name="Normal 58 6 2 4 2" xfId="2883"/>
    <cellStyle name="Normal 58 6 2 4 2 2" xfId="16424"/>
    <cellStyle name="Normal 58 6 2 4 2 3" xfId="12846"/>
    <cellStyle name="Normal 58 6 2 4 2 4" xfId="7556"/>
    <cellStyle name="Normal 58 6 2 4 3" xfId="4152"/>
    <cellStyle name="Normal 58 6 2 4 3 2" xfId="17797"/>
    <cellStyle name="Normal 58 6 2 4 3 3" xfId="14218"/>
    <cellStyle name="Normal 58 6 2 4 3 4" xfId="8961"/>
    <cellStyle name="Normal 58 6 2 4 4" xfId="6672"/>
    <cellStyle name="Normal 58 6 2 4 4 2" xfId="15756"/>
    <cellStyle name="Normal 58 6 2 4 5" xfId="10415"/>
    <cellStyle name="Normal 58 6 2 4 5 2" xfId="19242"/>
    <cellStyle name="Normal 58 6 2 4 6" xfId="11861"/>
    <cellStyle name="Normal 58 6 2 4 7" xfId="5150"/>
    <cellStyle name="Normal 58 6 2 5" xfId="1483"/>
    <cellStyle name="Normal 58 6 2 5 2" xfId="3083"/>
    <cellStyle name="Normal 58 6 2 5 2 2" xfId="16633"/>
    <cellStyle name="Normal 58 6 2 5 2 3" xfId="13054"/>
    <cellStyle name="Normal 58 6 2 5 2 4" xfId="7765"/>
    <cellStyle name="Normal 58 6 2 5 3" xfId="4292"/>
    <cellStyle name="Normal 58 6 2 5 3 2" xfId="17997"/>
    <cellStyle name="Normal 58 6 2 5 3 3" xfId="14418"/>
    <cellStyle name="Normal 58 6 2 5 3 4" xfId="9161"/>
    <cellStyle name="Normal 58 6 2 5 4" xfId="5953"/>
    <cellStyle name="Normal 58 6 2 5 4 2" xfId="15039"/>
    <cellStyle name="Normal 58 6 2 5 5" xfId="10615"/>
    <cellStyle name="Normal 58 6 2 5 5 2" xfId="19442"/>
    <cellStyle name="Normal 58 6 2 5 6" xfId="12061"/>
    <cellStyle name="Normal 58 6 2 5 7" xfId="5359"/>
    <cellStyle name="Normal 58 6 2 6" xfId="2040"/>
    <cellStyle name="Normal 58 6 2 6 2" xfId="15882"/>
    <cellStyle name="Normal 58 6 2 6 3" xfId="12436"/>
    <cellStyle name="Normal 58 6 2 6 4" xfId="6839"/>
    <cellStyle name="Normal 58 6 2 7" xfId="3454"/>
    <cellStyle name="Normal 58 6 2 7 2" xfId="16954"/>
    <cellStyle name="Normal 58 6 2 7 3" xfId="13375"/>
    <cellStyle name="Normal 58 6 2 7 4" xfId="8118"/>
    <cellStyle name="Normal 58 6 2 8" xfId="5679"/>
    <cellStyle name="Normal 58 6 2 8 2" xfId="14765"/>
    <cellStyle name="Normal 58 6 2 9" xfId="9572"/>
    <cellStyle name="Normal 58 6 2 9 2" xfId="18399"/>
    <cellStyle name="Normal 58 6 2_Degree data" xfId="1780"/>
    <cellStyle name="Normal 58 6 3" xfId="219"/>
    <cellStyle name="Normal 58 6 3 10" xfId="10973"/>
    <cellStyle name="Normal 58 6 3 11" xfId="4495"/>
    <cellStyle name="Normal 58 6 3 2" xfId="433"/>
    <cellStyle name="Normal 58 6 3 2 2" xfId="809"/>
    <cellStyle name="Normal 58 6 3 2 2 2" xfId="2538"/>
    <cellStyle name="Normal 58 6 3 2 2 2 2" xfId="16427"/>
    <cellStyle name="Normal 58 6 3 2 2 2 3" xfId="12849"/>
    <cellStyle name="Normal 58 6 3 2 2 2 4" xfId="7559"/>
    <cellStyle name="Normal 58 6 3 2 2 3" xfId="3806"/>
    <cellStyle name="Normal 58 6 3 2 2 3 2" xfId="17452"/>
    <cellStyle name="Normal 58 6 3 2 2 3 3" xfId="13873"/>
    <cellStyle name="Normal 58 6 3 2 2 3 4" xfId="8616"/>
    <cellStyle name="Normal 58 6 3 2 2 4" xfId="6675"/>
    <cellStyle name="Normal 58 6 3 2 2 4 2" xfId="15759"/>
    <cellStyle name="Normal 58 6 3 2 2 5" xfId="10070"/>
    <cellStyle name="Normal 58 6 3 2 2 5 2" xfId="18897"/>
    <cellStyle name="Normal 58 6 3 2 2 6" xfId="11515"/>
    <cellStyle name="Normal 58 6 3 2 2 7" xfId="5153"/>
    <cellStyle name="Normal 58 6 3 2 3" xfId="1166"/>
    <cellStyle name="Normal 58 6 3 2 3 2" xfId="2886"/>
    <cellStyle name="Normal 58 6 3 2 3 2 2" xfId="16795"/>
    <cellStyle name="Normal 58 6 3 2 3 2 3" xfId="13216"/>
    <cellStyle name="Normal 58 6 3 2 3 2 4" xfId="7927"/>
    <cellStyle name="Normal 58 6 3 2 3 3" xfId="4155"/>
    <cellStyle name="Normal 58 6 3 2 3 3 2" xfId="17800"/>
    <cellStyle name="Normal 58 6 3 2 3 3 3" xfId="14221"/>
    <cellStyle name="Normal 58 6 3 2 3 3 4" xfId="8964"/>
    <cellStyle name="Normal 58 6 3 2 3 4" xfId="6334"/>
    <cellStyle name="Normal 58 6 3 2 3 4 2" xfId="15418"/>
    <cellStyle name="Normal 58 6 3 2 3 5" xfId="10418"/>
    <cellStyle name="Normal 58 6 3 2 3 5 2" xfId="19245"/>
    <cellStyle name="Normal 58 6 3 2 3 6" xfId="11864"/>
    <cellStyle name="Normal 58 6 3 2 3 7" xfId="5521"/>
    <cellStyle name="Normal 58 6 3 2 4" xfId="1649"/>
    <cellStyle name="Normal 58 6 3 2 4 2" xfId="3245"/>
    <cellStyle name="Normal 58 6 3 2 4 2 2" xfId="18159"/>
    <cellStyle name="Normal 58 6 3 2 4 2 3" xfId="14580"/>
    <cellStyle name="Normal 58 6 3 2 4 2 4" xfId="9323"/>
    <cellStyle name="Normal 58 6 3 2 4 3" xfId="10777"/>
    <cellStyle name="Normal 58 6 3 2 4 3 2" xfId="19604"/>
    <cellStyle name="Normal 58 6 3 2 4 4" xfId="12223"/>
    <cellStyle name="Normal 58 6 3 2 4 5" xfId="7218"/>
    <cellStyle name="Normal 58 6 3 2 5" xfId="2202"/>
    <cellStyle name="Normal 58 6 3 2 5 2" xfId="17116"/>
    <cellStyle name="Normal 58 6 3 2 5 3" xfId="13537"/>
    <cellStyle name="Normal 58 6 3 2 5 4" xfId="8280"/>
    <cellStyle name="Normal 58 6 3 2 6" xfId="5841"/>
    <cellStyle name="Normal 58 6 3 2 6 2" xfId="14927"/>
    <cellStyle name="Normal 58 6 3 2 7" xfId="9734"/>
    <cellStyle name="Normal 58 6 3 2 7 2" xfId="18561"/>
    <cellStyle name="Normal 58 6 3 2 8" xfId="11178"/>
    <cellStyle name="Normal 58 6 3 2 9" xfId="4812"/>
    <cellStyle name="Normal 58 6 3 2_Degree data" xfId="1783"/>
    <cellStyle name="Normal 58 6 3 3" xfId="808"/>
    <cellStyle name="Normal 58 6 3 3 2" xfId="2537"/>
    <cellStyle name="Normal 58 6 3 3 2 2" xfId="16027"/>
    <cellStyle name="Normal 58 6 3 3 2 3" xfId="12403"/>
    <cellStyle name="Normal 58 6 3 3 2 4" xfId="7013"/>
    <cellStyle name="Normal 58 6 3 3 3" xfId="3805"/>
    <cellStyle name="Normal 58 6 3 3 3 2" xfId="17451"/>
    <cellStyle name="Normal 58 6 3 3 3 3" xfId="13872"/>
    <cellStyle name="Normal 58 6 3 3 3 4" xfId="8615"/>
    <cellStyle name="Normal 58 6 3 3 4" xfId="6129"/>
    <cellStyle name="Normal 58 6 3 3 4 2" xfId="15213"/>
    <cellStyle name="Normal 58 6 3 3 5" xfId="10069"/>
    <cellStyle name="Normal 58 6 3 3 5 2" xfId="18896"/>
    <cellStyle name="Normal 58 6 3 3 6" xfId="11514"/>
    <cellStyle name="Normal 58 6 3 3 7" xfId="4607"/>
    <cellStyle name="Normal 58 6 3 4" xfId="1165"/>
    <cellStyle name="Normal 58 6 3 4 2" xfId="2885"/>
    <cellStyle name="Normal 58 6 3 4 2 2" xfId="16426"/>
    <cellStyle name="Normal 58 6 3 4 2 3" xfId="12848"/>
    <cellStyle name="Normal 58 6 3 4 2 4" xfId="7558"/>
    <cellStyle name="Normal 58 6 3 4 3" xfId="4154"/>
    <cellStyle name="Normal 58 6 3 4 3 2" xfId="17799"/>
    <cellStyle name="Normal 58 6 3 4 3 3" xfId="14220"/>
    <cellStyle name="Normal 58 6 3 4 3 4" xfId="8963"/>
    <cellStyle name="Normal 58 6 3 4 4" xfId="6674"/>
    <cellStyle name="Normal 58 6 3 4 4 2" xfId="15758"/>
    <cellStyle name="Normal 58 6 3 4 5" xfId="10417"/>
    <cellStyle name="Normal 58 6 3 4 5 2" xfId="19244"/>
    <cellStyle name="Normal 58 6 3 4 6" xfId="11863"/>
    <cellStyle name="Normal 58 6 3 4 7" xfId="5152"/>
    <cellStyle name="Normal 58 6 3 5" xfId="1438"/>
    <cellStyle name="Normal 58 6 3 5 2" xfId="3040"/>
    <cellStyle name="Normal 58 6 3 5 2 2" xfId="16590"/>
    <cellStyle name="Normal 58 6 3 5 2 3" xfId="13011"/>
    <cellStyle name="Normal 58 6 3 5 2 4" xfId="7722"/>
    <cellStyle name="Normal 58 6 3 5 3" xfId="4249"/>
    <cellStyle name="Normal 58 6 3 5 3 2" xfId="17954"/>
    <cellStyle name="Normal 58 6 3 5 3 3" xfId="14375"/>
    <cellStyle name="Normal 58 6 3 5 3 4" xfId="9118"/>
    <cellStyle name="Normal 58 6 3 5 4" xfId="6015"/>
    <cellStyle name="Normal 58 6 3 5 4 2" xfId="15101"/>
    <cellStyle name="Normal 58 6 3 5 5" xfId="10572"/>
    <cellStyle name="Normal 58 6 3 5 5 2" xfId="19399"/>
    <cellStyle name="Normal 58 6 3 5 6" xfId="12018"/>
    <cellStyle name="Normal 58 6 3 5 7" xfId="5316"/>
    <cellStyle name="Normal 58 6 3 6" xfId="1997"/>
    <cellStyle name="Normal 58 6 3 6 2" xfId="15944"/>
    <cellStyle name="Normal 58 6 3 6 3" xfId="12423"/>
    <cellStyle name="Normal 58 6 3 6 4" xfId="6901"/>
    <cellStyle name="Normal 58 6 3 7" xfId="3412"/>
    <cellStyle name="Normal 58 6 3 7 2" xfId="16911"/>
    <cellStyle name="Normal 58 6 3 7 3" xfId="13332"/>
    <cellStyle name="Normal 58 6 3 7 4" xfId="8075"/>
    <cellStyle name="Normal 58 6 3 8" xfId="5636"/>
    <cellStyle name="Normal 58 6 3 8 2" xfId="14722"/>
    <cellStyle name="Normal 58 6 3 9" xfId="9529"/>
    <cellStyle name="Normal 58 6 3 9 2" xfId="18356"/>
    <cellStyle name="Normal 58 6 3_Degree data" xfId="1782"/>
    <cellStyle name="Normal 58 6 4" xfId="327"/>
    <cellStyle name="Normal 58 6 4 2" xfId="810"/>
    <cellStyle name="Normal 58 6 4 2 2" xfId="2539"/>
    <cellStyle name="Normal 58 6 4 2 2 2" xfId="16428"/>
    <cellStyle name="Normal 58 6 4 2 2 3" xfId="12850"/>
    <cellStyle name="Normal 58 6 4 2 2 4" xfId="7560"/>
    <cellStyle name="Normal 58 6 4 2 3" xfId="3807"/>
    <cellStyle name="Normal 58 6 4 2 3 2" xfId="17453"/>
    <cellStyle name="Normal 58 6 4 2 3 3" xfId="13874"/>
    <cellStyle name="Normal 58 6 4 2 3 4" xfId="8617"/>
    <cellStyle name="Normal 58 6 4 2 4" xfId="6676"/>
    <cellStyle name="Normal 58 6 4 2 4 2" xfId="15760"/>
    <cellStyle name="Normal 58 6 4 2 5" xfId="10071"/>
    <cellStyle name="Normal 58 6 4 2 5 2" xfId="18898"/>
    <cellStyle name="Normal 58 6 4 2 6" xfId="11516"/>
    <cellStyle name="Normal 58 6 4 2 7" xfId="5154"/>
    <cellStyle name="Normal 58 6 4 3" xfId="1167"/>
    <cellStyle name="Normal 58 6 4 3 2" xfId="2887"/>
    <cellStyle name="Normal 58 6 4 3 2 2" xfId="16690"/>
    <cellStyle name="Normal 58 6 4 3 2 3" xfId="13111"/>
    <cellStyle name="Normal 58 6 4 3 2 4" xfId="7822"/>
    <cellStyle name="Normal 58 6 4 3 3" xfId="4156"/>
    <cellStyle name="Normal 58 6 4 3 3 2" xfId="17801"/>
    <cellStyle name="Normal 58 6 4 3 3 3" xfId="14222"/>
    <cellStyle name="Normal 58 6 4 3 3 4" xfId="8965"/>
    <cellStyle name="Normal 58 6 4 3 4" xfId="6229"/>
    <cellStyle name="Normal 58 6 4 3 4 2" xfId="15313"/>
    <cellStyle name="Normal 58 6 4 3 5" xfId="10419"/>
    <cellStyle name="Normal 58 6 4 3 5 2" xfId="19246"/>
    <cellStyle name="Normal 58 6 4 3 6" xfId="11865"/>
    <cellStyle name="Normal 58 6 4 3 7" xfId="5416"/>
    <cellStyle name="Normal 58 6 4 4" xfId="1541"/>
    <cellStyle name="Normal 58 6 4 4 2" xfId="3140"/>
    <cellStyle name="Normal 58 6 4 4 2 2" xfId="18054"/>
    <cellStyle name="Normal 58 6 4 4 2 3" xfId="14475"/>
    <cellStyle name="Normal 58 6 4 4 2 4" xfId="9218"/>
    <cellStyle name="Normal 58 6 4 4 3" xfId="10672"/>
    <cellStyle name="Normal 58 6 4 4 3 2" xfId="19499"/>
    <cellStyle name="Normal 58 6 4 4 4" xfId="12118"/>
    <cellStyle name="Normal 58 6 4 4 5" xfId="7113"/>
    <cellStyle name="Normal 58 6 4 5" xfId="2097"/>
    <cellStyle name="Normal 58 6 4 5 2" xfId="17011"/>
    <cellStyle name="Normal 58 6 4 5 3" xfId="13432"/>
    <cellStyle name="Normal 58 6 4 5 4" xfId="8175"/>
    <cellStyle name="Normal 58 6 4 6" xfId="5736"/>
    <cellStyle name="Normal 58 6 4 6 2" xfId="14822"/>
    <cellStyle name="Normal 58 6 4 7" xfId="9629"/>
    <cellStyle name="Normal 58 6 4 7 2" xfId="18456"/>
    <cellStyle name="Normal 58 6 4 8" xfId="11073"/>
    <cellStyle name="Normal 58 6 4 9" xfId="4707"/>
    <cellStyle name="Normal 58 6 4_Degree data" xfId="1784"/>
    <cellStyle name="Normal 58 6 5" xfId="805"/>
    <cellStyle name="Normal 58 6 5 2" xfId="2534"/>
    <cellStyle name="Normal 58 6 5 2 2" xfId="15984"/>
    <cellStyle name="Normal 58 6 5 2 3" xfId="12503"/>
    <cellStyle name="Normal 58 6 5 2 4" xfId="6954"/>
    <cellStyle name="Normal 58 6 5 3" xfId="3802"/>
    <cellStyle name="Normal 58 6 5 3 2" xfId="17448"/>
    <cellStyle name="Normal 58 6 5 3 3" xfId="13869"/>
    <cellStyle name="Normal 58 6 5 3 4" xfId="8612"/>
    <cellStyle name="Normal 58 6 5 4" xfId="6070"/>
    <cellStyle name="Normal 58 6 5 4 2" xfId="15154"/>
    <cellStyle name="Normal 58 6 5 5" xfId="10066"/>
    <cellStyle name="Normal 58 6 5 5 2" xfId="18893"/>
    <cellStyle name="Normal 58 6 5 6" xfId="11511"/>
    <cellStyle name="Normal 58 6 5 7" xfId="4548"/>
    <cellStyle name="Normal 58 6 6" xfId="1162"/>
    <cellStyle name="Normal 58 6 6 2" xfId="2882"/>
    <cellStyle name="Normal 58 6 6 2 2" xfId="16423"/>
    <cellStyle name="Normal 58 6 6 2 3" xfId="12845"/>
    <cellStyle name="Normal 58 6 6 2 4" xfId="7555"/>
    <cellStyle name="Normal 58 6 6 3" xfId="4151"/>
    <cellStyle name="Normal 58 6 6 3 2" xfId="17796"/>
    <cellStyle name="Normal 58 6 6 3 3" xfId="14217"/>
    <cellStyle name="Normal 58 6 6 3 4" xfId="8960"/>
    <cellStyle name="Normal 58 6 6 4" xfId="6671"/>
    <cellStyle name="Normal 58 6 6 4 2" xfId="15755"/>
    <cellStyle name="Normal 58 6 6 5" xfId="10414"/>
    <cellStyle name="Normal 58 6 6 5 2" xfId="19241"/>
    <cellStyle name="Normal 58 6 6 6" xfId="11860"/>
    <cellStyle name="Normal 58 6 6 7" xfId="5149"/>
    <cellStyle name="Normal 58 6 7" xfId="1370"/>
    <cellStyle name="Normal 58 6 7 2" xfId="2981"/>
    <cellStyle name="Normal 58 6 7 2 2" xfId="16531"/>
    <cellStyle name="Normal 58 6 7 2 3" xfId="12953"/>
    <cellStyle name="Normal 58 6 7 2 4" xfId="7663"/>
    <cellStyle name="Normal 58 6 7 3" xfId="4207"/>
    <cellStyle name="Normal 58 6 7 3 2" xfId="17895"/>
    <cellStyle name="Normal 58 6 7 3 3" xfId="14316"/>
    <cellStyle name="Normal 58 6 7 3 4" xfId="9059"/>
    <cellStyle name="Normal 58 6 7 4" xfId="5909"/>
    <cellStyle name="Normal 58 6 7 4 2" xfId="14995"/>
    <cellStyle name="Normal 58 6 7 5" xfId="10513"/>
    <cellStyle name="Normal 58 6 7 5 2" xfId="19340"/>
    <cellStyle name="Normal 58 6 7 6" xfId="11959"/>
    <cellStyle name="Normal 58 6 7 7" xfId="5257"/>
    <cellStyle name="Normal 58 6 8" xfId="1938"/>
    <cellStyle name="Normal 58 6 8 2" xfId="9470"/>
    <cellStyle name="Normal 58 6 8 2 2" xfId="18297"/>
    <cellStyle name="Normal 58 6 8 3" xfId="10914"/>
    <cellStyle name="Normal 58 6 8 4" xfId="6796"/>
    <cellStyle name="Normal 58 6 9" xfId="1862"/>
    <cellStyle name="Normal 58 6 9 2" xfId="16850"/>
    <cellStyle name="Normal 58 6 9 3" xfId="13271"/>
    <cellStyle name="Normal 58 6 9 4" xfId="8014"/>
    <cellStyle name="Normal 58 6_Degree data" xfId="1779"/>
    <cellStyle name="Normal 58 7" xfId="245"/>
    <cellStyle name="Normal 58 7 10" xfId="10999"/>
    <cellStyle name="Normal 58 7 11" xfId="4416"/>
    <cellStyle name="Normal 58 7 2" xfId="353"/>
    <cellStyle name="Normal 58 7 2 2" xfId="812"/>
    <cellStyle name="Normal 58 7 2 2 2" xfId="2541"/>
    <cellStyle name="Normal 58 7 2 2 2 2" xfId="16430"/>
    <cellStyle name="Normal 58 7 2 2 2 3" xfId="12852"/>
    <cellStyle name="Normal 58 7 2 2 2 4" xfId="7562"/>
    <cellStyle name="Normal 58 7 2 2 3" xfId="3809"/>
    <cellStyle name="Normal 58 7 2 2 3 2" xfId="17455"/>
    <cellStyle name="Normal 58 7 2 2 3 3" xfId="13876"/>
    <cellStyle name="Normal 58 7 2 2 3 4" xfId="8619"/>
    <cellStyle name="Normal 58 7 2 2 4" xfId="6678"/>
    <cellStyle name="Normal 58 7 2 2 4 2" xfId="15762"/>
    <cellStyle name="Normal 58 7 2 2 5" xfId="10073"/>
    <cellStyle name="Normal 58 7 2 2 5 2" xfId="18900"/>
    <cellStyle name="Normal 58 7 2 2 6" xfId="11518"/>
    <cellStyle name="Normal 58 7 2 2 7" xfId="5156"/>
    <cellStyle name="Normal 58 7 2 3" xfId="1169"/>
    <cellStyle name="Normal 58 7 2 3 2" xfId="2889"/>
    <cellStyle name="Normal 58 7 2 3 2 2" xfId="16716"/>
    <cellStyle name="Normal 58 7 2 3 2 3" xfId="13137"/>
    <cellStyle name="Normal 58 7 2 3 2 4" xfId="7848"/>
    <cellStyle name="Normal 58 7 2 3 3" xfId="4158"/>
    <cellStyle name="Normal 58 7 2 3 3 2" xfId="17803"/>
    <cellStyle name="Normal 58 7 2 3 3 3" xfId="14224"/>
    <cellStyle name="Normal 58 7 2 3 3 4" xfId="8967"/>
    <cellStyle name="Normal 58 7 2 3 4" xfId="6255"/>
    <cellStyle name="Normal 58 7 2 3 4 2" xfId="15339"/>
    <cellStyle name="Normal 58 7 2 3 5" xfId="10421"/>
    <cellStyle name="Normal 58 7 2 3 5 2" xfId="19248"/>
    <cellStyle name="Normal 58 7 2 3 6" xfId="11867"/>
    <cellStyle name="Normal 58 7 2 3 7" xfId="5442"/>
    <cellStyle name="Normal 58 7 2 4" xfId="1568"/>
    <cellStyle name="Normal 58 7 2 4 2" xfId="3166"/>
    <cellStyle name="Normal 58 7 2 4 2 2" xfId="18080"/>
    <cellStyle name="Normal 58 7 2 4 2 3" xfId="14501"/>
    <cellStyle name="Normal 58 7 2 4 2 4" xfId="9244"/>
    <cellStyle name="Normal 58 7 2 4 3" xfId="10698"/>
    <cellStyle name="Normal 58 7 2 4 3 2" xfId="19525"/>
    <cellStyle name="Normal 58 7 2 4 4" xfId="12144"/>
    <cellStyle name="Normal 58 7 2 4 5" xfId="7139"/>
    <cellStyle name="Normal 58 7 2 5" xfId="2123"/>
    <cellStyle name="Normal 58 7 2 5 2" xfId="17037"/>
    <cellStyle name="Normal 58 7 2 5 3" xfId="13458"/>
    <cellStyle name="Normal 58 7 2 5 4" xfId="8201"/>
    <cellStyle name="Normal 58 7 2 6" xfId="5762"/>
    <cellStyle name="Normal 58 7 2 6 2" xfId="14848"/>
    <cellStyle name="Normal 58 7 2 7" xfId="9655"/>
    <cellStyle name="Normal 58 7 2 7 2" xfId="18482"/>
    <cellStyle name="Normal 58 7 2 8" xfId="11099"/>
    <cellStyle name="Normal 58 7 2 9" xfId="4733"/>
    <cellStyle name="Normal 58 7 2_Degree data" xfId="1786"/>
    <cellStyle name="Normal 58 7 3" xfId="811"/>
    <cellStyle name="Normal 58 7 3 2" xfId="2540"/>
    <cellStyle name="Normal 58 7 3 2 2" xfId="16053"/>
    <cellStyle name="Normal 58 7 3 2 3" xfId="12279"/>
    <cellStyle name="Normal 58 7 3 2 4" xfId="7039"/>
    <cellStyle name="Normal 58 7 3 3" xfId="3808"/>
    <cellStyle name="Normal 58 7 3 3 2" xfId="17454"/>
    <cellStyle name="Normal 58 7 3 3 3" xfId="13875"/>
    <cellStyle name="Normal 58 7 3 3 4" xfId="8618"/>
    <cellStyle name="Normal 58 7 3 4" xfId="6155"/>
    <cellStyle name="Normal 58 7 3 4 2" xfId="15239"/>
    <cellStyle name="Normal 58 7 3 5" xfId="10072"/>
    <cellStyle name="Normal 58 7 3 5 2" xfId="18899"/>
    <cellStyle name="Normal 58 7 3 6" xfId="11517"/>
    <cellStyle name="Normal 58 7 3 7" xfId="4633"/>
    <cellStyle name="Normal 58 7 4" xfId="1168"/>
    <cellStyle name="Normal 58 7 4 2" xfId="2888"/>
    <cellStyle name="Normal 58 7 4 2 2" xfId="16429"/>
    <cellStyle name="Normal 58 7 4 2 3" xfId="12851"/>
    <cellStyle name="Normal 58 7 4 2 4" xfId="7561"/>
    <cellStyle name="Normal 58 7 4 3" xfId="4157"/>
    <cellStyle name="Normal 58 7 4 3 2" xfId="17802"/>
    <cellStyle name="Normal 58 7 4 3 3" xfId="14223"/>
    <cellStyle name="Normal 58 7 4 3 4" xfId="8966"/>
    <cellStyle name="Normal 58 7 4 4" xfId="6677"/>
    <cellStyle name="Normal 58 7 4 4 2" xfId="15761"/>
    <cellStyle name="Normal 58 7 4 5" xfId="10420"/>
    <cellStyle name="Normal 58 7 4 5 2" xfId="19247"/>
    <cellStyle name="Normal 58 7 4 6" xfId="11866"/>
    <cellStyle name="Normal 58 7 4 7" xfId="5155"/>
    <cellStyle name="Normal 58 7 5" xfId="1466"/>
    <cellStyle name="Normal 58 7 5 2" xfId="3066"/>
    <cellStyle name="Normal 58 7 5 2 2" xfId="16616"/>
    <cellStyle name="Normal 58 7 5 2 3" xfId="13037"/>
    <cellStyle name="Normal 58 7 5 2 4" xfId="7748"/>
    <cellStyle name="Normal 58 7 5 3" xfId="4275"/>
    <cellStyle name="Normal 58 7 5 3 2" xfId="17980"/>
    <cellStyle name="Normal 58 7 5 3 3" xfId="14401"/>
    <cellStyle name="Normal 58 7 5 3 4" xfId="9144"/>
    <cellStyle name="Normal 58 7 5 4" xfId="5936"/>
    <cellStyle name="Normal 58 7 5 4 2" xfId="15022"/>
    <cellStyle name="Normal 58 7 5 5" xfId="10598"/>
    <cellStyle name="Normal 58 7 5 5 2" xfId="19425"/>
    <cellStyle name="Normal 58 7 5 6" xfId="12044"/>
    <cellStyle name="Normal 58 7 5 7" xfId="5342"/>
    <cellStyle name="Normal 58 7 6" xfId="2023"/>
    <cellStyle name="Normal 58 7 6 2" xfId="15865"/>
    <cellStyle name="Normal 58 7 6 3" xfId="12502"/>
    <cellStyle name="Normal 58 7 6 4" xfId="6822"/>
    <cellStyle name="Normal 58 7 7" xfId="3437"/>
    <cellStyle name="Normal 58 7 7 2" xfId="16937"/>
    <cellStyle name="Normal 58 7 7 3" xfId="13358"/>
    <cellStyle name="Normal 58 7 7 4" xfId="8101"/>
    <cellStyle name="Normal 58 7 8" xfId="5662"/>
    <cellStyle name="Normal 58 7 8 2" xfId="14748"/>
    <cellStyle name="Normal 58 7 9" xfId="9555"/>
    <cellStyle name="Normal 58 7 9 2" xfId="18382"/>
    <cellStyle name="Normal 58 7_Degree data" xfId="1785"/>
    <cellStyle name="Normal 58 8" xfId="185"/>
    <cellStyle name="Normal 58 8 10" xfId="10942"/>
    <cellStyle name="Normal 58 8 11" xfId="4464"/>
    <cellStyle name="Normal 58 8 2" xfId="402"/>
    <cellStyle name="Normal 58 8 2 2" xfId="814"/>
    <cellStyle name="Normal 58 8 2 2 2" xfId="2543"/>
    <cellStyle name="Normal 58 8 2 2 2 2" xfId="16432"/>
    <cellStyle name="Normal 58 8 2 2 2 3" xfId="12854"/>
    <cellStyle name="Normal 58 8 2 2 2 4" xfId="7564"/>
    <cellStyle name="Normal 58 8 2 2 3" xfId="3811"/>
    <cellStyle name="Normal 58 8 2 2 3 2" xfId="17457"/>
    <cellStyle name="Normal 58 8 2 2 3 3" xfId="13878"/>
    <cellStyle name="Normal 58 8 2 2 3 4" xfId="8621"/>
    <cellStyle name="Normal 58 8 2 2 4" xfId="6680"/>
    <cellStyle name="Normal 58 8 2 2 4 2" xfId="15764"/>
    <cellStyle name="Normal 58 8 2 2 5" xfId="10075"/>
    <cellStyle name="Normal 58 8 2 2 5 2" xfId="18902"/>
    <cellStyle name="Normal 58 8 2 2 6" xfId="11520"/>
    <cellStyle name="Normal 58 8 2 2 7" xfId="5158"/>
    <cellStyle name="Normal 58 8 2 3" xfId="1171"/>
    <cellStyle name="Normal 58 8 2 3 2" xfId="2891"/>
    <cellStyle name="Normal 58 8 2 3 2 2" xfId="16764"/>
    <cellStyle name="Normal 58 8 2 3 2 3" xfId="13185"/>
    <cellStyle name="Normal 58 8 2 3 2 4" xfId="7896"/>
    <cellStyle name="Normal 58 8 2 3 3" xfId="4160"/>
    <cellStyle name="Normal 58 8 2 3 3 2" xfId="17805"/>
    <cellStyle name="Normal 58 8 2 3 3 3" xfId="14226"/>
    <cellStyle name="Normal 58 8 2 3 3 4" xfId="8969"/>
    <cellStyle name="Normal 58 8 2 3 4" xfId="6303"/>
    <cellStyle name="Normal 58 8 2 3 4 2" xfId="15387"/>
    <cellStyle name="Normal 58 8 2 3 5" xfId="10423"/>
    <cellStyle name="Normal 58 8 2 3 5 2" xfId="19250"/>
    <cellStyle name="Normal 58 8 2 3 6" xfId="11869"/>
    <cellStyle name="Normal 58 8 2 3 7" xfId="5490"/>
    <cellStyle name="Normal 58 8 2 4" xfId="1618"/>
    <cellStyle name="Normal 58 8 2 4 2" xfId="3214"/>
    <cellStyle name="Normal 58 8 2 4 2 2" xfId="18128"/>
    <cellStyle name="Normal 58 8 2 4 2 3" xfId="14549"/>
    <cellStyle name="Normal 58 8 2 4 2 4" xfId="9292"/>
    <cellStyle name="Normal 58 8 2 4 3" xfId="10746"/>
    <cellStyle name="Normal 58 8 2 4 3 2" xfId="19573"/>
    <cellStyle name="Normal 58 8 2 4 4" xfId="12192"/>
    <cellStyle name="Normal 58 8 2 4 5" xfId="7187"/>
    <cellStyle name="Normal 58 8 2 5" xfId="2171"/>
    <cellStyle name="Normal 58 8 2 5 2" xfId="17085"/>
    <cellStyle name="Normal 58 8 2 5 3" xfId="13506"/>
    <cellStyle name="Normal 58 8 2 5 4" xfId="8249"/>
    <cellStyle name="Normal 58 8 2 6" xfId="5810"/>
    <cellStyle name="Normal 58 8 2 6 2" xfId="14896"/>
    <cellStyle name="Normal 58 8 2 7" xfId="9703"/>
    <cellStyle name="Normal 58 8 2 7 2" xfId="18530"/>
    <cellStyle name="Normal 58 8 2 8" xfId="11147"/>
    <cellStyle name="Normal 58 8 2 9" xfId="4781"/>
    <cellStyle name="Normal 58 8 2_Degree data" xfId="1788"/>
    <cellStyle name="Normal 58 8 3" xfId="813"/>
    <cellStyle name="Normal 58 8 3 2" xfId="2542"/>
    <cellStyle name="Normal 58 8 3 2 2" xfId="15996"/>
    <cellStyle name="Normal 58 8 3 2 3" xfId="12508"/>
    <cellStyle name="Normal 58 8 3 2 4" xfId="6982"/>
    <cellStyle name="Normal 58 8 3 3" xfId="3810"/>
    <cellStyle name="Normal 58 8 3 3 2" xfId="17456"/>
    <cellStyle name="Normal 58 8 3 3 3" xfId="13877"/>
    <cellStyle name="Normal 58 8 3 3 4" xfId="8620"/>
    <cellStyle name="Normal 58 8 3 4" xfId="6098"/>
    <cellStyle name="Normal 58 8 3 4 2" xfId="15182"/>
    <cellStyle name="Normal 58 8 3 5" xfId="10074"/>
    <cellStyle name="Normal 58 8 3 5 2" xfId="18901"/>
    <cellStyle name="Normal 58 8 3 6" xfId="11519"/>
    <cellStyle name="Normal 58 8 3 7" xfId="4576"/>
    <cellStyle name="Normal 58 8 4" xfId="1170"/>
    <cellStyle name="Normal 58 8 4 2" xfId="2890"/>
    <cellStyle name="Normal 58 8 4 2 2" xfId="16431"/>
    <cellStyle name="Normal 58 8 4 2 3" xfId="12853"/>
    <cellStyle name="Normal 58 8 4 2 4" xfId="7563"/>
    <cellStyle name="Normal 58 8 4 3" xfId="4159"/>
    <cellStyle name="Normal 58 8 4 3 2" xfId="17804"/>
    <cellStyle name="Normal 58 8 4 3 3" xfId="14225"/>
    <cellStyle name="Normal 58 8 4 3 4" xfId="8968"/>
    <cellStyle name="Normal 58 8 4 4" xfId="6679"/>
    <cellStyle name="Normal 58 8 4 4 2" xfId="15763"/>
    <cellStyle name="Normal 58 8 4 5" xfId="10422"/>
    <cellStyle name="Normal 58 8 4 5 2" xfId="19249"/>
    <cellStyle name="Normal 58 8 4 6" xfId="11868"/>
    <cellStyle name="Normal 58 8 4 7" xfId="5157"/>
    <cellStyle name="Normal 58 8 5" xfId="1404"/>
    <cellStyle name="Normal 58 8 5 2" xfId="3009"/>
    <cellStyle name="Normal 58 8 5 2 2" xfId="16559"/>
    <cellStyle name="Normal 58 8 5 2 3" xfId="12980"/>
    <cellStyle name="Normal 58 8 5 2 4" xfId="7691"/>
    <cellStyle name="Normal 58 8 5 3" xfId="4218"/>
    <cellStyle name="Normal 58 8 5 3 2" xfId="17923"/>
    <cellStyle name="Normal 58 8 5 3 3" xfId="14344"/>
    <cellStyle name="Normal 58 8 5 3 4" xfId="9087"/>
    <cellStyle name="Normal 58 8 5 4" xfId="5984"/>
    <cellStyle name="Normal 58 8 5 4 2" xfId="15070"/>
    <cellStyle name="Normal 58 8 5 5" xfId="10541"/>
    <cellStyle name="Normal 58 8 5 5 2" xfId="19368"/>
    <cellStyle name="Normal 58 8 5 6" xfId="11987"/>
    <cellStyle name="Normal 58 8 5 7" xfId="5285"/>
    <cellStyle name="Normal 58 8 6" xfId="1966"/>
    <cellStyle name="Normal 58 8 6 2" xfId="15913"/>
    <cellStyle name="Normal 58 8 6 3" xfId="12431"/>
    <cellStyle name="Normal 58 8 6 4" xfId="6870"/>
    <cellStyle name="Normal 58 8 7" xfId="3381"/>
    <cellStyle name="Normal 58 8 7 2" xfId="16880"/>
    <cellStyle name="Normal 58 8 7 3" xfId="13301"/>
    <cellStyle name="Normal 58 8 7 4" xfId="8044"/>
    <cellStyle name="Normal 58 8 8" xfId="5605"/>
    <cellStyle name="Normal 58 8 8 2" xfId="14691"/>
    <cellStyle name="Normal 58 8 9" xfId="9498"/>
    <cellStyle name="Normal 58 8 9 2" xfId="18325"/>
    <cellStyle name="Normal 58 8_Degree data" xfId="1787"/>
    <cellStyle name="Normal 58 9" xfId="458"/>
    <cellStyle name="Normal 58 9 10" xfId="4520"/>
    <cellStyle name="Normal 58 9 2" xfId="815"/>
    <cellStyle name="Normal 58 9 2 2" xfId="2544"/>
    <cellStyle name="Normal 58 9 2 2 2" xfId="16112"/>
    <cellStyle name="Normal 58 9 2 2 3" xfId="12534"/>
    <cellStyle name="Normal 58 9 2 2 4" xfId="7243"/>
    <cellStyle name="Normal 58 9 2 3" xfId="3812"/>
    <cellStyle name="Normal 58 9 2 3 2" xfId="17458"/>
    <cellStyle name="Normal 58 9 2 3 3" xfId="13879"/>
    <cellStyle name="Normal 58 9 2 3 4" xfId="8622"/>
    <cellStyle name="Normal 58 9 2 4" xfId="6359"/>
    <cellStyle name="Normal 58 9 2 4 2" xfId="15443"/>
    <cellStyle name="Normal 58 9 2 5" xfId="10076"/>
    <cellStyle name="Normal 58 9 2 5 2" xfId="18903"/>
    <cellStyle name="Normal 58 9 2 6" xfId="11521"/>
    <cellStyle name="Normal 58 9 2 7" xfId="4837"/>
    <cellStyle name="Normal 58 9 3" xfId="1172"/>
    <cellStyle name="Normal 58 9 3 2" xfId="2892"/>
    <cellStyle name="Normal 58 9 3 2 2" xfId="16433"/>
    <cellStyle name="Normal 58 9 3 2 3" xfId="12855"/>
    <cellStyle name="Normal 58 9 3 2 4" xfId="7565"/>
    <cellStyle name="Normal 58 9 3 3" xfId="4161"/>
    <cellStyle name="Normal 58 9 3 3 2" xfId="17806"/>
    <cellStyle name="Normal 58 9 3 3 3" xfId="14227"/>
    <cellStyle name="Normal 58 9 3 3 4" xfId="8970"/>
    <cellStyle name="Normal 58 9 3 4" xfId="6681"/>
    <cellStyle name="Normal 58 9 3 4 2" xfId="15765"/>
    <cellStyle name="Normal 58 9 3 5" xfId="10424"/>
    <cellStyle name="Normal 58 9 3 5 2" xfId="19251"/>
    <cellStyle name="Normal 58 9 3 6" xfId="11870"/>
    <cellStyle name="Normal 58 9 3 7" xfId="5159"/>
    <cellStyle name="Normal 58 9 4" xfId="1674"/>
    <cellStyle name="Normal 58 9 4 2" xfId="3270"/>
    <cellStyle name="Normal 58 9 4 2 2" xfId="16820"/>
    <cellStyle name="Normal 58 9 4 2 3" xfId="13241"/>
    <cellStyle name="Normal 58 9 4 2 4" xfId="7952"/>
    <cellStyle name="Normal 58 9 4 3" xfId="4334"/>
    <cellStyle name="Normal 58 9 4 3 2" xfId="18184"/>
    <cellStyle name="Normal 58 9 4 3 3" xfId="14605"/>
    <cellStyle name="Normal 58 9 4 3 4" xfId="9348"/>
    <cellStyle name="Normal 58 9 4 4" xfId="6040"/>
    <cellStyle name="Normal 58 9 4 4 2" xfId="15126"/>
    <cellStyle name="Normal 58 9 4 5" xfId="10802"/>
    <cellStyle name="Normal 58 9 4 5 2" xfId="19629"/>
    <cellStyle name="Normal 58 9 4 6" xfId="12248"/>
    <cellStyle name="Normal 58 9 4 7" xfId="5546"/>
    <cellStyle name="Normal 58 9 5" xfId="2227"/>
    <cellStyle name="Normal 58 9 5 2" xfId="15969"/>
    <cellStyle name="Normal 58 9 5 3" xfId="12273"/>
    <cellStyle name="Normal 58 9 5 4" xfId="6926"/>
    <cellStyle name="Normal 58 9 6" xfId="3496"/>
    <cellStyle name="Normal 58 9 6 2" xfId="17141"/>
    <cellStyle name="Normal 58 9 6 3" xfId="13562"/>
    <cellStyle name="Normal 58 9 6 4" xfId="8305"/>
    <cellStyle name="Normal 58 9 7" xfId="5866"/>
    <cellStyle name="Normal 58 9 7 2" xfId="14952"/>
    <cellStyle name="Normal 58 9 8" xfId="9759"/>
    <cellStyle name="Normal 58 9 8 2" xfId="18586"/>
    <cellStyle name="Normal 58 9 9" xfId="11203"/>
    <cellStyle name="Normal 58 9_Degree data" xfId="1789"/>
    <cellStyle name="Normal 58_Degree data" xfId="1747"/>
    <cellStyle name="Normal 59" xfId="42"/>
    <cellStyle name="Normal 6" xfId="27"/>
    <cellStyle name="Normal 6 2 2" xfId="41"/>
    <cellStyle name="Normal 6_sreb progression tab 2 redo" xfId="34"/>
    <cellStyle name="Normal 60" xfId="53"/>
    <cellStyle name="Normal 60 2" xfId="183"/>
    <cellStyle name="Normal 60 2 2" xfId="816"/>
    <cellStyle name="Normal 60 3" xfId="465"/>
    <cellStyle name="Normal 60_Degree data" xfId="1790"/>
    <cellStyle name="Normal 61" xfId="169"/>
    <cellStyle name="Normal 61 2" xfId="182"/>
    <cellStyle name="Normal 61 2 2" xfId="817"/>
    <cellStyle name="Normal 61 3" xfId="470"/>
    <cellStyle name="Normal 61_Degree data" xfId="1791"/>
    <cellStyle name="Normal 62" xfId="143"/>
    <cellStyle name="Normal 62 2" xfId="179"/>
    <cellStyle name="Normal 62 2 2" xfId="818"/>
    <cellStyle name="Normal 62 3" xfId="469"/>
    <cellStyle name="Normal 62_Degree data" xfId="1792"/>
    <cellStyle name="Normal 63" xfId="158"/>
    <cellStyle name="Normal 63 10" xfId="5588"/>
    <cellStyle name="Normal 63 10 2" xfId="14674"/>
    <cellStyle name="Normal 63 11" xfId="9481"/>
    <cellStyle name="Normal 63 11 2" xfId="18308"/>
    <cellStyle name="Normal 63 12" xfId="10925"/>
    <cellStyle name="Normal 63 13" xfId="4378"/>
    <cellStyle name="Normal 63 2" xfId="204"/>
    <cellStyle name="Normal 63 2 10" xfId="10961"/>
    <cellStyle name="Normal 63 2 11" xfId="4483"/>
    <cellStyle name="Normal 63 2 2" xfId="421"/>
    <cellStyle name="Normal 63 2 2 2" xfId="821"/>
    <cellStyle name="Normal 63 2 2 2 2" xfId="2547"/>
    <cellStyle name="Normal 63 2 2 2 2 2" xfId="16436"/>
    <cellStyle name="Normal 63 2 2 2 2 3" xfId="12858"/>
    <cellStyle name="Normal 63 2 2 2 2 4" xfId="7568"/>
    <cellStyle name="Normal 63 2 2 2 3" xfId="3815"/>
    <cellStyle name="Normal 63 2 2 2 3 2" xfId="17461"/>
    <cellStyle name="Normal 63 2 2 2 3 3" xfId="13882"/>
    <cellStyle name="Normal 63 2 2 2 3 4" xfId="8625"/>
    <cellStyle name="Normal 63 2 2 2 4" xfId="6684"/>
    <cellStyle name="Normal 63 2 2 2 4 2" xfId="15768"/>
    <cellStyle name="Normal 63 2 2 2 5" xfId="10079"/>
    <cellStyle name="Normal 63 2 2 2 5 2" xfId="18906"/>
    <cellStyle name="Normal 63 2 2 2 6" xfId="11525"/>
    <cellStyle name="Normal 63 2 2 2 7" xfId="5162"/>
    <cellStyle name="Normal 63 2 2 3" xfId="1175"/>
    <cellStyle name="Normal 63 2 2 3 2" xfId="2895"/>
    <cellStyle name="Normal 63 2 2 3 2 2" xfId="16783"/>
    <cellStyle name="Normal 63 2 2 3 2 3" xfId="13204"/>
    <cellStyle name="Normal 63 2 2 3 2 4" xfId="7915"/>
    <cellStyle name="Normal 63 2 2 3 3" xfId="4164"/>
    <cellStyle name="Normal 63 2 2 3 3 2" xfId="17809"/>
    <cellStyle name="Normal 63 2 2 3 3 3" xfId="14230"/>
    <cellStyle name="Normal 63 2 2 3 3 4" xfId="8973"/>
    <cellStyle name="Normal 63 2 2 3 4" xfId="6322"/>
    <cellStyle name="Normal 63 2 2 3 4 2" xfId="15406"/>
    <cellStyle name="Normal 63 2 2 3 5" xfId="10427"/>
    <cellStyle name="Normal 63 2 2 3 5 2" xfId="19254"/>
    <cellStyle name="Normal 63 2 2 3 6" xfId="11873"/>
    <cellStyle name="Normal 63 2 2 3 7" xfId="5509"/>
    <cellStyle name="Normal 63 2 2 4" xfId="1637"/>
    <cellStyle name="Normal 63 2 2 4 2" xfId="3233"/>
    <cellStyle name="Normal 63 2 2 4 2 2" xfId="18147"/>
    <cellStyle name="Normal 63 2 2 4 2 3" xfId="14568"/>
    <cellStyle name="Normal 63 2 2 4 2 4" xfId="9311"/>
    <cellStyle name="Normal 63 2 2 4 3" xfId="10765"/>
    <cellStyle name="Normal 63 2 2 4 3 2" xfId="19592"/>
    <cellStyle name="Normal 63 2 2 4 4" xfId="12211"/>
    <cellStyle name="Normal 63 2 2 4 5" xfId="7206"/>
    <cellStyle name="Normal 63 2 2 5" xfId="2190"/>
    <cellStyle name="Normal 63 2 2 5 2" xfId="17104"/>
    <cellStyle name="Normal 63 2 2 5 3" xfId="13525"/>
    <cellStyle name="Normal 63 2 2 5 4" xfId="8268"/>
    <cellStyle name="Normal 63 2 2 6" xfId="5829"/>
    <cellStyle name="Normal 63 2 2 6 2" xfId="14915"/>
    <cellStyle name="Normal 63 2 2 7" xfId="9722"/>
    <cellStyle name="Normal 63 2 2 7 2" xfId="18549"/>
    <cellStyle name="Normal 63 2 2 8" xfId="11166"/>
    <cellStyle name="Normal 63 2 2 9" xfId="4800"/>
    <cellStyle name="Normal 63 2 2_Degree data" xfId="1795"/>
    <cellStyle name="Normal 63 2 3" xfId="820"/>
    <cellStyle name="Normal 63 2 3 2" xfId="2546"/>
    <cellStyle name="Normal 63 2 3 2 2" xfId="16015"/>
    <cellStyle name="Normal 63 2 3 2 3" xfId="12458"/>
    <cellStyle name="Normal 63 2 3 2 4" xfId="7001"/>
    <cellStyle name="Normal 63 2 3 3" xfId="3814"/>
    <cellStyle name="Normal 63 2 3 3 2" xfId="17460"/>
    <cellStyle name="Normal 63 2 3 3 3" xfId="13881"/>
    <cellStyle name="Normal 63 2 3 3 4" xfId="8624"/>
    <cellStyle name="Normal 63 2 3 4" xfId="6117"/>
    <cellStyle name="Normal 63 2 3 4 2" xfId="15201"/>
    <cellStyle name="Normal 63 2 3 5" xfId="10078"/>
    <cellStyle name="Normal 63 2 3 5 2" xfId="18905"/>
    <cellStyle name="Normal 63 2 3 6" xfId="11524"/>
    <cellStyle name="Normal 63 2 3 7" xfId="4595"/>
    <cellStyle name="Normal 63 2 4" xfId="1174"/>
    <cellStyle name="Normal 63 2 4 2" xfId="2894"/>
    <cellStyle name="Normal 63 2 4 2 2" xfId="16435"/>
    <cellStyle name="Normal 63 2 4 2 3" xfId="12857"/>
    <cellStyle name="Normal 63 2 4 2 4" xfId="7567"/>
    <cellStyle name="Normal 63 2 4 3" xfId="4163"/>
    <cellStyle name="Normal 63 2 4 3 2" xfId="17808"/>
    <cellStyle name="Normal 63 2 4 3 3" xfId="14229"/>
    <cellStyle name="Normal 63 2 4 3 4" xfId="8972"/>
    <cellStyle name="Normal 63 2 4 4" xfId="6683"/>
    <cellStyle name="Normal 63 2 4 4 2" xfId="15767"/>
    <cellStyle name="Normal 63 2 4 5" xfId="10426"/>
    <cellStyle name="Normal 63 2 4 5 2" xfId="19253"/>
    <cellStyle name="Normal 63 2 4 6" xfId="11872"/>
    <cellStyle name="Normal 63 2 4 7" xfId="5161"/>
    <cellStyle name="Normal 63 2 5" xfId="1423"/>
    <cellStyle name="Normal 63 2 5 2" xfId="3028"/>
    <cellStyle name="Normal 63 2 5 2 2" xfId="16578"/>
    <cellStyle name="Normal 63 2 5 2 3" xfId="12999"/>
    <cellStyle name="Normal 63 2 5 2 4" xfId="7710"/>
    <cellStyle name="Normal 63 2 5 3" xfId="4237"/>
    <cellStyle name="Normal 63 2 5 3 2" xfId="17942"/>
    <cellStyle name="Normal 63 2 5 3 3" xfId="14363"/>
    <cellStyle name="Normal 63 2 5 3 4" xfId="9106"/>
    <cellStyle name="Normal 63 2 5 4" xfId="6003"/>
    <cellStyle name="Normal 63 2 5 4 2" xfId="15089"/>
    <cellStyle name="Normal 63 2 5 5" xfId="10560"/>
    <cellStyle name="Normal 63 2 5 5 2" xfId="19387"/>
    <cellStyle name="Normal 63 2 5 6" xfId="12006"/>
    <cellStyle name="Normal 63 2 5 7" xfId="5304"/>
    <cellStyle name="Normal 63 2 6" xfId="1985"/>
    <cellStyle name="Normal 63 2 6 2" xfId="15932"/>
    <cellStyle name="Normal 63 2 6 3" xfId="12463"/>
    <cellStyle name="Normal 63 2 6 4" xfId="6889"/>
    <cellStyle name="Normal 63 2 7" xfId="3400"/>
    <cellStyle name="Normal 63 2 7 2" xfId="16899"/>
    <cellStyle name="Normal 63 2 7 3" xfId="13320"/>
    <cellStyle name="Normal 63 2 7 4" xfId="8063"/>
    <cellStyle name="Normal 63 2 8" xfId="5624"/>
    <cellStyle name="Normal 63 2 8 2" xfId="14710"/>
    <cellStyle name="Normal 63 2 9" xfId="9517"/>
    <cellStyle name="Normal 63 2 9 2" xfId="18344"/>
    <cellStyle name="Normal 63 2_Degree data" xfId="1794"/>
    <cellStyle name="Normal 63 3" xfId="398"/>
    <cellStyle name="Normal 63 3 10" xfId="4460"/>
    <cellStyle name="Normal 63 3 2" xfId="822"/>
    <cellStyle name="Normal 63 3 2 2" xfId="2548"/>
    <cellStyle name="Normal 63 3 2 2 2" xfId="16097"/>
    <cellStyle name="Normal 63 3 2 2 3" xfId="12455"/>
    <cellStyle name="Normal 63 3 2 2 4" xfId="7183"/>
    <cellStyle name="Normal 63 3 2 3" xfId="3816"/>
    <cellStyle name="Normal 63 3 2 3 2" xfId="17462"/>
    <cellStyle name="Normal 63 3 2 3 3" xfId="13883"/>
    <cellStyle name="Normal 63 3 2 3 4" xfId="8626"/>
    <cellStyle name="Normal 63 3 2 4" xfId="6299"/>
    <cellStyle name="Normal 63 3 2 4 2" xfId="15383"/>
    <cellStyle name="Normal 63 3 2 5" xfId="10080"/>
    <cellStyle name="Normal 63 3 2 5 2" xfId="18907"/>
    <cellStyle name="Normal 63 3 2 6" xfId="11526"/>
    <cellStyle name="Normal 63 3 2 7" xfId="4777"/>
    <cellStyle name="Normal 63 3 3" xfId="1176"/>
    <cellStyle name="Normal 63 3 3 2" xfId="2896"/>
    <cellStyle name="Normal 63 3 3 2 2" xfId="16437"/>
    <cellStyle name="Normal 63 3 3 2 3" xfId="12859"/>
    <cellStyle name="Normal 63 3 3 2 4" xfId="7569"/>
    <cellStyle name="Normal 63 3 3 3" xfId="4165"/>
    <cellStyle name="Normal 63 3 3 3 2" xfId="17810"/>
    <cellStyle name="Normal 63 3 3 3 3" xfId="14231"/>
    <cellStyle name="Normal 63 3 3 3 4" xfId="8974"/>
    <cellStyle name="Normal 63 3 3 4" xfId="6685"/>
    <cellStyle name="Normal 63 3 3 4 2" xfId="15769"/>
    <cellStyle name="Normal 63 3 3 5" xfId="10428"/>
    <cellStyle name="Normal 63 3 3 5 2" xfId="19255"/>
    <cellStyle name="Normal 63 3 3 6" xfId="11874"/>
    <cellStyle name="Normal 63 3 3 7" xfId="5163"/>
    <cellStyle name="Normal 63 3 4" xfId="1614"/>
    <cellStyle name="Normal 63 3 4 2" xfId="3210"/>
    <cellStyle name="Normal 63 3 4 2 2" xfId="16760"/>
    <cellStyle name="Normal 63 3 4 2 3" xfId="13181"/>
    <cellStyle name="Normal 63 3 4 2 4" xfId="7892"/>
    <cellStyle name="Normal 63 3 4 3" xfId="4319"/>
    <cellStyle name="Normal 63 3 4 3 2" xfId="18124"/>
    <cellStyle name="Normal 63 3 4 3 3" xfId="14545"/>
    <cellStyle name="Normal 63 3 4 3 4" xfId="9288"/>
    <cellStyle name="Normal 63 3 4 4" xfId="5980"/>
    <cellStyle name="Normal 63 3 4 4 2" xfId="15066"/>
    <cellStyle name="Normal 63 3 4 5" xfId="10742"/>
    <cellStyle name="Normal 63 3 4 5 2" xfId="19569"/>
    <cellStyle name="Normal 63 3 4 6" xfId="12188"/>
    <cellStyle name="Normal 63 3 4 7" xfId="5486"/>
    <cellStyle name="Normal 63 3 5" xfId="2167"/>
    <cellStyle name="Normal 63 3 5 2" xfId="15909"/>
    <cellStyle name="Normal 63 3 5 3" xfId="12432"/>
    <cellStyle name="Normal 63 3 5 4" xfId="6866"/>
    <cellStyle name="Normal 63 3 6" xfId="3481"/>
    <cellStyle name="Normal 63 3 6 2" xfId="17081"/>
    <cellStyle name="Normal 63 3 6 3" xfId="13502"/>
    <cellStyle name="Normal 63 3 6 4" xfId="8245"/>
    <cellStyle name="Normal 63 3 7" xfId="5806"/>
    <cellStyle name="Normal 63 3 7 2" xfId="14892"/>
    <cellStyle name="Normal 63 3 8" xfId="9699"/>
    <cellStyle name="Normal 63 3 8 2" xfId="18526"/>
    <cellStyle name="Normal 63 3 9" xfId="11143"/>
    <cellStyle name="Normal 63 3_Degree data" xfId="1796"/>
    <cellStyle name="Normal 63 4" xfId="315"/>
    <cellStyle name="Normal 63 4 2" xfId="823"/>
    <cellStyle name="Normal 63 4 2 2" xfId="2549"/>
    <cellStyle name="Normal 63 4 2 2 2" xfId="16438"/>
    <cellStyle name="Normal 63 4 2 2 3" xfId="12860"/>
    <cellStyle name="Normal 63 4 2 2 4" xfId="7570"/>
    <cellStyle name="Normal 63 4 2 3" xfId="3817"/>
    <cellStyle name="Normal 63 4 2 3 2" xfId="17463"/>
    <cellStyle name="Normal 63 4 2 3 3" xfId="13884"/>
    <cellStyle name="Normal 63 4 2 3 4" xfId="8627"/>
    <cellStyle name="Normal 63 4 2 4" xfId="6686"/>
    <cellStyle name="Normal 63 4 2 4 2" xfId="15770"/>
    <cellStyle name="Normal 63 4 2 5" xfId="10081"/>
    <cellStyle name="Normal 63 4 2 5 2" xfId="18908"/>
    <cellStyle name="Normal 63 4 2 6" xfId="11527"/>
    <cellStyle name="Normal 63 4 2 7" xfId="5164"/>
    <cellStyle name="Normal 63 4 3" xfId="1177"/>
    <cellStyle name="Normal 63 4 3 2" xfId="2897"/>
    <cellStyle name="Normal 63 4 3 2 2" xfId="16678"/>
    <cellStyle name="Normal 63 4 3 2 3" xfId="13099"/>
    <cellStyle name="Normal 63 4 3 2 4" xfId="7810"/>
    <cellStyle name="Normal 63 4 3 3" xfId="4166"/>
    <cellStyle name="Normal 63 4 3 3 2" xfId="17811"/>
    <cellStyle name="Normal 63 4 3 3 3" xfId="14232"/>
    <cellStyle name="Normal 63 4 3 3 4" xfId="8975"/>
    <cellStyle name="Normal 63 4 3 4" xfId="6217"/>
    <cellStyle name="Normal 63 4 3 4 2" xfId="15301"/>
    <cellStyle name="Normal 63 4 3 5" xfId="10429"/>
    <cellStyle name="Normal 63 4 3 5 2" xfId="19256"/>
    <cellStyle name="Normal 63 4 3 6" xfId="11875"/>
    <cellStyle name="Normal 63 4 3 7" xfId="5404"/>
    <cellStyle name="Normal 63 4 4" xfId="1529"/>
    <cellStyle name="Normal 63 4 4 2" xfId="3128"/>
    <cellStyle name="Normal 63 4 4 2 2" xfId="18042"/>
    <cellStyle name="Normal 63 4 4 2 3" xfId="14463"/>
    <cellStyle name="Normal 63 4 4 2 4" xfId="9206"/>
    <cellStyle name="Normal 63 4 4 3" xfId="10660"/>
    <cellStyle name="Normal 63 4 4 3 2" xfId="19487"/>
    <cellStyle name="Normal 63 4 4 4" xfId="12106"/>
    <cellStyle name="Normal 63 4 4 5" xfId="7101"/>
    <cellStyle name="Normal 63 4 5" xfId="2085"/>
    <cellStyle name="Normal 63 4 5 2" xfId="16999"/>
    <cellStyle name="Normal 63 4 5 3" xfId="13420"/>
    <cellStyle name="Normal 63 4 5 4" xfId="8163"/>
    <cellStyle name="Normal 63 4 6" xfId="5724"/>
    <cellStyle name="Normal 63 4 6 2" xfId="14810"/>
    <cellStyle name="Normal 63 4 7" xfId="9617"/>
    <cellStyle name="Normal 63 4 7 2" xfId="18444"/>
    <cellStyle name="Normal 63 4 8" xfId="11061"/>
    <cellStyle name="Normal 63 4 9" xfId="4695"/>
    <cellStyle name="Normal 63 4_Degree data" xfId="1797"/>
    <cellStyle name="Normal 63 5" xfId="819"/>
    <cellStyle name="Normal 63 5 2" xfId="2545"/>
    <cellStyle name="Normal 63 5 2 2" xfId="15991"/>
    <cellStyle name="Normal 63 5 2 3" xfId="12351"/>
    <cellStyle name="Normal 63 5 2 4" xfId="6965"/>
    <cellStyle name="Normal 63 5 3" xfId="3813"/>
    <cellStyle name="Normal 63 5 3 2" xfId="17459"/>
    <cellStyle name="Normal 63 5 3 3" xfId="13880"/>
    <cellStyle name="Normal 63 5 3 4" xfId="8623"/>
    <cellStyle name="Normal 63 5 4" xfId="6081"/>
    <cellStyle name="Normal 63 5 4 2" xfId="15165"/>
    <cellStyle name="Normal 63 5 5" xfId="10077"/>
    <cellStyle name="Normal 63 5 5 2" xfId="18904"/>
    <cellStyle name="Normal 63 5 6" xfId="11523"/>
    <cellStyle name="Normal 63 5 7" xfId="4559"/>
    <cellStyle name="Normal 63 6" xfId="1173"/>
    <cellStyle name="Normal 63 6 2" xfId="2893"/>
    <cellStyle name="Normal 63 6 2 2" xfId="16434"/>
    <cellStyle name="Normal 63 6 2 3" xfId="12856"/>
    <cellStyle name="Normal 63 6 2 4" xfId="7566"/>
    <cellStyle name="Normal 63 6 3" xfId="4162"/>
    <cellStyle name="Normal 63 6 3 2" xfId="17807"/>
    <cellStyle name="Normal 63 6 3 3" xfId="14228"/>
    <cellStyle name="Normal 63 6 3 4" xfId="8971"/>
    <cellStyle name="Normal 63 6 4" xfId="6682"/>
    <cellStyle name="Normal 63 6 4 2" xfId="15766"/>
    <cellStyle name="Normal 63 6 5" xfId="10425"/>
    <cellStyle name="Normal 63 6 5 2" xfId="19252"/>
    <cellStyle name="Normal 63 6 6" xfId="11871"/>
    <cellStyle name="Normal 63 6 7" xfId="5160"/>
    <cellStyle name="Normal 63 7" xfId="1382"/>
    <cellStyle name="Normal 63 7 2" xfId="2992"/>
    <cellStyle name="Normal 63 7 2 2" xfId="16542"/>
    <cellStyle name="Normal 63 7 2 3" xfId="12963"/>
    <cellStyle name="Normal 63 7 2 4" xfId="7674"/>
    <cellStyle name="Normal 63 7 3" xfId="4213"/>
    <cellStyle name="Normal 63 7 3 2" xfId="17906"/>
    <cellStyle name="Normal 63 7 3 3" xfId="14327"/>
    <cellStyle name="Normal 63 7 3 4" xfId="9070"/>
    <cellStyle name="Normal 63 7 4" xfId="5897"/>
    <cellStyle name="Normal 63 7 4 2" xfId="14983"/>
    <cellStyle name="Normal 63 7 5" xfId="10524"/>
    <cellStyle name="Normal 63 7 5 2" xfId="19351"/>
    <cellStyle name="Normal 63 7 6" xfId="11970"/>
    <cellStyle name="Normal 63 7 7" xfId="5268"/>
    <cellStyle name="Normal 63 8" xfId="1949"/>
    <cellStyle name="Normal 63 8 2" xfId="15848"/>
    <cellStyle name="Normal 63 8 3" xfId="12443"/>
    <cellStyle name="Normal 63 8 4" xfId="6784"/>
    <cellStyle name="Normal 63 9" xfId="3375"/>
    <cellStyle name="Normal 63 9 2" xfId="16861"/>
    <cellStyle name="Normal 63 9 3" xfId="13282"/>
    <cellStyle name="Normal 63 9 4" xfId="8025"/>
    <cellStyle name="Normal 63_Degree data" xfId="1793"/>
    <cellStyle name="Normal 64" xfId="140"/>
    <cellStyle name="Normal 64 2" xfId="211"/>
    <cellStyle name="Normal 64 2 2" xfId="824"/>
    <cellStyle name="Normal 64 3" xfId="466"/>
    <cellStyle name="Normal 64_Degree data" xfId="1798"/>
    <cellStyle name="Normal 65" xfId="141"/>
    <cellStyle name="Normal 65 2" xfId="213"/>
    <cellStyle name="Normal 65 2 2" xfId="825"/>
    <cellStyle name="Normal 65 3" xfId="467"/>
    <cellStyle name="Normal 65_Degree data" xfId="1799"/>
    <cellStyle name="Normal 66" xfId="142"/>
    <cellStyle name="Normal 66 2" xfId="212"/>
    <cellStyle name="Normal 66 2 2" xfId="826"/>
    <cellStyle name="Normal 66 3" xfId="468"/>
    <cellStyle name="Normal 66_Degree data" xfId="1800"/>
    <cellStyle name="Normal 67" xfId="173"/>
    <cellStyle name="Normal 67 2" xfId="827"/>
    <cellStyle name="Normal 67 3" xfId="3340"/>
    <cellStyle name="Normal 67 4" xfId="503"/>
    <cellStyle name="Normal 67_Degree data" xfId="1801"/>
    <cellStyle name="Normal 68" xfId="172"/>
    <cellStyle name="Normal 68 2" xfId="828"/>
    <cellStyle name="Normal 68 3" xfId="3317"/>
    <cellStyle name="Normal 68 4" xfId="504"/>
    <cellStyle name="Normal 68_Degree data" xfId="1802"/>
    <cellStyle name="Normal 69" xfId="178"/>
    <cellStyle name="Normal 69 2" xfId="829"/>
    <cellStyle name="Normal 69 3" xfId="3281"/>
    <cellStyle name="Normal 69 4" xfId="505"/>
    <cellStyle name="Normal 69_Degree data" xfId="1803"/>
    <cellStyle name="Normal 7" xfId="14"/>
    <cellStyle name="Normal 7 10" xfId="830"/>
    <cellStyle name="Normal 7 10 2" xfId="2550"/>
    <cellStyle name="Normal 7 10 2 2" xfId="16439"/>
    <cellStyle name="Normal 7 10 2 3" xfId="12861"/>
    <cellStyle name="Normal 7 10 2 4" xfId="7571"/>
    <cellStyle name="Normal 7 10 3" xfId="3819"/>
    <cellStyle name="Normal 7 10 3 2" xfId="17464"/>
    <cellStyle name="Normal 7 10 3 3" xfId="13885"/>
    <cellStyle name="Normal 7 10 3 4" xfId="8628"/>
    <cellStyle name="Normal 7 10 4" xfId="6687"/>
    <cellStyle name="Normal 7 10 4 2" xfId="15771"/>
    <cellStyle name="Normal 7 10 5" xfId="10082"/>
    <cellStyle name="Normal 7 10 5 2" xfId="18909"/>
    <cellStyle name="Normal 7 10 6" xfId="11528"/>
    <cellStyle name="Normal 7 10 7" xfId="5165"/>
    <cellStyle name="Normal 7 11" xfId="1178"/>
    <cellStyle name="Normal 7 11 2" xfId="2898"/>
    <cellStyle name="Normal 7 11 2 2" xfId="16491"/>
    <cellStyle name="Normal 7 11 2 3" xfId="12913"/>
    <cellStyle name="Normal 7 11 2 4" xfId="7623"/>
    <cellStyle name="Normal 7 11 3" xfId="4167"/>
    <cellStyle name="Normal 7 11 3 2" xfId="17812"/>
    <cellStyle name="Normal 7 11 3 3" xfId="14233"/>
    <cellStyle name="Normal 7 11 3 4" xfId="8976"/>
    <cellStyle name="Normal 7 11 4" xfId="5881"/>
    <cellStyle name="Normal 7 11 4 2" xfId="14967"/>
    <cellStyle name="Normal 7 11 5" xfId="10430"/>
    <cellStyle name="Normal 7 11 5 2" xfId="19257"/>
    <cellStyle name="Normal 7 11 6" xfId="11876"/>
    <cellStyle name="Normal 7 11 7" xfId="5217"/>
    <cellStyle name="Normal 7 12" xfId="1289"/>
    <cellStyle name="Normal 7 12 2" xfId="2941"/>
    <cellStyle name="Normal 7 12 2 2" xfId="17855"/>
    <cellStyle name="Normal 7 12 2 3" xfId="14276"/>
    <cellStyle name="Normal 7 12 2 4" xfId="9019"/>
    <cellStyle name="Normal 7 12 3" xfId="10473"/>
    <cellStyle name="Normal 7 12 3 2" xfId="19300"/>
    <cellStyle name="Normal 7 12 4" xfId="11919"/>
    <cellStyle name="Normal 7 12 5" xfId="6767"/>
    <cellStyle name="Normal 7 13" xfId="1898"/>
    <cellStyle name="Normal 7 13 2" xfId="9430"/>
    <cellStyle name="Normal 7 13 2 2" xfId="18257"/>
    <cellStyle name="Normal 7 13 3" xfId="10874"/>
    <cellStyle name="Normal 7 13 4" xfId="7974"/>
    <cellStyle name="Normal 7 14" xfId="1855"/>
    <cellStyle name="Normal 7 14 2" xfId="14655"/>
    <cellStyle name="Normal 7 14 3" xfId="5569"/>
    <cellStyle name="Normal 7 15" xfId="9390"/>
    <cellStyle name="Normal 7 15 2" xfId="18217"/>
    <cellStyle name="Normal 7 16" xfId="10829"/>
    <cellStyle name="Normal 7 17" xfId="4362"/>
    <cellStyle name="Normal 7 2" xfId="134"/>
    <cellStyle name="Normal 7 2 10" xfId="1910"/>
    <cellStyle name="Normal 7 2 10 2" xfId="9442"/>
    <cellStyle name="Normal 7 2 10 2 2" xfId="18269"/>
    <cellStyle name="Normal 7 2 10 3" xfId="10886"/>
    <cellStyle name="Normal 7 2 10 4" xfId="7986"/>
    <cellStyle name="Normal 7 2 11" xfId="1880"/>
    <cellStyle name="Normal 7 2 11 2" xfId="14680"/>
    <cellStyle name="Normal 7 2 11 3" xfId="5594"/>
    <cellStyle name="Normal 7 2 12" xfId="9412"/>
    <cellStyle name="Normal 7 2 12 2" xfId="18239"/>
    <cellStyle name="Normal 7 2 13" xfId="10856"/>
    <cellStyle name="Normal 7 2 14" xfId="4375"/>
    <cellStyle name="Normal 7 2 2" xfId="234"/>
    <cellStyle name="Normal 7 2 2 10" xfId="9544"/>
    <cellStyle name="Normal 7 2 2 10 2" xfId="18371"/>
    <cellStyle name="Normal 7 2 2 11" xfId="10988"/>
    <cellStyle name="Normal 7 2 2 12" xfId="4405"/>
    <cellStyle name="Normal 7 2 2 2" xfId="447"/>
    <cellStyle name="Normal 7 2 2 2 10" xfId="4509"/>
    <cellStyle name="Normal 7 2 2 2 2" xfId="833"/>
    <cellStyle name="Normal 7 2 2 2 2 2" xfId="2553"/>
    <cellStyle name="Normal 7 2 2 2 2 2 2" xfId="16105"/>
    <cellStyle name="Normal 7 2 2 2 2 2 3" xfId="12527"/>
    <cellStyle name="Normal 7 2 2 2 2 2 4" xfId="7232"/>
    <cellStyle name="Normal 7 2 2 2 2 3" xfId="3822"/>
    <cellStyle name="Normal 7 2 2 2 2 3 2" xfId="17467"/>
    <cellStyle name="Normal 7 2 2 2 2 3 3" xfId="13888"/>
    <cellStyle name="Normal 7 2 2 2 2 3 4" xfId="8631"/>
    <cellStyle name="Normal 7 2 2 2 2 4" xfId="6348"/>
    <cellStyle name="Normal 7 2 2 2 2 4 2" xfId="15432"/>
    <cellStyle name="Normal 7 2 2 2 2 5" xfId="10085"/>
    <cellStyle name="Normal 7 2 2 2 2 5 2" xfId="18912"/>
    <cellStyle name="Normal 7 2 2 2 2 6" xfId="11531"/>
    <cellStyle name="Normal 7 2 2 2 2 7" xfId="4826"/>
    <cellStyle name="Normal 7 2 2 2 3" xfId="1181"/>
    <cellStyle name="Normal 7 2 2 2 3 2" xfId="2901"/>
    <cellStyle name="Normal 7 2 2 2 3 2 2" xfId="16442"/>
    <cellStyle name="Normal 7 2 2 2 3 2 3" xfId="12864"/>
    <cellStyle name="Normal 7 2 2 2 3 2 4" xfId="7574"/>
    <cellStyle name="Normal 7 2 2 2 3 3" xfId="4170"/>
    <cellStyle name="Normal 7 2 2 2 3 3 2" xfId="17815"/>
    <cellStyle name="Normal 7 2 2 2 3 3 3" xfId="14236"/>
    <cellStyle name="Normal 7 2 2 2 3 3 4" xfId="8979"/>
    <cellStyle name="Normal 7 2 2 2 3 4" xfId="6690"/>
    <cellStyle name="Normal 7 2 2 2 3 4 2" xfId="15774"/>
    <cellStyle name="Normal 7 2 2 2 3 5" xfId="10433"/>
    <cellStyle name="Normal 7 2 2 2 3 5 2" xfId="19260"/>
    <cellStyle name="Normal 7 2 2 2 3 6" xfId="11879"/>
    <cellStyle name="Normal 7 2 2 2 3 7" xfId="5168"/>
    <cellStyle name="Normal 7 2 2 2 4" xfId="1663"/>
    <cellStyle name="Normal 7 2 2 2 4 2" xfId="3259"/>
    <cellStyle name="Normal 7 2 2 2 4 2 2" xfId="16809"/>
    <cellStyle name="Normal 7 2 2 2 4 2 3" xfId="13230"/>
    <cellStyle name="Normal 7 2 2 2 4 2 4" xfId="7941"/>
    <cellStyle name="Normal 7 2 2 2 4 3" xfId="4327"/>
    <cellStyle name="Normal 7 2 2 2 4 3 2" xfId="18173"/>
    <cellStyle name="Normal 7 2 2 2 4 3 3" xfId="14594"/>
    <cellStyle name="Normal 7 2 2 2 4 3 4" xfId="9337"/>
    <cellStyle name="Normal 7 2 2 2 4 4" xfId="6029"/>
    <cellStyle name="Normal 7 2 2 2 4 4 2" xfId="15115"/>
    <cellStyle name="Normal 7 2 2 2 4 5" xfId="10791"/>
    <cellStyle name="Normal 7 2 2 2 4 5 2" xfId="19618"/>
    <cellStyle name="Normal 7 2 2 2 4 6" xfId="12237"/>
    <cellStyle name="Normal 7 2 2 2 4 7" xfId="5535"/>
    <cellStyle name="Normal 7 2 2 2 5" xfId="2216"/>
    <cellStyle name="Normal 7 2 2 2 5 2" xfId="15958"/>
    <cellStyle name="Normal 7 2 2 2 5 3" xfId="12520"/>
    <cellStyle name="Normal 7 2 2 2 5 4" xfId="6915"/>
    <cellStyle name="Normal 7 2 2 2 6" xfId="3489"/>
    <cellStyle name="Normal 7 2 2 2 6 2" xfId="17130"/>
    <cellStyle name="Normal 7 2 2 2 6 3" xfId="13551"/>
    <cellStyle name="Normal 7 2 2 2 6 4" xfId="8294"/>
    <cellStyle name="Normal 7 2 2 2 7" xfId="5855"/>
    <cellStyle name="Normal 7 2 2 2 7 2" xfId="14941"/>
    <cellStyle name="Normal 7 2 2 2 8" xfId="9748"/>
    <cellStyle name="Normal 7 2 2 2 8 2" xfId="18575"/>
    <cellStyle name="Normal 7 2 2 2 9" xfId="11192"/>
    <cellStyle name="Normal 7 2 2 2_Degree data" xfId="1807"/>
    <cellStyle name="Normal 7 2 2 3" xfId="342"/>
    <cellStyle name="Normal 7 2 2 3 2" xfId="834"/>
    <cellStyle name="Normal 7 2 2 3 2 2" xfId="2554"/>
    <cellStyle name="Normal 7 2 2 3 2 2 2" xfId="16443"/>
    <cellStyle name="Normal 7 2 2 3 2 2 3" xfId="12865"/>
    <cellStyle name="Normal 7 2 2 3 2 2 4" xfId="7575"/>
    <cellStyle name="Normal 7 2 2 3 2 3" xfId="3823"/>
    <cellStyle name="Normal 7 2 2 3 2 3 2" xfId="17468"/>
    <cellStyle name="Normal 7 2 2 3 2 3 3" xfId="13889"/>
    <cellStyle name="Normal 7 2 2 3 2 3 4" xfId="8632"/>
    <cellStyle name="Normal 7 2 2 3 2 4" xfId="6691"/>
    <cellStyle name="Normal 7 2 2 3 2 4 2" xfId="15775"/>
    <cellStyle name="Normal 7 2 2 3 2 5" xfId="10086"/>
    <cellStyle name="Normal 7 2 2 3 2 5 2" xfId="18913"/>
    <cellStyle name="Normal 7 2 2 3 2 6" xfId="11532"/>
    <cellStyle name="Normal 7 2 2 3 2 7" xfId="5169"/>
    <cellStyle name="Normal 7 2 2 3 3" xfId="1182"/>
    <cellStyle name="Normal 7 2 2 3 3 2" xfId="2902"/>
    <cellStyle name="Normal 7 2 2 3 3 2 2" xfId="16705"/>
    <cellStyle name="Normal 7 2 2 3 3 2 3" xfId="13126"/>
    <cellStyle name="Normal 7 2 2 3 3 2 4" xfId="7837"/>
    <cellStyle name="Normal 7 2 2 3 3 3" xfId="4171"/>
    <cellStyle name="Normal 7 2 2 3 3 3 2" xfId="17816"/>
    <cellStyle name="Normal 7 2 2 3 3 3 3" xfId="14237"/>
    <cellStyle name="Normal 7 2 2 3 3 3 4" xfId="8980"/>
    <cellStyle name="Normal 7 2 2 3 3 4" xfId="6244"/>
    <cellStyle name="Normal 7 2 2 3 3 4 2" xfId="15328"/>
    <cellStyle name="Normal 7 2 2 3 3 5" xfId="10434"/>
    <cellStyle name="Normal 7 2 2 3 3 5 2" xfId="19261"/>
    <cellStyle name="Normal 7 2 2 3 3 6" xfId="11880"/>
    <cellStyle name="Normal 7 2 2 3 3 7" xfId="5431"/>
    <cellStyle name="Normal 7 2 2 3 4" xfId="1556"/>
    <cellStyle name="Normal 7 2 2 3 4 2" xfId="3155"/>
    <cellStyle name="Normal 7 2 2 3 4 2 2" xfId="18069"/>
    <cellStyle name="Normal 7 2 2 3 4 2 3" xfId="14490"/>
    <cellStyle name="Normal 7 2 2 3 4 2 4" xfId="9233"/>
    <cellStyle name="Normal 7 2 2 3 4 3" xfId="10687"/>
    <cellStyle name="Normal 7 2 2 3 4 3 2" xfId="19514"/>
    <cellStyle name="Normal 7 2 2 3 4 4" xfId="12133"/>
    <cellStyle name="Normal 7 2 2 3 4 5" xfId="7128"/>
    <cellStyle name="Normal 7 2 2 3 5" xfId="2112"/>
    <cellStyle name="Normal 7 2 2 3 5 2" xfId="17026"/>
    <cellStyle name="Normal 7 2 2 3 5 3" xfId="13447"/>
    <cellStyle name="Normal 7 2 2 3 5 4" xfId="8190"/>
    <cellStyle name="Normal 7 2 2 3 6" xfId="5751"/>
    <cellStyle name="Normal 7 2 2 3 6 2" xfId="14837"/>
    <cellStyle name="Normal 7 2 2 3 7" xfId="9644"/>
    <cellStyle name="Normal 7 2 2 3 7 2" xfId="18471"/>
    <cellStyle name="Normal 7 2 2 3 8" xfId="11088"/>
    <cellStyle name="Normal 7 2 2 3 9" xfId="4722"/>
    <cellStyle name="Normal 7 2 2 3_Degree data" xfId="1808"/>
    <cellStyle name="Normal 7 2 2 4" xfId="832"/>
    <cellStyle name="Normal 7 2 2 4 2" xfId="2552"/>
    <cellStyle name="Normal 7 2 2 4 2 2" xfId="16042"/>
    <cellStyle name="Normal 7 2 2 4 2 3" xfId="12479"/>
    <cellStyle name="Normal 7 2 2 4 2 4" xfId="7028"/>
    <cellStyle name="Normal 7 2 2 4 3" xfId="3821"/>
    <cellStyle name="Normal 7 2 2 4 3 2" xfId="17466"/>
    <cellStyle name="Normal 7 2 2 4 3 3" xfId="13887"/>
    <cellStyle name="Normal 7 2 2 4 3 4" xfId="8630"/>
    <cellStyle name="Normal 7 2 2 4 4" xfId="6144"/>
    <cellStyle name="Normal 7 2 2 4 4 2" xfId="15228"/>
    <cellStyle name="Normal 7 2 2 4 5" xfId="10084"/>
    <cellStyle name="Normal 7 2 2 4 5 2" xfId="18911"/>
    <cellStyle name="Normal 7 2 2 4 6" xfId="11530"/>
    <cellStyle name="Normal 7 2 2 4 7" xfId="4622"/>
    <cellStyle name="Normal 7 2 2 5" xfId="1180"/>
    <cellStyle name="Normal 7 2 2 5 2" xfId="2900"/>
    <cellStyle name="Normal 7 2 2 5 2 2" xfId="16441"/>
    <cellStyle name="Normal 7 2 2 5 2 3" xfId="12863"/>
    <cellStyle name="Normal 7 2 2 5 2 4" xfId="7573"/>
    <cellStyle name="Normal 7 2 2 5 3" xfId="4169"/>
    <cellStyle name="Normal 7 2 2 5 3 2" xfId="17814"/>
    <cellStyle name="Normal 7 2 2 5 3 3" xfId="14235"/>
    <cellStyle name="Normal 7 2 2 5 3 4" xfId="8978"/>
    <cellStyle name="Normal 7 2 2 5 4" xfId="6689"/>
    <cellStyle name="Normal 7 2 2 5 4 2" xfId="15773"/>
    <cellStyle name="Normal 7 2 2 5 5" xfId="10432"/>
    <cellStyle name="Normal 7 2 2 5 5 2" xfId="19259"/>
    <cellStyle name="Normal 7 2 2 5 6" xfId="11878"/>
    <cellStyle name="Normal 7 2 2 5 7" xfId="5167"/>
    <cellStyle name="Normal 7 2 2 6" xfId="1454"/>
    <cellStyle name="Normal 7 2 2 6 2" xfId="3055"/>
    <cellStyle name="Normal 7 2 2 6 2 2" xfId="16605"/>
    <cellStyle name="Normal 7 2 2 6 2 3" xfId="13026"/>
    <cellStyle name="Normal 7 2 2 6 2 4" xfId="7737"/>
    <cellStyle name="Normal 7 2 2 6 3" xfId="4264"/>
    <cellStyle name="Normal 7 2 2 6 3 2" xfId="17969"/>
    <cellStyle name="Normal 7 2 2 6 3 3" xfId="14390"/>
    <cellStyle name="Normal 7 2 2 6 3 4" xfId="9133"/>
    <cellStyle name="Normal 7 2 2 6 4" xfId="5925"/>
    <cellStyle name="Normal 7 2 2 6 4 2" xfId="15011"/>
    <cellStyle name="Normal 7 2 2 6 5" xfId="10587"/>
    <cellStyle name="Normal 7 2 2 6 5 2" xfId="19414"/>
    <cellStyle name="Normal 7 2 2 6 6" xfId="12033"/>
    <cellStyle name="Normal 7 2 2 6 7" xfId="5331"/>
    <cellStyle name="Normal 7 2 2 7" xfId="2012"/>
    <cellStyle name="Normal 7 2 2 7 2" xfId="15857"/>
    <cellStyle name="Normal 7 2 2 7 3" xfId="12450"/>
    <cellStyle name="Normal 7 2 2 7 4" xfId="6811"/>
    <cellStyle name="Normal 7 2 2 8" xfId="3426"/>
    <cellStyle name="Normal 7 2 2 8 2" xfId="16926"/>
    <cellStyle name="Normal 7 2 2 8 3" xfId="13347"/>
    <cellStyle name="Normal 7 2 2 8 4" xfId="8090"/>
    <cellStyle name="Normal 7 2 2 9" xfId="5651"/>
    <cellStyle name="Normal 7 2 2 9 2" xfId="14737"/>
    <cellStyle name="Normal 7 2 2_Degree data" xfId="1806"/>
    <cellStyle name="Normal 7 2 3" xfId="277"/>
    <cellStyle name="Normal 7 2 3 10" xfId="11031"/>
    <cellStyle name="Normal 7 2 3 11" xfId="4448"/>
    <cellStyle name="Normal 7 2 3 2" xfId="385"/>
    <cellStyle name="Normal 7 2 3 2 2" xfId="836"/>
    <cellStyle name="Normal 7 2 3 2 2 2" xfId="2556"/>
    <cellStyle name="Normal 7 2 3 2 2 2 2" xfId="16445"/>
    <cellStyle name="Normal 7 2 3 2 2 2 3" xfId="12867"/>
    <cellStyle name="Normal 7 2 3 2 2 2 4" xfId="7577"/>
    <cellStyle name="Normal 7 2 3 2 2 3" xfId="3825"/>
    <cellStyle name="Normal 7 2 3 2 2 3 2" xfId="17470"/>
    <cellStyle name="Normal 7 2 3 2 2 3 3" xfId="13891"/>
    <cellStyle name="Normal 7 2 3 2 2 3 4" xfId="8634"/>
    <cellStyle name="Normal 7 2 3 2 2 4" xfId="6693"/>
    <cellStyle name="Normal 7 2 3 2 2 4 2" xfId="15777"/>
    <cellStyle name="Normal 7 2 3 2 2 5" xfId="10088"/>
    <cellStyle name="Normal 7 2 3 2 2 5 2" xfId="18915"/>
    <cellStyle name="Normal 7 2 3 2 2 6" xfId="11534"/>
    <cellStyle name="Normal 7 2 3 2 2 7" xfId="5171"/>
    <cellStyle name="Normal 7 2 3 2 3" xfId="1184"/>
    <cellStyle name="Normal 7 2 3 2 3 2" xfId="2904"/>
    <cellStyle name="Normal 7 2 3 2 3 2 2" xfId="16748"/>
    <cellStyle name="Normal 7 2 3 2 3 2 3" xfId="13169"/>
    <cellStyle name="Normal 7 2 3 2 3 2 4" xfId="7880"/>
    <cellStyle name="Normal 7 2 3 2 3 3" xfId="4173"/>
    <cellStyle name="Normal 7 2 3 2 3 3 2" xfId="17818"/>
    <cellStyle name="Normal 7 2 3 2 3 3 3" xfId="14239"/>
    <cellStyle name="Normal 7 2 3 2 3 3 4" xfId="8982"/>
    <cellStyle name="Normal 7 2 3 2 3 4" xfId="6287"/>
    <cellStyle name="Normal 7 2 3 2 3 4 2" xfId="15371"/>
    <cellStyle name="Normal 7 2 3 2 3 5" xfId="10436"/>
    <cellStyle name="Normal 7 2 3 2 3 5 2" xfId="19263"/>
    <cellStyle name="Normal 7 2 3 2 3 6" xfId="11882"/>
    <cellStyle name="Normal 7 2 3 2 3 7" xfId="5474"/>
    <cellStyle name="Normal 7 2 3 2 4" xfId="1601"/>
    <cellStyle name="Normal 7 2 3 2 4 2" xfId="3198"/>
    <cellStyle name="Normal 7 2 3 2 4 2 2" xfId="18112"/>
    <cellStyle name="Normal 7 2 3 2 4 2 3" xfId="14533"/>
    <cellStyle name="Normal 7 2 3 2 4 2 4" xfId="9276"/>
    <cellStyle name="Normal 7 2 3 2 4 3" xfId="10730"/>
    <cellStyle name="Normal 7 2 3 2 4 3 2" xfId="19557"/>
    <cellStyle name="Normal 7 2 3 2 4 4" xfId="12176"/>
    <cellStyle name="Normal 7 2 3 2 4 5" xfId="7171"/>
    <cellStyle name="Normal 7 2 3 2 5" xfId="2155"/>
    <cellStyle name="Normal 7 2 3 2 5 2" xfId="17069"/>
    <cellStyle name="Normal 7 2 3 2 5 3" xfId="13490"/>
    <cellStyle name="Normal 7 2 3 2 5 4" xfId="8233"/>
    <cellStyle name="Normal 7 2 3 2 6" xfId="5794"/>
    <cellStyle name="Normal 7 2 3 2 6 2" xfId="14880"/>
    <cellStyle name="Normal 7 2 3 2 7" xfId="9687"/>
    <cellStyle name="Normal 7 2 3 2 7 2" xfId="18514"/>
    <cellStyle name="Normal 7 2 3 2 8" xfId="11131"/>
    <cellStyle name="Normal 7 2 3 2 9" xfId="4765"/>
    <cellStyle name="Normal 7 2 3 2_Degree data" xfId="1810"/>
    <cellStyle name="Normal 7 2 3 3" xfId="835"/>
    <cellStyle name="Normal 7 2 3 3 2" xfId="2555"/>
    <cellStyle name="Normal 7 2 3 3 2 2" xfId="16085"/>
    <cellStyle name="Normal 7 2 3 3 2 3" xfId="12462"/>
    <cellStyle name="Normal 7 2 3 3 2 4" xfId="7071"/>
    <cellStyle name="Normal 7 2 3 3 3" xfId="3824"/>
    <cellStyle name="Normal 7 2 3 3 3 2" xfId="17469"/>
    <cellStyle name="Normal 7 2 3 3 3 3" xfId="13890"/>
    <cellStyle name="Normal 7 2 3 3 3 4" xfId="8633"/>
    <cellStyle name="Normal 7 2 3 3 4" xfId="6187"/>
    <cellStyle name="Normal 7 2 3 3 4 2" xfId="15271"/>
    <cellStyle name="Normal 7 2 3 3 5" xfId="10087"/>
    <cellStyle name="Normal 7 2 3 3 5 2" xfId="18914"/>
    <cellStyle name="Normal 7 2 3 3 6" xfId="11533"/>
    <cellStyle name="Normal 7 2 3 3 7" xfId="4665"/>
    <cellStyle name="Normal 7 2 3 4" xfId="1183"/>
    <cellStyle name="Normal 7 2 3 4 2" xfId="2903"/>
    <cellStyle name="Normal 7 2 3 4 2 2" xfId="16444"/>
    <cellStyle name="Normal 7 2 3 4 2 3" xfId="12866"/>
    <cellStyle name="Normal 7 2 3 4 2 4" xfId="7576"/>
    <cellStyle name="Normal 7 2 3 4 3" xfId="4172"/>
    <cellStyle name="Normal 7 2 3 4 3 2" xfId="17817"/>
    <cellStyle name="Normal 7 2 3 4 3 3" xfId="14238"/>
    <cellStyle name="Normal 7 2 3 4 3 4" xfId="8981"/>
    <cellStyle name="Normal 7 2 3 4 4" xfId="6692"/>
    <cellStyle name="Normal 7 2 3 4 4 2" xfId="15776"/>
    <cellStyle name="Normal 7 2 3 4 5" xfId="10435"/>
    <cellStyle name="Normal 7 2 3 4 5 2" xfId="19262"/>
    <cellStyle name="Normal 7 2 3 4 6" xfId="11881"/>
    <cellStyle name="Normal 7 2 3 4 7" xfId="5170"/>
    <cellStyle name="Normal 7 2 3 5" xfId="1499"/>
    <cellStyle name="Normal 7 2 3 5 2" xfId="3098"/>
    <cellStyle name="Normal 7 2 3 5 2 2" xfId="16648"/>
    <cellStyle name="Normal 7 2 3 5 2 3" xfId="13069"/>
    <cellStyle name="Normal 7 2 3 5 2 4" xfId="7780"/>
    <cellStyle name="Normal 7 2 3 5 3" xfId="4307"/>
    <cellStyle name="Normal 7 2 3 5 3 2" xfId="18012"/>
    <cellStyle name="Normal 7 2 3 5 3 3" xfId="14433"/>
    <cellStyle name="Normal 7 2 3 5 3 4" xfId="9176"/>
    <cellStyle name="Normal 7 2 3 5 4" xfId="5968"/>
    <cellStyle name="Normal 7 2 3 5 4 2" xfId="15054"/>
    <cellStyle name="Normal 7 2 3 5 5" xfId="10630"/>
    <cellStyle name="Normal 7 2 3 5 5 2" xfId="19457"/>
    <cellStyle name="Normal 7 2 3 5 6" xfId="12076"/>
    <cellStyle name="Normal 7 2 3 5 7" xfId="5374"/>
    <cellStyle name="Normal 7 2 3 6" xfId="2055"/>
    <cellStyle name="Normal 7 2 3 6 2" xfId="15897"/>
    <cellStyle name="Normal 7 2 3 6 3" xfId="12374"/>
    <cellStyle name="Normal 7 2 3 6 4" xfId="6854"/>
    <cellStyle name="Normal 7 2 3 7" xfId="3469"/>
    <cellStyle name="Normal 7 2 3 7 2" xfId="16969"/>
    <cellStyle name="Normal 7 2 3 7 3" xfId="13390"/>
    <cellStyle name="Normal 7 2 3 7 4" xfId="8133"/>
    <cellStyle name="Normal 7 2 3 8" xfId="5694"/>
    <cellStyle name="Normal 7 2 3 8 2" xfId="14780"/>
    <cellStyle name="Normal 7 2 3 9" xfId="9587"/>
    <cellStyle name="Normal 7 2 3 9 2" xfId="18414"/>
    <cellStyle name="Normal 7 2 3_Degree data" xfId="1809"/>
    <cellStyle name="Normal 7 2 4" xfId="201"/>
    <cellStyle name="Normal 7 2 4 10" xfId="10958"/>
    <cellStyle name="Normal 7 2 4 11" xfId="4480"/>
    <cellStyle name="Normal 7 2 4 2" xfId="418"/>
    <cellStyle name="Normal 7 2 4 2 2" xfId="838"/>
    <cellStyle name="Normal 7 2 4 2 2 2" xfId="2558"/>
    <cellStyle name="Normal 7 2 4 2 2 2 2" xfId="16447"/>
    <cellStyle name="Normal 7 2 4 2 2 2 3" xfId="12869"/>
    <cellStyle name="Normal 7 2 4 2 2 2 4" xfId="7579"/>
    <cellStyle name="Normal 7 2 4 2 2 3" xfId="3827"/>
    <cellStyle name="Normal 7 2 4 2 2 3 2" xfId="17472"/>
    <cellStyle name="Normal 7 2 4 2 2 3 3" xfId="13893"/>
    <cellStyle name="Normal 7 2 4 2 2 3 4" xfId="8636"/>
    <cellStyle name="Normal 7 2 4 2 2 4" xfId="6695"/>
    <cellStyle name="Normal 7 2 4 2 2 4 2" xfId="15779"/>
    <cellStyle name="Normal 7 2 4 2 2 5" xfId="10090"/>
    <cellStyle name="Normal 7 2 4 2 2 5 2" xfId="18917"/>
    <cellStyle name="Normal 7 2 4 2 2 6" xfId="11536"/>
    <cellStyle name="Normal 7 2 4 2 2 7" xfId="5173"/>
    <cellStyle name="Normal 7 2 4 2 3" xfId="1186"/>
    <cellStyle name="Normal 7 2 4 2 3 2" xfId="2906"/>
    <cellStyle name="Normal 7 2 4 2 3 2 2" xfId="16780"/>
    <cellStyle name="Normal 7 2 4 2 3 2 3" xfId="13201"/>
    <cellStyle name="Normal 7 2 4 2 3 2 4" xfId="7912"/>
    <cellStyle name="Normal 7 2 4 2 3 3" xfId="4175"/>
    <cellStyle name="Normal 7 2 4 2 3 3 2" xfId="17820"/>
    <cellStyle name="Normal 7 2 4 2 3 3 3" xfId="14241"/>
    <cellStyle name="Normal 7 2 4 2 3 3 4" xfId="8984"/>
    <cellStyle name="Normal 7 2 4 2 3 4" xfId="6319"/>
    <cellStyle name="Normal 7 2 4 2 3 4 2" xfId="15403"/>
    <cellStyle name="Normal 7 2 4 2 3 5" xfId="10438"/>
    <cellStyle name="Normal 7 2 4 2 3 5 2" xfId="19265"/>
    <cellStyle name="Normal 7 2 4 2 3 6" xfId="11884"/>
    <cellStyle name="Normal 7 2 4 2 3 7" xfId="5506"/>
    <cellStyle name="Normal 7 2 4 2 4" xfId="1634"/>
    <cellStyle name="Normal 7 2 4 2 4 2" xfId="3230"/>
    <cellStyle name="Normal 7 2 4 2 4 2 2" xfId="18144"/>
    <cellStyle name="Normal 7 2 4 2 4 2 3" xfId="14565"/>
    <cellStyle name="Normal 7 2 4 2 4 2 4" xfId="9308"/>
    <cellStyle name="Normal 7 2 4 2 4 3" xfId="10762"/>
    <cellStyle name="Normal 7 2 4 2 4 3 2" xfId="19589"/>
    <cellStyle name="Normal 7 2 4 2 4 4" xfId="12208"/>
    <cellStyle name="Normal 7 2 4 2 4 5" xfId="7203"/>
    <cellStyle name="Normal 7 2 4 2 5" xfId="2187"/>
    <cellStyle name="Normal 7 2 4 2 5 2" xfId="17101"/>
    <cellStyle name="Normal 7 2 4 2 5 3" xfId="13522"/>
    <cellStyle name="Normal 7 2 4 2 5 4" xfId="8265"/>
    <cellStyle name="Normal 7 2 4 2 6" xfId="5826"/>
    <cellStyle name="Normal 7 2 4 2 6 2" xfId="14912"/>
    <cellStyle name="Normal 7 2 4 2 7" xfId="9719"/>
    <cellStyle name="Normal 7 2 4 2 7 2" xfId="18546"/>
    <cellStyle name="Normal 7 2 4 2 8" xfId="11163"/>
    <cellStyle name="Normal 7 2 4 2 9" xfId="4797"/>
    <cellStyle name="Normal 7 2 4 2_Degree data" xfId="1812"/>
    <cellStyle name="Normal 7 2 4 3" xfId="837"/>
    <cellStyle name="Normal 7 2 4 3 2" xfId="2557"/>
    <cellStyle name="Normal 7 2 4 3 2 2" xfId="16012"/>
    <cellStyle name="Normal 7 2 4 3 2 3" xfId="12282"/>
    <cellStyle name="Normal 7 2 4 3 2 4" xfId="6998"/>
    <cellStyle name="Normal 7 2 4 3 3" xfId="3826"/>
    <cellStyle name="Normal 7 2 4 3 3 2" xfId="17471"/>
    <cellStyle name="Normal 7 2 4 3 3 3" xfId="13892"/>
    <cellStyle name="Normal 7 2 4 3 3 4" xfId="8635"/>
    <cellStyle name="Normal 7 2 4 3 4" xfId="6114"/>
    <cellStyle name="Normal 7 2 4 3 4 2" xfId="15198"/>
    <cellStyle name="Normal 7 2 4 3 5" xfId="10089"/>
    <cellStyle name="Normal 7 2 4 3 5 2" xfId="18916"/>
    <cellStyle name="Normal 7 2 4 3 6" xfId="11535"/>
    <cellStyle name="Normal 7 2 4 3 7" xfId="4592"/>
    <cellStyle name="Normal 7 2 4 4" xfId="1185"/>
    <cellStyle name="Normal 7 2 4 4 2" xfId="2905"/>
    <cellStyle name="Normal 7 2 4 4 2 2" xfId="16446"/>
    <cellStyle name="Normal 7 2 4 4 2 3" xfId="12868"/>
    <cellStyle name="Normal 7 2 4 4 2 4" xfId="7578"/>
    <cellStyle name="Normal 7 2 4 4 3" xfId="4174"/>
    <cellStyle name="Normal 7 2 4 4 3 2" xfId="17819"/>
    <cellStyle name="Normal 7 2 4 4 3 3" xfId="14240"/>
    <cellStyle name="Normal 7 2 4 4 3 4" xfId="8983"/>
    <cellStyle name="Normal 7 2 4 4 4" xfId="6694"/>
    <cellStyle name="Normal 7 2 4 4 4 2" xfId="15778"/>
    <cellStyle name="Normal 7 2 4 4 5" xfId="10437"/>
    <cellStyle name="Normal 7 2 4 4 5 2" xfId="19264"/>
    <cellStyle name="Normal 7 2 4 4 6" xfId="11883"/>
    <cellStyle name="Normal 7 2 4 4 7" xfId="5172"/>
    <cellStyle name="Normal 7 2 4 5" xfId="1420"/>
    <cellStyle name="Normal 7 2 4 5 2" xfId="3025"/>
    <cellStyle name="Normal 7 2 4 5 2 2" xfId="16575"/>
    <cellStyle name="Normal 7 2 4 5 2 3" xfId="12996"/>
    <cellStyle name="Normal 7 2 4 5 2 4" xfId="7707"/>
    <cellStyle name="Normal 7 2 4 5 3" xfId="4234"/>
    <cellStyle name="Normal 7 2 4 5 3 2" xfId="17939"/>
    <cellStyle name="Normal 7 2 4 5 3 3" xfId="14360"/>
    <cellStyle name="Normal 7 2 4 5 3 4" xfId="9103"/>
    <cellStyle name="Normal 7 2 4 5 4" xfId="6000"/>
    <cellStyle name="Normal 7 2 4 5 4 2" xfId="15086"/>
    <cellStyle name="Normal 7 2 4 5 5" xfId="10557"/>
    <cellStyle name="Normal 7 2 4 5 5 2" xfId="19384"/>
    <cellStyle name="Normal 7 2 4 5 6" xfId="12003"/>
    <cellStyle name="Normal 7 2 4 5 7" xfId="5301"/>
    <cellStyle name="Normal 7 2 4 6" xfId="1982"/>
    <cellStyle name="Normal 7 2 4 6 2" xfId="15929"/>
    <cellStyle name="Normal 7 2 4 6 3" xfId="12367"/>
    <cellStyle name="Normal 7 2 4 6 4" xfId="6886"/>
    <cellStyle name="Normal 7 2 4 7" xfId="3397"/>
    <cellStyle name="Normal 7 2 4 7 2" xfId="16896"/>
    <cellStyle name="Normal 7 2 4 7 3" xfId="13317"/>
    <cellStyle name="Normal 7 2 4 7 4" xfId="8060"/>
    <cellStyle name="Normal 7 2 4 8" xfId="5621"/>
    <cellStyle name="Normal 7 2 4 8 2" xfId="14707"/>
    <cellStyle name="Normal 7 2 4 9" xfId="9514"/>
    <cellStyle name="Normal 7 2 4 9 2" xfId="18341"/>
    <cellStyle name="Normal 7 2 4_Degree data" xfId="1811"/>
    <cellStyle name="Normal 7 2 5" xfId="312"/>
    <cellStyle name="Normal 7 2 5 2" xfId="839"/>
    <cellStyle name="Normal 7 2 5 2 2" xfId="2559"/>
    <cellStyle name="Normal 7 2 5 2 2 2" xfId="16448"/>
    <cellStyle name="Normal 7 2 5 2 2 3" xfId="12870"/>
    <cellStyle name="Normal 7 2 5 2 2 4" xfId="7580"/>
    <cellStyle name="Normal 7 2 5 2 3" xfId="3828"/>
    <cellStyle name="Normal 7 2 5 2 3 2" xfId="17473"/>
    <cellStyle name="Normal 7 2 5 2 3 3" xfId="13894"/>
    <cellStyle name="Normal 7 2 5 2 3 4" xfId="8637"/>
    <cellStyle name="Normal 7 2 5 2 4" xfId="6696"/>
    <cellStyle name="Normal 7 2 5 2 4 2" xfId="15780"/>
    <cellStyle name="Normal 7 2 5 2 5" xfId="10091"/>
    <cellStyle name="Normal 7 2 5 2 5 2" xfId="18918"/>
    <cellStyle name="Normal 7 2 5 2 6" xfId="11537"/>
    <cellStyle name="Normal 7 2 5 2 7" xfId="5174"/>
    <cellStyle name="Normal 7 2 5 3" xfId="1187"/>
    <cellStyle name="Normal 7 2 5 3 2" xfId="2907"/>
    <cellStyle name="Normal 7 2 5 3 2 2" xfId="16675"/>
    <cellStyle name="Normal 7 2 5 3 2 3" xfId="13096"/>
    <cellStyle name="Normal 7 2 5 3 2 4" xfId="7807"/>
    <cellStyle name="Normal 7 2 5 3 3" xfId="4176"/>
    <cellStyle name="Normal 7 2 5 3 3 2" xfId="17821"/>
    <cellStyle name="Normal 7 2 5 3 3 3" xfId="14242"/>
    <cellStyle name="Normal 7 2 5 3 3 4" xfId="8985"/>
    <cellStyle name="Normal 7 2 5 3 4" xfId="6214"/>
    <cellStyle name="Normal 7 2 5 3 4 2" xfId="15298"/>
    <cellStyle name="Normal 7 2 5 3 5" xfId="10439"/>
    <cellStyle name="Normal 7 2 5 3 5 2" xfId="19266"/>
    <cellStyle name="Normal 7 2 5 3 6" xfId="11885"/>
    <cellStyle name="Normal 7 2 5 3 7" xfId="5401"/>
    <cellStyle name="Normal 7 2 5 4" xfId="1526"/>
    <cellStyle name="Normal 7 2 5 4 2" xfId="3125"/>
    <cellStyle name="Normal 7 2 5 4 2 2" xfId="18039"/>
    <cellStyle name="Normal 7 2 5 4 2 3" xfId="14460"/>
    <cellStyle name="Normal 7 2 5 4 2 4" xfId="9203"/>
    <cellStyle name="Normal 7 2 5 4 3" xfId="10657"/>
    <cellStyle name="Normal 7 2 5 4 3 2" xfId="19484"/>
    <cellStyle name="Normal 7 2 5 4 4" xfId="12103"/>
    <cellStyle name="Normal 7 2 5 4 5" xfId="7098"/>
    <cellStyle name="Normal 7 2 5 5" xfId="2082"/>
    <cellStyle name="Normal 7 2 5 5 2" xfId="16996"/>
    <cellStyle name="Normal 7 2 5 5 3" xfId="13417"/>
    <cellStyle name="Normal 7 2 5 5 4" xfId="8160"/>
    <cellStyle name="Normal 7 2 5 6" xfId="5721"/>
    <cellStyle name="Normal 7 2 5 6 2" xfId="14807"/>
    <cellStyle name="Normal 7 2 5 7" xfId="9614"/>
    <cellStyle name="Normal 7 2 5 7 2" xfId="18441"/>
    <cellStyle name="Normal 7 2 5 8" xfId="11058"/>
    <cellStyle name="Normal 7 2 5 9" xfId="4692"/>
    <cellStyle name="Normal 7 2 5_Degree data" xfId="1813"/>
    <cellStyle name="Normal 7 2 6" xfId="494"/>
    <cellStyle name="Normal 7 2 6 2" xfId="840"/>
    <cellStyle name="Normal 7 2 6 2 2" xfId="2560"/>
    <cellStyle name="Normal 7 2 6 2 2 2" xfId="16449"/>
    <cellStyle name="Normal 7 2 6 2 2 3" xfId="12871"/>
    <cellStyle name="Normal 7 2 6 2 2 4" xfId="7581"/>
    <cellStyle name="Normal 7 2 6 2 3" xfId="3829"/>
    <cellStyle name="Normal 7 2 6 2 3 2" xfId="17474"/>
    <cellStyle name="Normal 7 2 6 2 3 3" xfId="13895"/>
    <cellStyle name="Normal 7 2 6 2 3 4" xfId="8638"/>
    <cellStyle name="Normal 7 2 6 2 4" xfId="6697"/>
    <cellStyle name="Normal 7 2 6 2 4 2" xfId="15781"/>
    <cellStyle name="Normal 7 2 6 2 5" xfId="10092"/>
    <cellStyle name="Normal 7 2 6 2 5 2" xfId="18919"/>
    <cellStyle name="Normal 7 2 6 2 6" xfId="11538"/>
    <cellStyle name="Normal 7 2 6 2 7" xfId="5175"/>
    <cellStyle name="Normal 7 2 6 3" xfId="1188"/>
    <cellStyle name="Normal 7 2 6 3 2" xfId="2908"/>
    <cellStyle name="Normal 7 2 6 3 2 2" xfId="16548"/>
    <cellStyle name="Normal 7 2 6 3 2 3" xfId="12969"/>
    <cellStyle name="Normal 7 2 6 3 2 4" xfId="7680"/>
    <cellStyle name="Normal 7 2 6 3 3" xfId="4177"/>
    <cellStyle name="Normal 7 2 6 3 3 2" xfId="17822"/>
    <cellStyle name="Normal 7 2 6 3 3 3" xfId="14243"/>
    <cellStyle name="Normal 7 2 6 3 3 4" xfId="8986"/>
    <cellStyle name="Normal 7 2 6 3 4" xfId="6760"/>
    <cellStyle name="Normal 7 2 6 3 4 2" xfId="15843"/>
    <cellStyle name="Normal 7 2 6 3 5" xfId="10440"/>
    <cellStyle name="Normal 7 2 6 3 5 2" xfId="19267"/>
    <cellStyle name="Normal 7 2 6 3 6" xfId="11886"/>
    <cellStyle name="Normal 7 2 6 3 7" xfId="5274"/>
    <cellStyle name="Normal 7 2 6 4" xfId="1389"/>
    <cellStyle name="Normal 7 2 6 4 2" xfId="2998"/>
    <cellStyle name="Normal 7 2 6 4 2 2" xfId="17912"/>
    <cellStyle name="Normal 7 2 6 4 2 3" xfId="14333"/>
    <cellStyle name="Normal 7 2 6 4 2 4" xfId="9076"/>
    <cellStyle name="Normal 7 2 6 4 3" xfId="10530"/>
    <cellStyle name="Normal 7 2 6 4 3 2" xfId="19357"/>
    <cellStyle name="Normal 7 2 6 4 4" xfId="11976"/>
    <cellStyle name="Normal 7 2 6 4 5" xfId="6971"/>
    <cellStyle name="Normal 7 2 6 5" xfId="1955"/>
    <cellStyle name="Normal 7 2 6 5 2" xfId="16867"/>
    <cellStyle name="Normal 7 2 6 5 3" xfId="13288"/>
    <cellStyle name="Normal 7 2 6 5 4" xfId="8031"/>
    <cellStyle name="Normal 7 2 6 6" xfId="6087"/>
    <cellStyle name="Normal 7 2 6 6 2" xfId="15171"/>
    <cellStyle name="Normal 7 2 6 7" xfId="9487"/>
    <cellStyle name="Normal 7 2 6 7 2" xfId="18314"/>
    <cellStyle name="Normal 7 2 6 8" xfId="10931"/>
    <cellStyle name="Normal 7 2 6 9" xfId="4565"/>
    <cellStyle name="Normal 7 2 6_Degree data" xfId="1814"/>
    <cellStyle name="Normal 7 2 7" xfId="831"/>
    <cellStyle name="Normal 7 2 7 2" xfId="2551"/>
    <cellStyle name="Normal 7 2 7 2 2" xfId="16440"/>
    <cellStyle name="Normal 7 2 7 2 3" xfId="12862"/>
    <cellStyle name="Normal 7 2 7 2 4" xfId="7572"/>
    <cellStyle name="Normal 7 2 7 3" xfId="3820"/>
    <cellStyle name="Normal 7 2 7 3 2" xfId="17465"/>
    <cellStyle name="Normal 7 2 7 3 3" xfId="13886"/>
    <cellStyle name="Normal 7 2 7 3 4" xfId="8629"/>
    <cellStyle name="Normal 7 2 7 4" xfId="6688"/>
    <cellStyle name="Normal 7 2 7 4 2" xfId="15772"/>
    <cellStyle name="Normal 7 2 7 5" xfId="10083"/>
    <cellStyle name="Normal 7 2 7 5 2" xfId="18910"/>
    <cellStyle name="Normal 7 2 7 6" xfId="11529"/>
    <cellStyle name="Normal 7 2 7 7" xfId="5166"/>
    <cellStyle name="Normal 7 2 8" xfId="1179"/>
    <cellStyle name="Normal 7 2 8 2" xfId="2899"/>
    <cellStyle name="Normal 7 2 8 2 2" xfId="16503"/>
    <cellStyle name="Normal 7 2 8 2 3" xfId="12925"/>
    <cellStyle name="Normal 7 2 8 2 4" xfId="7635"/>
    <cellStyle name="Normal 7 2 8 3" xfId="4168"/>
    <cellStyle name="Normal 7 2 8 3 2" xfId="17813"/>
    <cellStyle name="Normal 7 2 8 3 3" xfId="14234"/>
    <cellStyle name="Normal 7 2 8 3 4" xfId="8977"/>
    <cellStyle name="Normal 7 2 8 4" xfId="5894"/>
    <cellStyle name="Normal 7 2 8 4 2" xfId="14980"/>
    <cellStyle name="Normal 7 2 8 5" xfId="10431"/>
    <cellStyle name="Normal 7 2 8 5 2" xfId="19258"/>
    <cellStyle name="Normal 7 2 8 6" xfId="11877"/>
    <cellStyle name="Normal 7 2 8 7" xfId="5229"/>
    <cellStyle name="Normal 7 2 9" xfId="1338"/>
    <cellStyle name="Normal 7 2 9 2" xfId="2953"/>
    <cellStyle name="Normal 7 2 9 2 2" xfId="17867"/>
    <cellStyle name="Normal 7 2 9 2 3" xfId="14288"/>
    <cellStyle name="Normal 7 2 9 2 4" xfId="9031"/>
    <cellStyle name="Normal 7 2 9 3" xfId="10485"/>
    <cellStyle name="Normal 7 2 9 3 2" xfId="19312"/>
    <cellStyle name="Normal 7 2 9 4" xfId="11931"/>
    <cellStyle name="Normal 7 2 9 5" xfId="6780"/>
    <cellStyle name="Normal 7 2_Degree data" xfId="1805"/>
    <cellStyle name="Normal 7 3" xfId="167"/>
    <cellStyle name="Normal 7 3 10" xfId="1918"/>
    <cellStyle name="Normal 7 3 10 2" xfId="9450"/>
    <cellStyle name="Normal 7 3 10 2 2" xfId="18277"/>
    <cellStyle name="Normal 7 3 10 3" xfId="10894"/>
    <cellStyle name="Normal 7 3 10 4" xfId="7994"/>
    <cellStyle name="Normal 7 3 11" xfId="1888"/>
    <cellStyle name="Normal 7 3 11 2" xfId="14688"/>
    <cellStyle name="Normal 7 3 11 3" xfId="5602"/>
    <cellStyle name="Normal 7 3 12" xfId="9420"/>
    <cellStyle name="Normal 7 3 12 2" xfId="18247"/>
    <cellStyle name="Normal 7 3 13" xfId="10864"/>
    <cellStyle name="Normal 7 3 14" xfId="4384"/>
    <cellStyle name="Normal 7 3 2" xfId="242"/>
    <cellStyle name="Normal 7 3 2 10" xfId="9552"/>
    <cellStyle name="Normal 7 3 2 10 2" xfId="18379"/>
    <cellStyle name="Normal 7 3 2 11" xfId="10996"/>
    <cellStyle name="Normal 7 3 2 12" xfId="4413"/>
    <cellStyle name="Normal 7 3 2 2" xfId="455"/>
    <cellStyle name="Normal 7 3 2 2 10" xfId="4517"/>
    <cellStyle name="Normal 7 3 2 2 2" xfId="843"/>
    <cellStyle name="Normal 7 3 2 2 2 2" xfId="2563"/>
    <cellStyle name="Normal 7 3 2 2 2 2 2" xfId="16109"/>
    <cellStyle name="Normal 7 3 2 2 2 2 3" xfId="12531"/>
    <cellStyle name="Normal 7 3 2 2 2 2 4" xfId="7240"/>
    <cellStyle name="Normal 7 3 2 2 2 3" xfId="3832"/>
    <cellStyle name="Normal 7 3 2 2 2 3 2" xfId="17477"/>
    <cellStyle name="Normal 7 3 2 2 2 3 3" xfId="13898"/>
    <cellStyle name="Normal 7 3 2 2 2 3 4" xfId="8641"/>
    <cellStyle name="Normal 7 3 2 2 2 4" xfId="6356"/>
    <cellStyle name="Normal 7 3 2 2 2 4 2" xfId="15440"/>
    <cellStyle name="Normal 7 3 2 2 2 5" xfId="10095"/>
    <cellStyle name="Normal 7 3 2 2 2 5 2" xfId="18922"/>
    <cellStyle name="Normal 7 3 2 2 2 6" xfId="11541"/>
    <cellStyle name="Normal 7 3 2 2 2 7" xfId="4834"/>
    <cellStyle name="Normal 7 3 2 2 3" xfId="1191"/>
    <cellStyle name="Normal 7 3 2 2 3 2" xfId="2911"/>
    <cellStyle name="Normal 7 3 2 2 3 2 2" xfId="16452"/>
    <cellStyle name="Normal 7 3 2 2 3 2 3" xfId="12874"/>
    <cellStyle name="Normal 7 3 2 2 3 2 4" xfId="7584"/>
    <cellStyle name="Normal 7 3 2 2 3 3" xfId="4180"/>
    <cellStyle name="Normal 7 3 2 2 3 3 2" xfId="17825"/>
    <cellStyle name="Normal 7 3 2 2 3 3 3" xfId="14246"/>
    <cellStyle name="Normal 7 3 2 2 3 3 4" xfId="8989"/>
    <cellStyle name="Normal 7 3 2 2 3 4" xfId="6700"/>
    <cellStyle name="Normal 7 3 2 2 3 4 2" xfId="15784"/>
    <cellStyle name="Normal 7 3 2 2 3 5" xfId="10443"/>
    <cellStyle name="Normal 7 3 2 2 3 5 2" xfId="19270"/>
    <cellStyle name="Normal 7 3 2 2 3 6" xfId="11889"/>
    <cellStyle name="Normal 7 3 2 2 3 7" xfId="5178"/>
    <cellStyle name="Normal 7 3 2 2 4" xfId="1671"/>
    <cellStyle name="Normal 7 3 2 2 4 2" xfId="3267"/>
    <cellStyle name="Normal 7 3 2 2 4 2 2" xfId="16817"/>
    <cellStyle name="Normal 7 3 2 2 4 2 3" xfId="13238"/>
    <cellStyle name="Normal 7 3 2 2 4 2 4" xfId="7949"/>
    <cellStyle name="Normal 7 3 2 2 4 3" xfId="4331"/>
    <cellStyle name="Normal 7 3 2 2 4 3 2" xfId="18181"/>
    <cellStyle name="Normal 7 3 2 2 4 3 3" xfId="14602"/>
    <cellStyle name="Normal 7 3 2 2 4 3 4" xfId="9345"/>
    <cellStyle name="Normal 7 3 2 2 4 4" xfId="6037"/>
    <cellStyle name="Normal 7 3 2 2 4 4 2" xfId="15123"/>
    <cellStyle name="Normal 7 3 2 2 4 5" xfId="10799"/>
    <cellStyle name="Normal 7 3 2 2 4 5 2" xfId="19626"/>
    <cellStyle name="Normal 7 3 2 2 4 6" xfId="12245"/>
    <cellStyle name="Normal 7 3 2 2 4 7" xfId="5543"/>
    <cellStyle name="Normal 7 3 2 2 5" xfId="2224"/>
    <cellStyle name="Normal 7 3 2 2 5 2" xfId="15966"/>
    <cellStyle name="Normal 7 3 2 2 5 3" xfId="12418"/>
    <cellStyle name="Normal 7 3 2 2 5 4" xfId="6923"/>
    <cellStyle name="Normal 7 3 2 2 6" xfId="3493"/>
    <cellStyle name="Normal 7 3 2 2 6 2" xfId="17138"/>
    <cellStyle name="Normal 7 3 2 2 6 3" xfId="13559"/>
    <cellStyle name="Normal 7 3 2 2 6 4" xfId="8302"/>
    <cellStyle name="Normal 7 3 2 2 7" xfId="5863"/>
    <cellStyle name="Normal 7 3 2 2 7 2" xfId="14949"/>
    <cellStyle name="Normal 7 3 2 2 8" xfId="9756"/>
    <cellStyle name="Normal 7 3 2 2 8 2" xfId="18583"/>
    <cellStyle name="Normal 7 3 2 2 9" xfId="11200"/>
    <cellStyle name="Normal 7 3 2 2_Degree data" xfId="1817"/>
    <cellStyle name="Normal 7 3 2 3" xfId="350"/>
    <cellStyle name="Normal 7 3 2 3 2" xfId="844"/>
    <cellStyle name="Normal 7 3 2 3 2 2" xfId="2564"/>
    <cellStyle name="Normal 7 3 2 3 2 2 2" xfId="16453"/>
    <cellStyle name="Normal 7 3 2 3 2 2 3" xfId="12875"/>
    <cellStyle name="Normal 7 3 2 3 2 2 4" xfId="7585"/>
    <cellStyle name="Normal 7 3 2 3 2 3" xfId="3833"/>
    <cellStyle name="Normal 7 3 2 3 2 3 2" xfId="17478"/>
    <cellStyle name="Normal 7 3 2 3 2 3 3" xfId="13899"/>
    <cellStyle name="Normal 7 3 2 3 2 3 4" xfId="8642"/>
    <cellStyle name="Normal 7 3 2 3 2 4" xfId="6701"/>
    <cellStyle name="Normal 7 3 2 3 2 4 2" xfId="15785"/>
    <cellStyle name="Normal 7 3 2 3 2 5" xfId="10096"/>
    <cellStyle name="Normal 7 3 2 3 2 5 2" xfId="18923"/>
    <cellStyle name="Normal 7 3 2 3 2 6" xfId="11542"/>
    <cellStyle name="Normal 7 3 2 3 2 7" xfId="5179"/>
    <cellStyle name="Normal 7 3 2 3 3" xfId="1192"/>
    <cellStyle name="Normal 7 3 2 3 3 2" xfId="2912"/>
    <cellStyle name="Normal 7 3 2 3 3 2 2" xfId="16713"/>
    <cellStyle name="Normal 7 3 2 3 3 2 3" xfId="13134"/>
    <cellStyle name="Normal 7 3 2 3 3 2 4" xfId="7845"/>
    <cellStyle name="Normal 7 3 2 3 3 3" xfId="4181"/>
    <cellStyle name="Normal 7 3 2 3 3 3 2" xfId="17826"/>
    <cellStyle name="Normal 7 3 2 3 3 3 3" xfId="14247"/>
    <cellStyle name="Normal 7 3 2 3 3 3 4" xfId="8990"/>
    <cellStyle name="Normal 7 3 2 3 3 4" xfId="6252"/>
    <cellStyle name="Normal 7 3 2 3 3 4 2" xfId="15336"/>
    <cellStyle name="Normal 7 3 2 3 3 5" xfId="10444"/>
    <cellStyle name="Normal 7 3 2 3 3 5 2" xfId="19271"/>
    <cellStyle name="Normal 7 3 2 3 3 6" xfId="11890"/>
    <cellStyle name="Normal 7 3 2 3 3 7" xfId="5439"/>
    <cellStyle name="Normal 7 3 2 3 4" xfId="1564"/>
    <cellStyle name="Normal 7 3 2 3 4 2" xfId="3163"/>
    <cellStyle name="Normal 7 3 2 3 4 2 2" xfId="18077"/>
    <cellStyle name="Normal 7 3 2 3 4 2 3" xfId="14498"/>
    <cellStyle name="Normal 7 3 2 3 4 2 4" xfId="9241"/>
    <cellStyle name="Normal 7 3 2 3 4 3" xfId="10695"/>
    <cellStyle name="Normal 7 3 2 3 4 3 2" xfId="19522"/>
    <cellStyle name="Normal 7 3 2 3 4 4" xfId="12141"/>
    <cellStyle name="Normal 7 3 2 3 4 5" xfId="7136"/>
    <cellStyle name="Normal 7 3 2 3 5" xfId="2120"/>
    <cellStyle name="Normal 7 3 2 3 5 2" xfId="17034"/>
    <cellStyle name="Normal 7 3 2 3 5 3" xfId="13455"/>
    <cellStyle name="Normal 7 3 2 3 5 4" xfId="8198"/>
    <cellStyle name="Normal 7 3 2 3 6" xfId="5759"/>
    <cellStyle name="Normal 7 3 2 3 6 2" xfId="14845"/>
    <cellStyle name="Normal 7 3 2 3 7" xfId="9652"/>
    <cellStyle name="Normal 7 3 2 3 7 2" xfId="18479"/>
    <cellStyle name="Normal 7 3 2 3 8" xfId="11096"/>
    <cellStyle name="Normal 7 3 2 3 9" xfId="4730"/>
    <cellStyle name="Normal 7 3 2 3_Degree data" xfId="1818"/>
    <cellStyle name="Normal 7 3 2 4" xfId="842"/>
    <cellStyle name="Normal 7 3 2 4 2" xfId="2562"/>
    <cellStyle name="Normal 7 3 2 4 2 2" xfId="16050"/>
    <cellStyle name="Normal 7 3 2 4 2 3" xfId="12399"/>
    <cellStyle name="Normal 7 3 2 4 2 4" xfId="7036"/>
    <cellStyle name="Normal 7 3 2 4 3" xfId="3831"/>
    <cellStyle name="Normal 7 3 2 4 3 2" xfId="17476"/>
    <cellStyle name="Normal 7 3 2 4 3 3" xfId="13897"/>
    <cellStyle name="Normal 7 3 2 4 3 4" xfId="8640"/>
    <cellStyle name="Normal 7 3 2 4 4" xfId="6152"/>
    <cellStyle name="Normal 7 3 2 4 4 2" xfId="15236"/>
    <cellStyle name="Normal 7 3 2 4 5" xfId="10094"/>
    <cellStyle name="Normal 7 3 2 4 5 2" xfId="18921"/>
    <cellStyle name="Normal 7 3 2 4 6" xfId="11540"/>
    <cellStyle name="Normal 7 3 2 4 7" xfId="4630"/>
    <cellStyle name="Normal 7 3 2 5" xfId="1190"/>
    <cellStyle name="Normal 7 3 2 5 2" xfId="2910"/>
    <cellStyle name="Normal 7 3 2 5 2 2" xfId="16451"/>
    <cellStyle name="Normal 7 3 2 5 2 3" xfId="12873"/>
    <cellStyle name="Normal 7 3 2 5 2 4" xfId="7583"/>
    <cellStyle name="Normal 7 3 2 5 3" xfId="4179"/>
    <cellStyle name="Normal 7 3 2 5 3 2" xfId="17824"/>
    <cellStyle name="Normal 7 3 2 5 3 3" xfId="14245"/>
    <cellStyle name="Normal 7 3 2 5 3 4" xfId="8988"/>
    <cellStyle name="Normal 7 3 2 5 4" xfId="6699"/>
    <cellStyle name="Normal 7 3 2 5 4 2" xfId="15783"/>
    <cellStyle name="Normal 7 3 2 5 5" xfId="10442"/>
    <cellStyle name="Normal 7 3 2 5 5 2" xfId="19269"/>
    <cellStyle name="Normal 7 3 2 5 6" xfId="11888"/>
    <cellStyle name="Normal 7 3 2 5 7" xfId="5177"/>
    <cellStyle name="Normal 7 3 2 6" xfId="1462"/>
    <cellStyle name="Normal 7 3 2 6 2" xfId="3063"/>
    <cellStyle name="Normal 7 3 2 6 2 2" xfId="16613"/>
    <cellStyle name="Normal 7 3 2 6 2 3" xfId="13034"/>
    <cellStyle name="Normal 7 3 2 6 2 4" xfId="7745"/>
    <cellStyle name="Normal 7 3 2 6 3" xfId="4272"/>
    <cellStyle name="Normal 7 3 2 6 3 2" xfId="17977"/>
    <cellStyle name="Normal 7 3 2 6 3 3" xfId="14398"/>
    <cellStyle name="Normal 7 3 2 6 3 4" xfId="9141"/>
    <cellStyle name="Normal 7 3 2 6 4" xfId="5933"/>
    <cellStyle name="Normal 7 3 2 6 4 2" xfId="15019"/>
    <cellStyle name="Normal 7 3 2 6 5" xfId="10595"/>
    <cellStyle name="Normal 7 3 2 6 5 2" xfId="19422"/>
    <cellStyle name="Normal 7 3 2 6 6" xfId="12041"/>
    <cellStyle name="Normal 7 3 2 6 7" xfId="5339"/>
    <cellStyle name="Normal 7 3 2 7" xfId="2020"/>
    <cellStyle name="Normal 7 3 2 7 2" xfId="15862"/>
    <cellStyle name="Normal 7 3 2 7 3" xfId="12439"/>
    <cellStyle name="Normal 7 3 2 7 4" xfId="6819"/>
    <cellStyle name="Normal 7 3 2 8" xfId="3434"/>
    <cellStyle name="Normal 7 3 2 8 2" xfId="16934"/>
    <cellStyle name="Normal 7 3 2 8 3" xfId="13355"/>
    <cellStyle name="Normal 7 3 2 8 4" xfId="8098"/>
    <cellStyle name="Normal 7 3 2 9" xfId="5659"/>
    <cellStyle name="Normal 7 3 2 9 2" xfId="14745"/>
    <cellStyle name="Normal 7 3 2_Degree data" xfId="1816"/>
    <cellStyle name="Normal 7 3 3" xfId="285"/>
    <cellStyle name="Normal 7 3 3 10" xfId="11039"/>
    <cellStyle name="Normal 7 3 3 11" xfId="4456"/>
    <cellStyle name="Normal 7 3 3 2" xfId="393"/>
    <cellStyle name="Normal 7 3 3 2 2" xfId="846"/>
    <cellStyle name="Normal 7 3 3 2 2 2" xfId="2566"/>
    <cellStyle name="Normal 7 3 3 2 2 2 2" xfId="16455"/>
    <cellStyle name="Normal 7 3 3 2 2 2 3" xfId="12877"/>
    <cellStyle name="Normal 7 3 3 2 2 2 4" xfId="7587"/>
    <cellStyle name="Normal 7 3 3 2 2 3" xfId="3835"/>
    <cellStyle name="Normal 7 3 3 2 2 3 2" xfId="17480"/>
    <cellStyle name="Normal 7 3 3 2 2 3 3" xfId="13901"/>
    <cellStyle name="Normal 7 3 3 2 2 3 4" xfId="8644"/>
    <cellStyle name="Normal 7 3 3 2 2 4" xfId="6703"/>
    <cellStyle name="Normal 7 3 3 2 2 4 2" xfId="15787"/>
    <cellStyle name="Normal 7 3 3 2 2 5" xfId="10098"/>
    <cellStyle name="Normal 7 3 3 2 2 5 2" xfId="18925"/>
    <cellStyle name="Normal 7 3 3 2 2 6" xfId="11544"/>
    <cellStyle name="Normal 7 3 3 2 2 7" xfId="5181"/>
    <cellStyle name="Normal 7 3 3 2 3" xfId="1194"/>
    <cellStyle name="Normal 7 3 3 2 3 2" xfId="2914"/>
    <cellStyle name="Normal 7 3 3 2 3 2 2" xfId="16756"/>
    <cellStyle name="Normal 7 3 3 2 3 2 3" xfId="13177"/>
    <cellStyle name="Normal 7 3 3 2 3 2 4" xfId="7888"/>
    <cellStyle name="Normal 7 3 3 2 3 3" xfId="4183"/>
    <cellStyle name="Normal 7 3 3 2 3 3 2" xfId="17828"/>
    <cellStyle name="Normal 7 3 3 2 3 3 3" xfId="14249"/>
    <cellStyle name="Normal 7 3 3 2 3 3 4" xfId="8992"/>
    <cellStyle name="Normal 7 3 3 2 3 4" xfId="6295"/>
    <cellStyle name="Normal 7 3 3 2 3 4 2" xfId="15379"/>
    <cellStyle name="Normal 7 3 3 2 3 5" xfId="10446"/>
    <cellStyle name="Normal 7 3 3 2 3 5 2" xfId="19273"/>
    <cellStyle name="Normal 7 3 3 2 3 6" xfId="11892"/>
    <cellStyle name="Normal 7 3 3 2 3 7" xfId="5482"/>
    <cellStyle name="Normal 7 3 3 2 4" xfId="1609"/>
    <cellStyle name="Normal 7 3 3 2 4 2" xfId="3206"/>
    <cellStyle name="Normal 7 3 3 2 4 2 2" xfId="18120"/>
    <cellStyle name="Normal 7 3 3 2 4 2 3" xfId="14541"/>
    <cellStyle name="Normal 7 3 3 2 4 2 4" xfId="9284"/>
    <cellStyle name="Normal 7 3 3 2 4 3" xfId="10738"/>
    <cellStyle name="Normal 7 3 3 2 4 3 2" xfId="19565"/>
    <cellStyle name="Normal 7 3 3 2 4 4" xfId="12184"/>
    <cellStyle name="Normal 7 3 3 2 4 5" xfId="7179"/>
    <cellStyle name="Normal 7 3 3 2 5" xfId="2163"/>
    <cellStyle name="Normal 7 3 3 2 5 2" xfId="17077"/>
    <cellStyle name="Normal 7 3 3 2 5 3" xfId="13498"/>
    <cellStyle name="Normal 7 3 3 2 5 4" xfId="8241"/>
    <cellStyle name="Normal 7 3 3 2 6" xfId="5802"/>
    <cellStyle name="Normal 7 3 3 2 6 2" xfId="14888"/>
    <cellStyle name="Normal 7 3 3 2 7" xfId="9695"/>
    <cellStyle name="Normal 7 3 3 2 7 2" xfId="18522"/>
    <cellStyle name="Normal 7 3 3 2 8" xfId="11139"/>
    <cellStyle name="Normal 7 3 3 2 9" xfId="4773"/>
    <cellStyle name="Normal 7 3 3 2_Degree data" xfId="1820"/>
    <cellStyle name="Normal 7 3 3 3" xfId="845"/>
    <cellStyle name="Normal 7 3 3 3 2" xfId="2565"/>
    <cellStyle name="Normal 7 3 3 3 2 2" xfId="16093"/>
    <cellStyle name="Normal 7 3 3 3 2 3" xfId="12388"/>
    <cellStyle name="Normal 7 3 3 3 2 4" xfId="7079"/>
    <cellStyle name="Normal 7 3 3 3 3" xfId="3834"/>
    <cellStyle name="Normal 7 3 3 3 3 2" xfId="17479"/>
    <cellStyle name="Normal 7 3 3 3 3 3" xfId="13900"/>
    <cellStyle name="Normal 7 3 3 3 3 4" xfId="8643"/>
    <cellStyle name="Normal 7 3 3 3 4" xfId="6195"/>
    <cellStyle name="Normal 7 3 3 3 4 2" xfId="15279"/>
    <cellStyle name="Normal 7 3 3 3 5" xfId="10097"/>
    <cellStyle name="Normal 7 3 3 3 5 2" xfId="18924"/>
    <cellStyle name="Normal 7 3 3 3 6" xfId="11543"/>
    <cellStyle name="Normal 7 3 3 3 7" xfId="4673"/>
    <cellStyle name="Normal 7 3 3 4" xfId="1193"/>
    <cellStyle name="Normal 7 3 3 4 2" xfId="2913"/>
    <cellStyle name="Normal 7 3 3 4 2 2" xfId="16454"/>
    <cellStyle name="Normal 7 3 3 4 2 3" xfId="12876"/>
    <cellStyle name="Normal 7 3 3 4 2 4" xfId="7586"/>
    <cellStyle name="Normal 7 3 3 4 3" xfId="4182"/>
    <cellStyle name="Normal 7 3 3 4 3 2" xfId="17827"/>
    <cellStyle name="Normal 7 3 3 4 3 3" xfId="14248"/>
    <cellStyle name="Normal 7 3 3 4 3 4" xfId="8991"/>
    <cellStyle name="Normal 7 3 3 4 4" xfId="6702"/>
    <cellStyle name="Normal 7 3 3 4 4 2" xfId="15786"/>
    <cellStyle name="Normal 7 3 3 4 5" xfId="10445"/>
    <cellStyle name="Normal 7 3 3 4 5 2" xfId="19272"/>
    <cellStyle name="Normal 7 3 3 4 6" xfId="11891"/>
    <cellStyle name="Normal 7 3 3 4 7" xfId="5180"/>
    <cellStyle name="Normal 7 3 3 5" xfId="1507"/>
    <cellStyle name="Normal 7 3 3 5 2" xfId="3106"/>
    <cellStyle name="Normal 7 3 3 5 2 2" xfId="16656"/>
    <cellStyle name="Normal 7 3 3 5 2 3" xfId="13077"/>
    <cellStyle name="Normal 7 3 3 5 2 4" xfId="7788"/>
    <cellStyle name="Normal 7 3 3 5 3" xfId="4315"/>
    <cellStyle name="Normal 7 3 3 5 3 2" xfId="18020"/>
    <cellStyle name="Normal 7 3 3 5 3 3" xfId="14441"/>
    <cellStyle name="Normal 7 3 3 5 3 4" xfId="9184"/>
    <cellStyle name="Normal 7 3 3 5 4" xfId="5976"/>
    <cellStyle name="Normal 7 3 3 5 4 2" xfId="15062"/>
    <cellStyle name="Normal 7 3 3 5 5" xfId="10638"/>
    <cellStyle name="Normal 7 3 3 5 5 2" xfId="19465"/>
    <cellStyle name="Normal 7 3 3 5 6" xfId="12084"/>
    <cellStyle name="Normal 7 3 3 5 7" xfId="5382"/>
    <cellStyle name="Normal 7 3 3 6" xfId="2063"/>
    <cellStyle name="Normal 7 3 3 6 2" xfId="15905"/>
    <cellStyle name="Normal 7 3 3 6 3" xfId="12456"/>
    <cellStyle name="Normal 7 3 3 6 4" xfId="6862"/>
    <cellStyle name="Normal 7 3 3 7" xfId="3477"/>
    <cellStyle name="Normal 7 3 3 7 2" xfId="16977"/>
    <cellStyle name="Normal 7 3 3 7 3" xfId="13398"/>
    <cellStyle name="Normal 7 3 3 7 4" xfId="8141"/>
    <cellStyle name="Normal 7 3 3 8" xfId="5702"/>
    <cellStyle name="Normal 7 3 3 8 2" xfId="14788"/>
    <cellStyle name="Normal 7 3 3 9" xfId="9595"/>
    <cellStyle name="Normal 7 3 3 9 2" xfId="18422"/>
    <cellStyle name="Normal 7 3 3_Degree data" xfId="1819"/>
    <cellStyle name="Normal 7 3 4" xfId="210"/>
    <cellStyle name="Normal 7 3 4 10" xfId="10967"/>
    <cellStyle name="Normal 7 3 4 11" xfId="4489"/>
    <cellStyle name="Normal 7 3 4 2" xfId="427"/>
    <cellStyle name="Normal 7 3 4 2 2" xfId="848"/>
    <cellStyle name="Normal 7 3 4 2 2 2" xfId="2568"/>
    <cellStyle name="Normal 7 3 4 2 2 2 2" xfId="16457"/>
    <cellStyle name="Normal 7 3 4 2 2 2 3" xfId="12879"/>
    <cellStyle name="Normal 7 3 4 2 2 2 4" xfId="7589"/>
    <cellStyle name="Normal 7 3 4 2 2 3" xfId="3837"/>
    <cellStyle name="Normal 7 3 4 2 2 3 2" xfId="17482"/>
    <cellStyle name="Normal 7 3 4 2 2 3 3" xfId="13903"/>
    <cellStyle name="Normal 7 3 4 2 2 3 4" xfId="8646"/>
    <cellStyle name="Normal 7 3 4 2 2 4" xfId="6705"/>
    <cellStyle name="Normal 7 3 4 2 2 4 2" xfId="15789"/>
    <cellStyle name="Normal 7 3 4 2 2 5" xfId="10100"/>
    <cellStyle name="Normal 7 3 4 2 2 5 2" xfId="18927"/>
    <cellStyle name="Normal 7 3 4 2 2 6" xfId="11546"/>
    <cellStyle name="Normal 7 3 4 2 2 7" xfId="5183"/>
    <cellStyle name="Normal 7 3 4 2 3" xfId="1196"/>
    <cellStyle name="Normal 7 3 4 2 3 2" xfId="2916"/>
    <cellStyle name="Normal 7 3 4 2 3 2 2" xfId="16789"/>
    <cellStyle name="Normal 7 3 4 2 3 2 3" xfId="13210"/>
    <cellStyle name="Normal 7 3 4 2 3 2 4" xfId="7921"/>
    <cellStyle name="Normal 7 3 4 2 3 3" xfId="4185"/>
    <cellStyle name="Normal 7 3 4 2 3 3 2" xfId="17830"/>
    <cellStyle name="Normal 7 3 4 2 3 3 3" xfId="14251"/>
    <cellStyle name="Normal 7 3 4 2 3 3 4" xfId="8994"/>
    <cellStyle name="Normal 7 3 4 2 3 4" xfId="6328"/>
    <cellStyle name="Normal 7 3 4 2 3 4 2" xfId="15412"/>
    <cellStyle name="Normal 7 3 4 2 3 5" xfId="10448"/>
    <cellStyle name="Normal 7 3 4 2 3 5 2" xfId="19275"/>
    <cellStyle name="Normal 7 3 4 2 3 6" xfId="11894"/>
    <cellStyle name="Normal 7 3 4 2 3 7" xfId="5515"/>
    <cellStyle name="Normal 7 3 4 2 4" xfId="1643"/>
    <cellStyle name="Normal 7 3 4 2 4 2" xfId="3239"/>
    <cellStyle name="Normal 7 3 4 2 4 2 2" xfId="18153"/>
    <cellStyle name="Normal 7 3 4 2 4 2 3" xfId="14574"/>
    <cellStyle name="Normal 7 3 4 2 4 2 4" xfId="9317"/>
    <cellStyle name="Normal 7 3 4 2 4 3" xfId="10771"/>
    <cellStyle name="Normal 7 3 4 2 4 3 2" xfId="19598"/>
    <cellStyle name="Normal 7 3 4 2 4 4" xfId="12217"/>
    <cellStyle name="Normal 7 3 4 2 4 5" xfId="7212"/>
    <cellStyle name="Normal 7 3 4 2 5" xfId="2196"/>
    <cellStyle name="Normal 7 3 4 2 5 2" xfId="17110"/>
    <cellStyle name="Normal 7 3 4 2 5 3" xfId="13531"/>
    <cellStyle name="Normal 7 3 4 2 5 4" xfId="8274"/>
    <cellStyle name="Normal 7 3 4 2 6" xfId="5835"/>
    <cellStyle name="Normal 7 3 4 2 6 2" xfId="14921"/>
    <cellStyle name="Normal 7 3 4 2 7" xfId="9728"/>
    <cellStyle name="Normal 7 3 4 2 7 2" xfId="18555"/>
    <cellStyle name="Normal 7 3 4 2 8" xfId="11172"/>
    <cellStyle name="Normal 7 3 4 2 9" xfId="4806"/>
    <cellStyle name="Normal 7 3 4 2_Degree data" xfId="1822"/>
    <cellStyle name="Normal 7 3 4 3" xfId="847"/>
    <cellStyle name="Normal 7 3 4 3 2" xfId="2567"/>
    <cellStyle name="Normal 7 3 4 3 2 2" xfId="16021"/>
    <cellStyle name="Normal 7 3 4 3 2 3" xfId="12270"/>
    <cellStyle name="Normal 7 3 4 3 2 4" xfId="7007"/>
    <cellStyle name="Normal 7 3 4 3 3" xfId="3836"/>
    <cellStyle name="Normal 7 3 4 3 3 2" xfId="17481"/>
    <cellStyle name="Normal 7 3 4 3 3 3" xfId="13902"/>
    <cellStyle name="Normal 7 3 4 3 3 4" xfId="8645"/>
    <cellStyle name="Normal 7 3 4 3 4" xfId="6123"/>
    <cellStyle name="Normal 7 3 4 3 4 2" xfId="15207"/>
    <cellStyle name="Normal 7 3 4 3 5" xfId="10099"/>
    <cellStyle name="Normal 7 3 4 3 5 2" xfId="18926"/>
    <cellStyle name="Normal 7 3 4 3 6" xfId="11545"/>
    <cellStyle name="Normal 7 3 4 3 7" xfId="4601"/>
    <cellStyle name="Normal 7 3 4 4" xfId="1195"/>
    <cellStyle name="Normal 7 3 4 4 2" xfId="2915"/>
    <cellStyle name="Normal 7 3 4 4 2 2" xfId="16456"/>
    <cellStyle name="Normal 7 3 4 4 2 3" xfId="12878"/>
    <cellStyle name="Normal 7 3 4 4 2 4" xfId="7588"/>
    <cellStyle name="Normal 7 3 4 4 3" xfId="4184"/>
    <cellStyle name="Normal 7 3 4 4 3 2" xfId="17829"/>
    <cellStyle name="Normal 7 3 4 4 3 3" xfId="14250"/>
    <cellStyle name="Normal 7 3 4 4 3 4" xfId="8993"/>
    <cellStyle name="Normal 7 3 4 4 4" xfId="6704"/>
    <cellStyle name="Normal 7 3 4 4 4 2" xfId="15788"/>
    <cellStyle name="Normal 7 3 4 4 5" xfId="10447"/>
    <cellStyle name="Normal 7 3 4 4 5 2" xfId="19274"/>
    <cellStyle name="Normal 7 3 4 4 6" xfId="11893"/>
    <cellStyle name="Normal 7 3 4 4 7" xfId="5182"/>
    <cellStyle name="Normal 7 3 4 5" xfId="1429"/>
    <cellStyle name="Normal 7 3 4 5 2" xfId="3034"/>
    <cellStyle name="Normal 7 3 4 5 2 2" xfId="16584"/>
    <cellStyle name="Normal 7 3 4 5 2 3" xfId="13005"/>
    <cellStyle name="Normal 7 3 4 5 2 4" xfId="7716"/>
    <cellStyle name="Normal 7 3 4 5 3" xfId="4243"/>
    <cellStyle name="Normal 7 3 4 5 3 2" xfId="17948"/>
    <cellStyle name="Normal 7 3 4 5 3 3" xfId="14369"/>
    <cellStyle name="Normal 7 3 4 5 3 4" xfId="9112"/>
    <cellStyle name="Normal 7 3 4 5 4" xfId="6009"/>
    <cellStyle name="Normal 7 3 4 5 4 2" xfId="15095"/>
    <cellStyle name="Normal 7 3 4 5 5" xfId="10566"/>
    <cellStyle name="Normal 7 3 4 5 5 2" xfId="19393"/>
    <cellStyle name="Normal 7 3 4 5 6" xfId="12012"/>
    <cellStyle name="Normal 7 3 4 5 7" xfId="5310"/>
    <cellStyle name="Normal 7 3 4 6" xfId="1991"/>
    <cellStyle name="Normal 7 3 4 6 2" xfId="15938"/>
    <cellStyle name="Normal 7 3 4 6 3" xfId="12297"/>
    <cellStyle name="Normal 7 3 4 6 4" xfId="6895"/>
    <cellStyle name="Normal 7 3 4 7" xfId="3406"/>
    <cellStyle name="Normal 7 3 4 7 2" xfId="16905"/>
    <cellStyle name="Normal 7 3 4 7 3" xfId="13326"/>
    <cellStyle name="Normal 7 3 4 7 4" xfId="8069"/>
    <cellStyle name="Normal 7 3 4 8" xfId="5630"/>
    <cellStyle name="Normal 7 3 4 8 2" xfId="14716"/>
    <cellStyle name="Normal 7 3 4 9" xfId="9523"/>
    <cellStyle name="Normal 7 3 4 9 2" xfId="18350"/>
    <cellStyle name="Normal 7 3 4_Degree data" xfId="1821"/>
    <cellStyle name="Normal 7 3 5" xfId="321"/>
    <cellStyle name="Normal 7 3 5 2" xfId="849"/>
    <cellStyle name="Normal 7 3 5 2 2" xfId="2569"/>
    <cellStyle name="Normal 7 3 5 2 2 2" xfId="16458"/>
    <cellStyle name="Normal 7 3 5 2 2 3" xfId="12880"/>
    <cellStyle name="Normal 7 3 5 2 2 4" xfId="7590"/>
    <cellStyle name="Normal 7 3 5 2 3" xfId="3838"/>
    <cellStyle name="Normal 7 3 5 2 3 2" xfId="17483"/>
    <cellStyle name="Normal 7 3 5 2 3 3" xfId="13904"/>
    <cellStyle name="Normal 7 3 5 2 3 4" xfId="8647"/>
    <cellStyle name="Normal 7 3 5 2 4" xfId="6706"/>
    <cellStyle name="Normal 7 3 5 2 4 2" xfId="15790"/>
    <cellStyle name="Normal 7 3 5 2 5" xfId="10101"/>
    <cellStyle name="Normal 7 3 5 2 5 2" xfId="18928"/>
    <cellStyle name="Normal 7 3 5 2 6" xfId="11547"/>
    <cellStyle name="Normal 7 3 5 2 7" xfId="5184"/>
    <cellStyle name="Normal 7 3 5 3" xfId="1197"/>
    <cellStyle name="Normal 7 3 5 3 2" xfId="2917"/>
    <cellStyle name="Normal 7 3 5 3 2 2" xfId="16684"/>
    <cellStyle name="Normal 7 3 5 3 2 3" xfId="13105"/>
    <cellStyle name="Normal 7 3 5 3 2 4" xfId="7816"/>
    <cellStyle name="Normal 7 3 5 3 3" xfId="4186"/>
    <cellStyle name="Normal 7 3 5 3 3 2" xfId="17831"/>
    <cellStyle name="Normal 7 3 5 3 3 3" xfId="14252"/>
    <cellStyle name="Normal 7 3 5 3 3 4" xfId="8995"/>
    <cellStyle name="Normal 7 3 5 3 4" xfId="6223"/>
    <cellStyle name="Normal 7 3 5 3 4 2" xfId="15307"/>
    <cellStyle name="Normal 7 3 5 3 5" xfId="10449"/>
    <cellStyle name="Normal 7 3 5 3 5 2" xfId="19276"/>
    <cellStyle name="Normal 7 3 5 3 6" xfId="11895"/>
    <cellStyle name="Normal 7 3 5 3 7" xfId="5410"/>
    <cellStyle name="Normal 7 3 5 4" xfId="1535"/>
    <cellStyle name="Normal 7 3 5 4 2" xfId="3134"/>
    <cellStyle name="Normal 7 3 5 4 2 2" xfId="18048"/>
    <cellStyle name="Normal 7 3 5 4 2 3" xfId="14469"/>
    <cellStyle name="Normal 7 3 5 4 2 4" xfId="9212"/>
    <cellStyle name="Normal 7 3 5 4 3" xfId="10666"/>
    <cellStyle name="Normal 7 3 5 4 3 2" xfId="19493"/>
    <cellStyle name="Normal 7 3 5 4 4" xfId="12112"/>
    <cellStyle name="Normal 7 3 5 4 5" xfId="7107"/>
    <cellStyle name="Normal 7 3 5 5" xfId="2091"/>
    <cellStyle name="Normal 7 3 5 5 2" xfId="17005"/>
    <cellStyle name="Normal 7 3 5 5 3" xfId="13426"/>
    <cellStyle name="Normal 7 3 5 5 4" xfId="8169"/>
    <cellStyle name="Normal 7 3 5 6" xfId="5730"/>
    <cellStyle name="Normal 7 3 5 6 2" xfId="14816"/>
    <cellStyle name="Normal 7 3 5 7" xfId="9623"/>
    <cellStyle name="Normal 7 3 5 7 2" xfId="18450"/>
    <cellStyle name="Normal 7 3 5 8" xfId="11067"/>
    <cellStyle name="Normal 7 3 5 9" xfId="4701"/>
    <cellStyle name="Normal 7 3 5_Degree data" xfId="1823"/>
    <cellStyle name="Normal 7 3 6" xfId="501"/>
    <cellStyle name="Normal 7 3 6 2" xfId="850"/>
    <cellStyle name="Normal 7 3 6 2 2" xfId="2570"/>
    <cellStyle name="Normal 7 3 6 2 2 2" xfId="16459"/>
    <cellStyle name="Normal 7 3 6 2 2 3" xfId="12881"/>
    <cellStyle name="Normal 7 3 6 2 2 4" xfId="7591"/>
    <cellStyle name="Normal 7 3 6 2 3" xfId="3839"/>
    <cellStyle name="Normal 7 3 6 2 3 2" xfId="17484"/>
    <cellStyle name="Normal 7 3 6 2 3 3" xfId="13905"/>
    <cellStyle name="Normal 7 3 6 2 3 4" xfId="8648"/>
    <cellStyle name="Normal 7 3 6 2 4" xfId="6707"/>
    <cellStyle name="Normal 7 3 6 2 4 2" xfId="15791"/>
    <cellStyle name="Normal 7 3 6 2 5" xfId="10102"/>
    <cellStyle name="Normal 7 3 6 2 5 2" xfId="18929"/>
    <cellStyle name="Normal 7 3 6 2 6" xfId="11548"/>
    <cellStyle name="Normal 7 3 6 2 7" xfId="5185"/>
    <cellStyle name="Normal 7 3 6 3" xfId="1198"/>
    <cellStyle name="Normal 7 3 6 3 2" xfId="2918"/>
    <cellStyle name="Normal 7 3 6 3 2 2" xfId="16556"/>
    <cellStyle name="Normal 7 3 6 3 2 3" xfId="12977"/>
    <cellStyle name="Normal 7 3 6 3 2 4" xfId="7688"/>
    <cellStyle name="Normal 7 3 6 3 3" xfId="4187"/>
    <cellStyle name="Normal 7 3 6 3 3 2" xfId="17832"/>
    <cellStyle name="Normal 7 3 6 3 3 3" xfId="14253"/>
    <cellStyle name="Normal 7 3 6 3 3 4" xfId="8996"/>
    <cellStyle name="Normal 7 3 6 3 4" xfId="6761"/>
    <cellStyle name="Normal 7 3 6 3 4 2" xfId="15844"/>
    <cellStyle name="Normal 7 3 6 3 5" xfId="10450"/>
    <cellStyle name="Normal 7 3 6 3 5 2" xfId="19277"/>
    <cellStyle name="Normal 7 3 6 3 6" xfId="11896"/>
    <cellStyle name="Normal 7 3 6 3 7" xfId="5282"/>
    <cellStyle name="Normal 7 3 6 4" xfId="1397"/>
    <cellStyle name="Normal 7 3 6 4 2" xfId="3006"/>
    <cellStyle name="Normal 7 3 6 4 2 2" xfId="17920"/>
    <cellStyle name="Normal 7 3 6 4 2 3" xfId="14341"/>
    <cellStyle name="Normal 7 3 6 4 2 4" xfId="9084"/>
    <cellStyle name="Normal 7 3 6 4 3" xfId="10538"/>
    <cellStyle name="Normal 7 3 6 4 3 2" xfId="19365"/>
    <cellStyle name="Normal 7 3 6 4 4" xfId="11984"/>
    <cellStyle name="Normal 7 3 6 4 5" xfId="6979"/>
    <cellStyle name="Normal 7 3 6 5" xfId="1963"/>
    <cellStyle name="Normal 7 3 6 5 2" xfId="16875"/>
    <cellStyle name="Normal 7 3 6 5 3" xfId="13296"/>
    <cellStyle name="Normal 7 3 6 5 4" xfId="8039"/>
    <cellStyle name="Normal 7 3 6 6" xfId="6095"/>
    <cellStyle name="Normal 7 3 6 6 2" xfId="15179"/>
    <cellStyle name="Normal 7 3 6 7" xfId="9495"/>
    <cellStyle name="Normal 7 3 6 7 2" xfId="18322"/>
    <cellStyle name="Normal 7 3 6 8" xfId="10939"/>
    <cellStyle name="Normal 7 3 6 9" xfId="4573"/>
    <cellStyle name="Normal 7 3 6_Degree data" xfId="1824"/>
    <cellStyle name="Normal 7 3 7" xfId="841"/>
    <cellStyle name="Normal 7 3 7 2" xfId="2561"/>
    <cellStyle name="Normal 7 3 7 2 2" xfId="16450"/>
    <cellStyle name="Normal 7 3 7 2 3" xfId="12872"/>
    <cellStyle name="Normal 7 3 7 2 4" xfId="7582"/>
    <cellStyle name="Normal 7 3 7 3" xfId="3830"/>
    <cellStyle name="Normal 7 3 7 3 2" xfId="17475"/>
    <cellStyle name="Normal 7 3 7 3 3" xfId="13896"/>
    <cellStyle name="Normal 7 3 7 3 4" xfId="8639"/>
    <cellStyle name="Normal 7 3 7 4" xfId="6698"/>
    <cellStyle name="Normal 7 3 7 4 2" xfId="15782"/>
    <cellStyle name="Normal 7 3 7 5" xfId="10093"/>
    <cellStyle name="Normal 7 3 7 5 2" xfId="18920"/>
    <cellStyle name="Normal 7 3 7 6" xfId="11539"/>
    <cellStyle name="Normal 7 3 7 7" xfId="5176"/>
    <cellStyle name="Normal 7 3 8" xfId="1189"/>
    <cellStyle name="Normal 7 3 8 2" xfId="2909"/>
    <cellStyle name="Normal 7 3 8 2 2" xfId="16511"/>
    <cellStyle name="Normal 7 3 8 2 3" xfId="12933"/>
    <cellStyle name="Normal 7 3 8 2 4" xfId="7643"/>
    <cellStyle name="Normal 7 3 8 3" xfId="4178"/>
    <cellStyle name="Normal 7 3 8 3 2" xfId="17823"/>
    <cellStyle name="Normal 7 3 8 3 3" xfId="14244"/>
    <cellStyle name="Normal 7 3 8 3 4" xfId="8987"/>
    <cellStyle name="Normal 7 3 8 4" xfId="5903"/>
    <cellStyle name="Normal 7 3 8 4 2" xfId="14989"/>
    <cellStyle name="Normal 7 3 8 5" xfId="10441"/>
    <cellStyle name="Normal 7 3 8 5 2" xfId="19268"/>
    <cellStyle name="Normal 7 3 8 6" xfId="11887"/>
    <cellStyle name="Normal 7 3 8 7" xfId="5237"/>
    <cellStyle name="Normal 7 3 9" xfId="1348"/>
    <cellStyle name="Normal 7 3 9 2" xfId="2961"/>
    <cellStyle name="Normal 7 3 9 2 2" xfId="17875"/>
    <cellStyle name="Normal 7 3 9 2 3" xfId="14296"/>
    <cellStyle name="Normal 7 3 9 2 4" xfId="9039"/>
    <cellStyle name="Normal 7 3 9 3" xfId="10493"/>
    <cellStyle name="Normal 7 3 9 3 2" xfId="19320"/>
    <cellStyle name="Normal 7 3 9 4" xfId="11939"/>
    <cellStyle name="Normal 7 3 9 5" xfId="6790"/>
    <cellStyle name="Normal 7 3_Degree data" xfId="1815"/>
    <cellStyle name="Normal 7 4" xfId="153"/>
    <cellStyle name="Normal 7 4 10" xfId="5580"/>
    <cellStyle name="Normal 7 4 10 2" xfId="14666"/>
    <cellStyle name="Normal 7 4 11" xfId="9400"/>
    <cellStyle name="Normal 7 4 11 2" xfId="18227"/>
    <cellStyle name="Normal 7 4 12" xfId="10840"/>
    <cellStyle name="Normal 7 4 13" xfId="4393"/>
    <cellStyle name="Normal 7 4 2" xfId="265"/>
    <cellStyle name="Normal 7 4 2 10" xfId="11019"/>
    <cellStyle name="Normal 7 4 2 11" xfId="4436"/>
    <cellStyle name="Normal 7 4 2 2" xfId="373"/>
    <cellStyle name="Normal 7 4 2 2 2" xfId="853"/>
    <cellStyle name="Normal 7 4 2 2 2 2" xfId="2573"/>
    <cellStyle name="Normal 7 4 2 2 2 2 2" xfId="16462"/>
    <cellStyle name="Normal 7 4 2 2 2 2 3" xfId="12884"/>
    <cellStyle name="Normal 7 4 2 2 2 2 4" xfId="7594"/>
    <cellStyle name="Normal 7 4 2 2 2 3" xfId="3842"/>
    <cellStyle name="Normal 7 4 2 2 2 3 2" xfId="17487"/>
    <cellStyle name="Normal 7 4 2 2 2 3 3" xfId="13908"/>
    <cellStyle name="Normal 7 4 2 2 2 3 4" xfId="8651"/>
    <cellStyle name="Normal 7 4 2 2 2 4" xfId="6710"/>
    <cellStyle name="Normal 7 4 2 2 2 4 2" xfId="15794"/>
    <cellStyle name="Normal 7 4 2 2 2 5" xfId="10105"/>
    <cellStyle name="Normal 7 4 2 2 2 5 2" xfId="18932"/>
    <cellStyle name="Normal 7 4 2 2 2 6" xfId="11551"/>
    <cellStyle name="Normal 7 4 2 2 2 7" xfId="5188"/>
    <cellStyle name="Normal 7 4 2 2 3" xfId="1201"/>
    <cellStyle name="Normal 7 4 2 2 3 2" xfId="2921"/>
    <cellStyle name="Normal 7 4 2 2 3 2 2" xfId="16736"/>
    <cellStyle name="Normal 7 4 2 2 3 2 3" xfId="13157"/>
    <cellStyle name="Normal 7 4 2 2 3 2 4" xfId="7868"/>
    <cellStyle name="Normal 7 4 2 2 3 3" xfId="4190"/>
    <cellStyle name="Normal 7 4 2 2 3 3 2" xfId="17835"/>
    <cellStyle name="Normal 7 4 2 2 3 3 3" xfId="14256"/>
    <cellStyle name="Normal 7 4 2 2 3 3 4" xfId="8999"/>
    <cellStyle name="Normal 7 4 2 2 3 4" xfId="6275"/>
    <cellStyle name="Normal 7 4 2 2 3 4 2" xfId="15359"/>
    <cellStyle name="Normal 7 4 2 2 3 5" xfId="10453"/>
    <cellStyle name="Normal 7 4 2 2 3 5 2" xfId="19280"/>
    <cellStyle name="Normal 7 4 2 2 3 6" xfId="11899"/>
    <cellStyle name="Normal 7 4 2 2 3 7" xfId="5462"/>
    <cellStyle name="Normal 7 4 2 2 4" xfId="1588"/>
    <cellStyle name="Normal 7 4 2 2 4 2" xfId="3186"/>
    <cellStyle name="Normal 7 4 2 2 4 2 2" xfId="18100"/>
    <cellStyle name="Normal 7 4 2 2 4 2 3" xfId="14521"/>
    <cellStyle name="Normal 7 4 2 2 4 2 4" xfId="9264"/>
    <cellStyle name="Normal 7 4 2 2 4 3" xfId="10718"/>
    <cellStyle name="Normal 7 4 2 2 4 3 2" xfId="19545"/>
    <cellStyle name="Normal 7 4 2 2 4 4" xfId="12164"/>
    <cellStyle name="Normal 7 4 2 2 4 5" xfId="7159"/>
    <cellStyle name="Normal 7 4 2 2 5" xfId="2143"/>
    <cellStyle name="Normal 7 4 2 2 5 2" xfId="17057"/>
    <cellStyle name="Normal 7 4 2 2 5 3" xfId="13478"/>
    <cellStyle name="Normal 7 4 2 2 5 4" xfId="8221"/>
    <cellStyle name="Normal 7 4 2 2 6" xfId="5782"/>
    <cellStyle name="Normal 7 4 2 2 6 2" xfId="14868"/>
    <cellStyle name="Normal 7 4 2 2 7" xfId="9675"/>
    <cellStyle name="Normal 7 4 2 2 7 2" xfId="18502"/>
    <cellStyle name="Normal 7 4 2 2 8" xfId="11119"/>
    <cellStyle name="Normal 7 4 2 2 9" xfId="4753"/>
    <cellStyle name="Normal 7 4 2 2_Degree data" xfId="1827"/>
    <cellStyle name="Normal 7 4 2 3" xfId="852"/>
    <cellStyle name="Normal 7 4 2 3 2" xfId="2572"/>
    <cellStyle name="Normal 7 4 2 3 2 2" xfId="16073"/>
    <cellStyle name="Normal 7 4 2 3 2 3" xfId="12331"/>
    <cellStyle name="Normal 7 4 2 3 2 4" xfId="7059"/>
    <cellStyle name="Normal 7 4 2 3 3" xfId="3841"/>
    <cellStyle name="Normal 7 4 2 3 3 2" xfId="17486"/>
    <cellStyle name="Normal 7 4 2 3 3 3" xfId="13907"/>
    <cellStyle name="Normal 7 4 2 3 3 4" xfId="8650"/>
    <cellStyle name="Normal 7 4 2 3 4" xfId="6175"/>
    <cellStyle name="Normal 7 4 2 3 4 2" xfId="15259"/>
    <cellStyle name="Normal 7 4 2 3 5" xfId="10104"/>
    <cellStyle name="Normal 7 4 2 3 5 2" xfId="18931"/>
    <cellStyle name="Normal 7 4 2 3 6" xfId="11550"/>
    <cellStyle name="Normal 7 4 2 3 7" xfId="4653"/>
    <cellStyle name="Normal 7 4 2 4" xfId="1200"/>
    <cellStyle name="Normal 7 4 2 4 2" xfId="2920"/>
    <cellStyle name="Normal 7 4 2 4 2 2" xfId="16461"/>
    <cellStyle name="Normal 7 4 2 4 2 3" xfId="12883"/>
    <cellStyle name="Normal 7 4 2 4 2 4" xfId="7593"/>
    <cellStyle name="Normal 7 4 2 4 3" xfId="4189"/>
    <cellStyle name="Normal 7 4 2 4 3 2" xfId="17834"/>
    <cellStyle name="Normal 7 4 2 4 3 3" xfId="14255"/>
    <cellStyle name="Normal 7 4 2 4 3 4" xfId="8998"/>
    <cellStyle name="Normal 7 4 2 4 4" xfId="6709"/>
    <cellStyle name="Normal 7 4 2 4 4 2" xfId="15793"/>
    <cellStyle name="Normal 7 4 2 4 5" xfId="10452"/>
    <cellStyle name="Normal 7 4 2 4 5 2" xfId="19279"/>
    <cellStyle name="Normal 7 4 2 4 6" xfId="11898"/>
    <cellStyle name="Normal 7 4 2 4 7" xfId="5187"/>
    <cellStyle name="Normal 7 4 2 5" xfId="1486"/>
    <cellStyle name="Normal 7 4 2 5 2" xfId="3086"/>
    <cellStyle name="Normal 7 4 2 5 2 2" xfId="16636"/>
    <cellStyle name="Normal 7 4 2 5 2 3" xfId="13057"/>
    <cellStyle name="Normal 7 4 2 5 2 4" xfId="7768"/>
    <cellStyle name="Normal 7 4 2 5 3" xfId="4295"/>
    <cellStyle name="Normal 7 4 2 5 3 2" xfId="18000"/>
    <cellStyle name="Normal 7 4 2 5 3 3" xfId="14421"/>
    <cellStyle name="Normal 7 4 2 5 3 4" xfId="9164"/>
    <cellStyle name="Normal 7 4 2 5 4" xfId="5956"/>
    <cellStyle name="Normal 7 4 2 5 4 2" xfId="15042"/>
    <cellStyle name="Normal 7 4 2 5 5" xfId="10618"/>
    <cellStyle name="Normal 7 4 2 5 5 2" xfId="19445"/>
    <cellStyle name="Normal 7 4 2 5 6" xfId="12064"/>
    <cellStyle name="Normal 7 4 2 5 7" xfId="5362"/>
    <cellStyle name="Normal 7 4 2 6" xfId="2043"/>
    <cellStyle name="Normal 7 4 2 6 2" xfId="15885"/>
    <cellStyle name="Normal 7 4 2 6 3" xfId="12518"/>
    <cellStyle name="Normal 7 4 2 6 4" xfId="6842"/>
    <cellStyle name="Normal 7 4 2 7" xfId="3457"/>
    <cellStyle name="Normal 7 4 2 7 2" xfId="16957"/>
    <cellStyle name="Normal 7 4 2 7 3" xfId="13378"/>
    <cellStyle name="Normal 7 4 2 7 4" xfId="8121"/>
    <cellStyle name="Normal 7 4 2 8" xfId="5682"/>
    <cellStyle name="Normal 7 4 2 8 2" xfId="14768"/>
    <cellStyle name="Normal 7 4 2 9" xfId="9575"/>
    <cellStyle name="Normal 7 4 2 9 2" xfId="18402"/>
    <cellStyle name="Normal 7 4 2_Degree data" xfId="1826"/>
    <cellStyle name="Normal 7 4 3" xfId="222"/>
    <cellStyle name="Normal 7 4 3 10" xfId="10976"/>
    <cellStyle name="Normal 7 4 3 11" xfId="4498"/>
    <cellStyle name="Normal 7 4 3 2" xfId="436"/>
    <cellStyle name="Normal 7 4 3 2 2" xfId="855"/>
    <cellStyle name="Normal 7 4 3 2 2 2" xfId="2575"/>
    <cellStyle name="Normal 7 4 3 2 2 2 2" xfId="16464"/>
    <cellStyle name="Normal 7 4 3 2 2 2 3" xfId="12886"/>
    <cellStyle name="Normal 7 4 3 2 2 2 4" xfId="7596"/>
    <cellStyle name="Normal 7 4 3 2 2 3" xfId="3844"/>
    <cellStyle name="Normal 7 4 3 2 2 3 2" xfId="17489"/>
    <cellStyle name="Normal 7 4 3 2 2 3 3" xfId="13910"/>
    <cellStyle name="Normal 7 4 3 2 2 3 4" xfId="8653"/>
    <cellStyle name="Normal 7 4 3 2 2 4" xfId="6712"/>
    <cellStyle name="Normal 7 4 3 2 2 4 2" xfId="15796"/>
    <cellStyle name="Normal 7 4 3 2 2 5" xfId="10107"/>
    <cellStyle name="Normal 7 4 3 2 2 5 2" xfId="18934"/>
    <cellStyle name="Normal 7 4 3 2 2 6" xfId="11553"/>
    <cellStyle name="Normal 7 4 3 2 2 7" xfId="5190"/>
    <cellStyle name="Normal 7 4 3 2 3" xfId="1203"/>
    <cellStyle name="Normal 7 4 3 2 3 2" xfId="2923"/>
    <cellStyle name="Normal 7 4 3 2 3 2 2" xfId="16798"/>
    <cellStyle name="Normal 7 4 3 2 3 2 3" xfId="13219"/>
    <cellStyle name="Normal 7 4 3 2 3 2 4" xfId="7930"/>
    <cellStyle name="Normal 7 4 3 2 3 3" xfId="4192"/>
    <cellStyle name="Normal 7 4 3 2 3 3 2" xfId="17837"/>
    <cellStyle name="Normal 7 4 3 2 3 3 3" xfId="14258"/>
    <cellStyle name="Normal 7 4 3 2 3 3 4" xfId="9001"/>
    <cellStyle name="Normal 7 4 3 2 3 4" xfId="6337"/>
    <cellStyle name="Normal 7 4 3 2 3 4 2" xfId="15421"/>
    <cellStyle name="Normal 7 4 3 2 3 5" xfId="10455"/>
    <cellStyle name="Normal 7 4 3 2 3 5 2" xfId="19282"/>
    <cellStyle name="Normal 7 4 3 2 3 6" xfId="11901"/>
    <cellStyle name="Normal 7 4 3 2 3 7" xfId="5524"/>
    <cellStyle name="Normal 7 4 3 2 4" xfId="1652"/>
    <cellStyle name="Normal 7 4 3 2 4 2" xfId="3248"/>
    <cellStyle name="Normal 7 4 3 2 4 2 2" xfId="18162"/>
    <cellStyle name="Normal 7 4 3 2 4 2 3" xfId="14583"/>
    <cellStyle name="Normal 7 4 3 2 4 2 4" xfId="9326"/>
    <cellStyle name="Normal 7 4 3 2 4 3" xfId="10780"/>
    <cellStyle name="Normal 7 4 3 2 4 3 2" xfId="19607"/>
    <cellStyle name="Normal 7 4 3 2 4 4" xfId="12226"/>
    <cellStyle name="Normal 7 4 3 2 4 5" xfId="7221"/>
    <cellStyle name="Normal 7 4 3 2 5" xfId="2205"/>
    <cellStyle name="Normal 7 4 3 2 5 2" xfId="17119"/>
    <cellStyle name="Normal 7 4 3 2 5 3" xfId="13540"/>
    <cellStyle name="Normal 7 4 3 2 5 4" xfId="8283"/>
    <cellStyle name="Normal 7 4 3 2 6" xfId="5844"/>
    <cellStyle name="Normal 7 4 3 2 6 2" xfId="14930"/>
    <cellStyle name="Normal 7 4 3 2 7" xfId="9737"/>
    <cellStyle name="Normal 7 4 3 2 7 2" xfId="18564"/>
    <cellStyle name="Normal 7 4 3 2 8" xfId="11181"/>
    <cellStyle name="Normal 7 4 3 2 9" xfId="4815"/>
    <cellStyle name="Normal 7 4 3 2_Degree data" xfId="1829"/>
    <cellStyle name="Normal 7 4 3 3" xfId="854"/>
    <cellStyle name="Normal 7 4 3 3 2" xfId="2574"/>
    <cellStyle name="Normal 7 4 3 3 2 2" xfId="16030"/>
    <cellStyle name="Normal 7 4 3 3 2 3" xfId="12404"/>
    <cellStyle name="Normal 7 4 3 3 2 4" xfId="7016"/>
    <cellStyle name="Normal 7 4 3 3 3" xfId="3843"/>
    <cellStyle name="Normal 7 4 3 3 3 2" xfId="17488"/>
    <cellStyle name="Normal 7 4 3 3 3 3" xfId="13909"/>
    <cellStyle name="Normal 7 4 3 3 3 4" xfId="8652"/>
    <cellStyle name="Normal 7 4 3 3 4" xfId="6132"/>
    <cellStyle name="Normal 7 4 3 3 4 2" xfId="15216"/>
    <cellStyle name="Normal 7 4 3 3 5" xfId="10106"/>
    <cellStyle name="Normal 7 4 3 3 5 2" xfId="18933"/>
    <cellStyle name="Normal 7 4 3 3 6" xfId="11552"/>
    <cellStyle name="Normal 7 4 3 3 7" xfId="4610"/>
    <cellStyle name="Normal 7 4 3 4" xfId="1202"/>
    <cellStyle name="Normal 7 4 3 4 2" xfId="2922"/>
    <cellStyle name="Normal 7 4 3 4 2 2" xfId="16463"/>
    <cellStyle name="Normal 7 4 3 4 2 3" xfId="12885"/>
    <cellStyle name="Normal 7 4 3 4 2 4" xfId="7595"/>
    <cellStyle name="Normal 7 4 3 4 3" xfId="4191"/>
    <cellStyle name="Normal 7 4 3 4 3 2" xfId="17836"/>
    <cellStyle name="Normal 7 4 3 4 3 3" xfId="14257"/>
    <cellStyle name="Normal 7 4 3 4 3 4" xfId="9000"/>
    <cellStyle name="Normal 7 4 3 4 4" xfId="6711"/>
    <cellStyle name="Normal 7 4 3 4 4 2" xfId="15795"/>
    <cellStyle name="Normal 7 4 3 4 5" xfId="10454"/>
    <cellStyle name="Normal 7 4 3 4 5 2" xfId="19281"/>
    <cellStyle name="Normal 7 4 3 4 6" xfId="11900"/>
    <cellStyle name="Normal 7 4 3 4 7" xfId="5189"/>
    <cellStyle name="Normal 7 4 3 5" xfId="1441"/>
    <cellStyle name="Normal 7 4 3 5 2" xfId="3043"/>
    <cellStyle name="Normal 7 4 3 5 2 2" xfId="16593"/>
    <cellStyle name="Normal 7 4 3 5 2 3" xfId="13014"/>
    <cellStyle name="Normal 7 4 3 5 2 4" xfId="7725"/>
    <cellStyle name="Normal 7 4 3 5 3" xfId="4252"/>
    <cellStyle name="Normal 7 4 3 5 3 2" xfId="17957"/>
    <cellStyle name="Normal 7 4 3 5 3 3" xfId="14378"/>
    <cellStyle name="Normal 7 4 3 5 3 4" xfId="9121"/>
    <cellStyle name="Normal 7 4 3 5 4" xfId="6018"/>
    <cellStyle name="Normal 7 4 3 5 4 2" xfId="15104"/>
    <cellStyle name="Normal 7 4 3 5 5" xfId="10575"/>
    <cellStyle name="Normal 7 4 3 5 5 2" xfId="19402"/>
    <cellStyle name="Normal 7 4 3 5 6" xfId="12021"/>
    <cellStyle name="Normal 7 4 3 5 7" xfId="5319"/>
    <cellStyle name="Normal 7 4 3 6" xfId="2000"/>
    <cellStyle name="Normal 7 4 3 6 2" xfId="15947"/>
    <cellStyle name="Normal 7 4 3 6 3" xfId="12424"/>
    <cellStyle name="Normal 7 4 3 6 4" xfId="6904"/>
    <cellStyle name="Normal 7 4 3 7" xfId="3415"/>
    <cellStyle name="Normal 7 4 3 7 2" xfId="16914"/>
    <cellStyle name="Normal 7 4 3 7 3" xfId="13335"/>
    <cellStyle name="Normal 7 4 3 7 4" xfId="8078"/>
    <cellStyle name="Normal 7 4 3 8" xfId="5639"/>
    <cellStyle name="Normal 7 4 3 8 2" xfId="14725"/>
    <cellStyle name="Normal 7 4 3 9" xfId="9532"/>
    <cellStyle name="Normal 7 4 3 9 2" xfId="18359"/>
    <cellStyle name="Normal 7 4 3_Degree data" xfId="1828"/>
    <cellStyle name="Normal 7 4 4" xfId="330"/>
    <cellStyle name="Normal 7 4 4 2" xfId="856"/>
    <cellStyle name="Normal 7 4 4 2 2" xfId="2576"/>
    <cellStyle name="Normal 7 4 4 2 2 2" xfId="16465"/>
    <cellStyle name="Normal 7 4 4 2 2 3" xfId="12887"/>
    <cellStyle name="Normal 7 4 4 2 2 4" xfId="7597"/>
    <cellStyle name="Normal 7 4 4 2 3" xfId="3845"/>
    <cellStyle name="Normal 7 4 4 2 3 2" xfId="17490"/>
    <cellStyle name="Normal 7 4 4 2 3 3" xfId="13911"/>
    <cellStyle name="Normal 7 4 4 2 3 4" xfId="8654"/>
    <cellStyle name="Normal 7 4 4 2 4" xfId="6713"/>
    <cellStyle name="Normal 7 4 4 2 4 2" xfId="15797"/>
    <cellStyle name="Normal 7 4 4 2 5" xfId="10108"/>
    <cellStyle name="Normal 7 4 4 2 5 2" xfId="18935"/>
    <cellStyle name="Normal 7 4 4 2 6" xfId="11554"/>
    <cellStyle name="Normal 7 4 4 2 7" xfId="5191"/>
    <cellStyle name="Normal 7 4 4 3" xfId="1204"/>
    <cellStyle name="Normal 7 4 4 3 2" xfId="2924"/>
    <cellStyle name="Normal 7 4 4 3 2 2" xfId="16693"/>
    <cellStyle name="Normal 7 4 4 3 2 3" xfId="13114"/>
    <cellStyle name="Normal 7 4 4 3 2 4" xfId="7825"/>
    <cellStyle name="Normal 7 4 4 3 3" xfId="4193"/>
    <cellStyle name="Normal 7 4 4 3 3 2" xfId="17838"/>
    <cellStyle name="Normal 7 4 4 3 3 3" xfId="14259"/>
    <cellStyle name="Normal 7 4 4 3 3 4" xfId="9002"/>
    <cellStyle name="Normal 7 4 4 3 4" xfId="6232"/>
    <cellStyle name="Normal 7 4 4 3 4 2" xfId="15316"/>
    <cellStyle name="Normal 7 4 4 3 5" xfId="10456"/>
    <cellStyle name="Normal 7 4 4 3 5 2" xfId="19283"/>
    <cellStyle name="Normal 7 4 4 3 6" xfId="11902"/>
    <cellStyle name="Normal 7 4 4 3 7" xfId="5419"/>
    <cellStyle name="Normal 7 4 4 4" xfId="1544"/>
    <cellStyle name="Normal 7 4 4 4 2" xfId="3143"/>
    <cellStyle name="Normal 7 4 4 4 2 2" xfId="18057"/>
    <cellStyle name="Normal 7 4 4 4 2 3" xfId="14478"/>
    <cellStyle name="Normal 7 4 4 4 2 4" xfId="9221"/>
    <cellStyle name="Normal 7 4 4 4 3" xfId="10675"/>
    <cellStyle name="Normal 7 4 4 4 3 2" xfId="19502"/>
    <cellStyle name="Normal 7 4 4 4 4" xfId="12121"/>
    <cellStyle name="Normal 7 4 4 4 5" xfId="7116"/>
    <cellStyle name="Normal 7 4 4 5" xfId="2100"/>
    <cellStyle name="Normal 7 4 4 5 2" xfId="17014"/>
    <cellStyle name="Normal 7 4 4 5 3" xfId="13435"/>
    <cellStyle name="Normal 7 4 4 5 4" xfId="8178"/>
    <cellStyle name="Normal 7 4 4 6" xfId="5739"/>
    <cellStyle name="Normal 7 4 4 6 2" xfId="14825"/>
    <cellStyle name="Normal 7 4 4 7" xfId="9632"/>
    <cellStyle name="Normal 7 4 4 7 2" xfId="18459"/>
    <cellStyle name="Normal 7 4 4 8" xfId="11076"/>
    <cellStyle name="Normal 7 4 4 9" xfId="4710"/>
    <cellStyle name="Normal 7 4 4_Degree data" xfId="1830"/>
    <cellStyle name="Normal 7 4 5" xfId="851"/>
    <cellStyle name="Normal 7 4 5 2" xfId="2571"/>
    <cellStyle name="Normal 7 4 5 2 2" xfId="15987"/>
    <cellStyle name="Normal 7 4 5 2 3" xfId="12304"/>
    <cellStyle name="Normal 7 4 5 2 4" xfId="6957"/>
    <cellStyle name="Normal 7 4 5 3" xfId="3840"/>
    <cellStyle name="Normal 7 4 5 3 2" xfId="17485"/>
    <cellStyle name="Normal 7 4 5 3 3" xfId="13906"/>
    <cellStyle name="Normal 7 4 5 3 4" xfId="8649"/>
    <cellStyle name="Normal 7 4 5 4" xfId="6073"/>
    <cellStyle name="Normal 7 4 5 4 2" xfId="15157"/>
    <cellStyle name="Normal 7 4 5 5" xfId="10103"/>
    <cellStyle name="Normal 7 4 5 5 2" xfId="18930"/>
    <cellStyle name="Normal 7 4 5 6" xfId="11549"/>
    <cellStyle name="Normal 7 4 5 7" xfId="4551"/>
    <cellStyle name="Normal 7 4 6" xfId="1199"/>
    <cellStyle name="Normal 7 4 6 2" xfId="2919"/>
    <cellStyle name="Normal 7 4 6 2 2" xfId="16460"/>
    <cellStyle name="Normal 7 4 6 2 3" xfId="12882"/>
    <cellStyle name="Normal 7 4 6 2 4" xfId="7592"/>
    <cellStyle name="Normal 7 4 6 3" xfId="4188"/>
    <cellStyle name="Normal 7 4 6 3 2" xfId="17833"/>
    <cellStyle name="Normal 7 4 6 3 3" xfId="14254"/>
    <cellStyle name="Normal 7 4 6 3 4" xfId="8997"/>
    <cellStyle name="Normal 7 4 6 4" xfId="6708"/>
    <cellStyle name="Normal 7 4 6 4 2" xfId="15792"/>
    <cellStyle name="Normal 7 4 6 5" xfId="10451"/>
    <cellStyle name="Normal 7 4 6 5 2" xfId="19278"/>
    <cellStyle name="Normal 7 4 6 6" xfId="11897"/>
    <cellStyle name="Normal 7 4 6 7" xfId="5186"/>
    <cellStyle name="Normal 7 4 7" xfId="1373"/>
    <cellStyle name="Normal 7 4 7 2" xfId="2984"/>
    <cellStyle name="Normal 7 4 7 2 2" xfId="16534"/>
    <cellStyle name="Normal 7 4 7 2 3" xfId="12956"/>
    <cellStyle name="Normal 7 4 7 2 4" xfId="7666"/>
    <cellStyle name="Normal 7 4 7 3" xfId="4210"/>
    <cellStyle name="Normal 7 4 7 3 2" xfId="17898"/>
    <cellStyle name="Normal 7 4 7 3 3" xfId="14319"/>
    <cellStyle name="Normal 7 4 7 3 4" xfId="9062"/>
    <cellStyle name="Normal 7 4 7 4" xfId="5912"/>
    <cellStyle name="Normal 7 4 7 4 2" xfId="14998"/>
    <cellStyle name="Normal 7 4 7 5" xfId="10516"/>
    <cellStyle name="Normal 7 4 7 5 2" xfId="19343"/>
    <cellStyle name="Normal 7 4 7 6" xfId="11962"/>
    <cellStyle name="Normal 7 4 7 7" xfId="5260"/>
    <cellStyle name="Normal 7 4 8" xfId="1941"/>
    <cellStyle name="Normal 7 4 8 2" xfId="9473"/>
    <cellStyle name="Normal 7 4 8 2 2" xfId="18300"/>
    <cellStyle name="Normal 7 4 8 3" xfId="10917"/>
    <cellStyle name="Normal 7 4 8 4" xfId="6799"/>
    <cellStyle name="Normal 7 4 9" xfId="1865"/>
    <cellStyle name="Normal 7 4 9 2" xfId="16853"/>
    <cellStyle name="Normal 7 4 9 3" xfId="13274"/>
    <cellStyle name="Normal 7 4 9 4" xfId="8017"/>
    <cellStyle name="Normal 7 4_Degree data" xfId="1825"/>
    <cellStyle name="Normal 7 5" xfId="248"/>
    <cellStyle name="Normal 7 5 10" xfId="11002"/>
    <cellStyle name="Normal 7 5 11" xfId="4419"/>
    <cellStyle name="Normal 7 5 2" xfId="356"/>
    <cellStyle name="Normal 7 5 2 2" xfId="858"/>
    <cellStyle name="Normal 7 5 2 2 2" xfId="2578"/>
    <cellStyle name="Normal 7 5 2 2 2 2" xfId="16467"/>
    <cellStyle name="Normal 7 5 2 2 2 3" xfId="12889"/>
    <cellStyle name="Normal 7 5 2 2 2 4" xfId="7599"/>
    <cellStyle name="Normal 7 5 2 2 3" xfId="3847"/>
    <cellStyle name="Normal 7 5 2 2 3 2" xfId="17492"/>
    <cellStyle name="Normal 7 5 2 2 3 3" xfId="13913"/>
    <cellStyle name="Normal 7 5 2 2 3 4" xfId="8656"/>
    <cellStyle name="Normal 7 5 2 2 4" xfId="6715"/>
    <cellStyle name="Normal 7 5 2 2 4 2" xfId="15799"/>
    <cellStyle name="Normal 7 5 2 2 5" xfId="10110"/>
    <cellStyle name="Normal 7 5 2 2 5 2" xfId="18937"/>
    <cellStyle name="Normal 7 5 2 2 6" xfId="11556"/>
    <cellStyle name="Normal 7 5 2 2 7" xfId="5193"/>
    <cellStyle name="Normal 7 5 2 3" xfId="1206"/>
    <cellStyle name="Normal 7 5 2 3 2" xfId="2926"/>
    <cellStyle name="Normal 7 5 2 3 2 2" xfId="16719"/>
    <cellStyle name="Normal 7 5 2 3 2 3" xfId="13140"/>
    <cellStyle name="Normal 7 5 2 3 2 4" xfId="7851"/>
    <cellStyle name="Normal 7 5 2 3 3" xfId="4195"/>
    <cellStyle name="Normal 7 5 2 3 3 2" xfId="17840"/>
    <cellStyle name="Normal 7 5 2 3 3 3" xfId="14261"/>
    <cellStyle name="Normal 7 5 2 3 3 4" xfId="9004"/>
    <cellStyle name="Normal 7 5 2 3 4" xfId="6258"/>
    <cellStyle name="Normal 7 5 2 3 4 2" xfId="15342"/>
    <cellStyle name="Normal 7 5 2 3 5" xfId="10458"/>
    <cellStyle name="Normal 7 5 2 3 5 2" xfId="19285"/>
    <cellStyle name="Normal 7 5 2 3 6" xfId="11904"/>
    <cellStyle name="Normal 7 5 2 3 7" xfId="5445"/>
    <cellStyle name="Normal 7 5 2 4" xfId="1571"/>
    <cellStyle name="Normal 7 5 2 4 2" xfId="3169"/>
    <cellStyle name="Normal 7 5 2 4 2 2" xfId="18083"/>
    <cellStyle name="Normal 7 5 2 4 2 3" xfId="14504"/>
    <cellStyle name="Normal 7 5 2 4 2 4" xfId="9247"/>
    <cellStyle name="Normal 7 5 2 4 3" xfId="10701"/>
    <cellStyle name="Normal 7 5 2 4 3 2" xfId="19528"/>
    <cellStyle name="Normal 7 5 2 4 4" xfId="12147"/>
    <cellStyle name="Normal 7 5 2 4 5" xfId="7142"/>
    <cellStyle name="Normal 7 5 2 5" xfId="2126"/>
    <cellStyle name="Normal 7 5 2 5 2" xfId="17040"/>
    <cellStyle name="Normal 7 5 2 5 3" xfId="13461"/>
    <cellStyle name="Normal 7 5 2 5 4" xfId="8204"/>
    <cellStyle name="Normal 7 5 2 6" xfId="5765"/>
    <cellStyle name="Normal 7 5 2 6 2" xfId="14851"/>
    <cellStyle name="Normal 7 5 2 7" xfId="9658"/>
    <cellStyle name="Normal 7 5 2 7 2" xfId="18485"/>
    <cellStyle name="Normal 7 5 2 8" xfId="11102"/>
    <cellStyle name="Normal 7 5 2 9" xfId="4736"/>
    <cellStyle name="Normal 7 5 2_Degree data" xfId="1832"/>
    <cellStyle name="Normal 7 5 3" xfId="857"/>
    <cellStyle name="Normal 7 5 3 2" xfId="2577"/>
    <cellStyle name="Normal 7 5 3 2 2" xfId="16056"/>
    <cellStyle name="Normal 7 5 3 2 3" xfId="12461"/>
    <cellStyle name="Normal 7 5 3 2 4" xfId="7042"/>
    <cellStyle name="Normal 7 5 3 3" xfId="3846"/>
    <cellStyle name="Normal 7 5 3 3 2" xfId="17491"/>
    <cellStyle name="Normal 7 5 3 3 3" xfId="13912"/>
    <cellStyle name="Normal 7 5 3 3 4" xfId="8655"/>
    <cellStyle name="Normal 7 5 3 4" xfId="6158"/>
    <cellStyle name="Normal 7 5 3 4 2" xfId="15242"/>
    <cellStyle name="Normal 7 5 3 5" xfId="10109"/>
    <cellStyle name="Normal 7 5 3 5 2" xfId="18936"/>
    <cellStyle name="Normal 7 5 3 6" xfId="11555"/>
    <cellStyle name="Normal 7 5 3 7" xfId="4636"/>
    <cellStyle name="Normal 7 5 4" xfId="1205"/>
    <cellStyle name="Normal 7 5 4 2" xfId="2925"/>
    <cellStyle name="Normal 7 5 4 2 2" xfId="16466"/>
    <cellStyle name="Normal 7 5 4 2 3" xfId="12888"/>
    <cellStyle name="Normal 7 5 4 2 4" xfId="7598"/>
    <cellStyle name="Normal 7 5 4 3" xfId="4194"/>
    <cellStyle name="Normal 7 5 4 3 2" xfId="17839"/>
    <cellStyle name="Normal 7 5 4 3 3" xfId="14260"/>
    <cellStyle name="Normal 7 5 4 3 4" xfId="9003"/>
    <cellStyle name="Normal 7 5 4 4" xfId="6714"/>
    <cellStyle name="Normal 7 5 4 4 2" xfId="15798"/>
    <cellStyle name="Normal 7 5 4 5" xfId="10457"/>
    <cellStyle name="Normal 7 5 4 5 2" xfId="19284"/>
    <cellStyle name="Normal 7 5 4 6" xfId="11903"/>
    <cellStyle name="Normal 7 5 4 7" xfId="5192"/>
    <cellStyle name="Normal 7 5 5" xfId="1469"/>
    <cellStyle name="Normal 7 5 5 2" xfId="3069"/>
    <cellStyle name="Normal 7 5 5 2 2" xfId="16619"/>
    <cellStyle name="Normal 7 5 5 2 3" xfId="13040"/>
    <cellStyle name="Normal 7 5 5 2 4" xfId="7751"/>
    <cellStyle name="Normal 7 5 5 3" xfId="4278"/>
    <cellStyle name="Normal 7 5 5 3 2" xfId="17983"/>
    <cellStyle name="Normal 7 5 5 3 3" xfId="14404"/>
    <cellStyle name="Normal 7 5 5 3 4" xfId="9147"/>
    <cellStyle name="Normal 7 5 5 4" xfId="5939"/>
    <cellStyle name="Normal 7 5 5 4 2" xfId="15025"/>
    <cellStyle name="Normal 7 5 5 5" xfId="10601"/>
    <cellStyle name="Normal 7 5 5 5 2" xfId="19428"/>
    <cellStyle name="Normal 7 5 5 6" xfId="12047"/>
    <cellStyle name="Normal 7 5 5 7" xfId="5345"/>
    <cellStyle name="Normal 7 5 6" xfId="2026"/>
    <cellStyle name="Normal 7 5 6 2" xfId="15868"/>
    <cellStyle name="Normal 7 5 6 3" xfId="12303"/>
    <cellStyle name="Normal 7 5 6 4" xfId="6825"/>
    <cellStyle name="Normal 7 5 7" xfId="3440"/>
    <cellStyle name="Normal 7 5 7 2" xfId="16940"/>
    <cellStyle name="Normal 7 5 7 3" xfId="13361"/>
    <cellStyle name="Normal 7 5 7 4" xfId="8104"/>
    <cellStyle name="Normal 7 5 8" xfId="5665"/>
    <cellStyle name="Normal 7 5 8 2" xfId="14751"/>
    <cellStyle name="Normal 7 5 9" xfId="9558"/>
    <cellStyle name="Normal 7 5 9 2" xfId="18385"/>
    <cellStyle name="Normal 7 5_Degree data" xfId="1831"/>
    <cellStyle name="Normal 7 6" xfId="188"/>
    <cellStyle name="Normal 7 6 10" xfId="10945"/>
    <cellStyle name="Normal 7 6 11" xfId="4467"/>
    <cellStyle name="Normal 7 6 2" xfId="405"/>
    <cellStyle name="Normal 7 6 2 2" xfId="860"/>
    <cellStyle name="Normal 7 6 2 2 2" xfId="2580"/>
    <cellStyle name="Normal 7 6 2 2 2 2" xfId="16469"/>
    <cellStyle name="Normal 7 6 2 2 2 3" xfId="12891"/>
    <cellStyle name="Normal 7 6 2 2 2 4" xfId="7601"/>
    <cellStyle name="Normal 7 6 2 2 3" xfId="3849"/>
    <cellStyle name="Normal 7 6 2 2 3 2" xfId="17494"/>
    <cellStyle name="Normal 7 6 2 2 3 3" xfId="13915"/>
    <cellStyle name="Normal 7 6 2 2 3 4" xfId="8658"/>
    <cellStyle name="Normal 7 6 2 2 4" xfId="6717"/>
    <cellStyle name="Normal 7 6 2 2 4 2" xfId="15801"/>
    <cellStyle name="Normal 7 6 2 2 5" xfId="10112"/>
    <cellStyle name="Normal 7 6 2 2 5 2" xfId="18939"/>
    <cellStyle name="Normal 7 6 2 2 6" xfId="11558"/>
    <cellStyle name="Normal 7 6 2 2 7" xfId="5195"/>
    <cellStyle name="Normal 7 6 2 3" xfId="1208"/>
    <cellStyle name="Normal 7 6 2 3 2" xfId="2928"/>
    <cellStyle name="Normal 7 6 2 3 2 2" xfId="16767"/>
    <cellStyle name="Normal 7 6 2 3 2 3" xfId="13188"/>
    <cellStyle name="Normal 7 6 2 3 2 4" xfId="7899"/>
    <cellStyle name="Normal 7 6 2 3 3" xfId="4197"/>
    <cellStyle name="Normal 7 6 2 3 3 2" xfId="17842"/>
    <cellStyle name="Normal 7 6 2 3 3 3" xfId="14263"/>
    <cellStyle name="Normal 7 6 2 3 3 4" xfId="9006"/>
    <cellStyle name="Normal 7 6 2 3 4" xfId="6306"/>
    <cellStyle name="Normal 7 6 2 3 4 2" xfId="15390"/>
    <cellStyle name="Normal 7 6 2 3 5" xfId="10460"/>
    <cellStyle name="Normal 7 6 2 3 5 2" xfId="19287"/>
    <cellStyle name="Normal 7 6 2 3 6" xfId="11906"/>
    <cellStyle name="Normal 7 6 2 3 7" xfId="5493"/>
    <cellStyle name="Normal 7 6 2 4" xfId="1621"/>
    <cellStyle name="Normal 7 6 2 4 2" xfId="3217"/>
    <cellStyle name="Normal 7 6 2 4 2 2" xfId="18131"/>
    <cellStyle name="Normal 7 6 2 4 2 3" xfId="14552"/>
    <cellStyle name="Normal 7 6 2 4 2 4" xfId="9295"/>
    <cellStyle name="Normal 7 6 2 4 3" xfId="10749"/>
    <cellStyle name="Normal 7 6 2 4 3 2" xfId="19576"/>
    <cellStyle name="Normal 7 6 2 4 4" xfId="12195"/>
    <cellStyle name="Normal 7 6 2 4 5" xfId="7190"/>
    <cellStyle name="Normal 7 6 2 5" xfId="2174"/>
    <cellStyle name="Normal 7 6 2 5 2" xfId="17088"/>
    <cellStyle name="Normal 7 6 2 5 3" xfId="13509"/>
    <cellStyle name="Normal 7 6 2 5 4" xfId="8252"/>
    <cellStyle name="Normal 7 6 2 6" xfId="5813"/>
    <cellStyle name="Normal 7 6 2 6 2" xfId="14899"/>
    <cellStyle name="Normal 7 6 2 7" xfId="9706"/>
    <cellStyle name="Normal 7 6 2 7 2" xfId="18533"/>
    <cellStyle name="Normal 7 6 2 8" xfId="11150"/>
    <cellStyle name="Normal 7 6 2 9" xfId="4784"/>
    <cellStyle name="Normal 7 6 2_Degree data" xfId="1834"/>
    <cellStyle name="Normal 7 6 3" xfId="859"/>
    <cellStyle name="Normal 7 6 3 2" xfId="2579"/>
    <cellStyle name="Normal 7 6 3 2 2" xfId="15999"/>
    <cellStyle name="Normal 7 6 3 2 3" xfId="12308"/>
    <cellStyle name="Normal 7 6 3 2 4" xfId="6985"/>
    <cellStyle name="Normal 7 6 3 3" xfId="3848"/>
    <cellStyle name="Normal 7 6 3 3 2" xfId="17493"/>
    <cellStyle name="Normal 7 6 3 3 3" xfId="13914"/>
    <cellStyle name="Normal 7 6 3 3 4" xfId="8657"/>
    <cellStyle name="Normal 7 6 3 4" xfId="6101"/>
    <cellStyle name="Normal 7 6 3 4 2" xfId="15185"/>
    <cellStyle name="Normal 7 6 3 5" xfId="10111"/>
    <cellStyle name="Normal 7 6 3 5 2" xfId="18938"/>
    <cellStyle name="Normal 7 6 3 6" xfId="11557"/>
    <cellStyle name="Normal 7 6 3 7" xfId="4579"/>
    <cellStyle name="Normal 7 6 4" xfId="1207"/>
    <cellStyle name="Normal 7 6 4 2" xfId="2927"/>
    <cellStyle name="Normal 7 6 4 2 2" xfId="16468"/>
    <cellStyle name="Normal 7 6 4 2 3" xfId="12890"/>
    <cellStyle name="Normal 7 6 4 2 4" xfId="7600"/>
    <cellStyle name="Normal 7 6 4 3" xfId="4196"/>
    <cellStyle name="Normal 7 6 4 3 2" xfId="17841"/>
    <cellStyle name="Normal 7 6 4 3 3" xfId="14262"/>
    <cellStyle name="Normal 7 6 4 3 4" xfId="9005"/>
    <cellStyle name="Normal 7 6 4 4" xfId="6716"/>
    <cellStyle name="Normal 7 6 4 4 2" xfId="15800"/>
    <cellStyle name="Normal 7 6 4 5" xfId="10459"/>
    <cellStyle name="Normal 7 6 4 5 2" xfId="19286"/>
    <cellStyle name="Normal 7 6 4 6" xfId="11905"/>
    <cellStyle name="Normal 7 6 4 7" xfId="5194"/>
    <cellStyle name="Normal 7 6 5" xfId="1407"/>
    <cellStyle name="Normal 7 6 5 2" xfId="3012"/>
    <cellStyle name="Normal 7 6 5 2 2" xfId="16562"/>
    <cellStyle name="Normal 7 6 5 2 3" xfId="12983"/>
    <cellStyle name="Normal 7 6 5 2 4" xfId="7694"/>
    <cellStyle name="Normal 7 6 5 3" xfId="4221"/>
    <cellStyle name="Normal 7 6 5 3 2" xfId="17926"/>
    <cellStyle name="Normal 7 6 5 3 3" xfId="14347"/>
    <cellStyle name="Normal 7 6 5 3 4" xfId="9090"/>
    <cellStyle name="Normal 7 6 5 4" xfId="5987"/>
    <cellStyle name="Normal 7 6 5 4 2" xfId="15073"/>
    <cellStyle name="Normal 7 6 5 5" xfId="10544"/>
    <cellStyle name="Normal 7 6 5 5 2" xfId="19371"/>
    <cellStyle name="Normal 7 6 5 6" xfId="11990"/>
    <cellStyle name="Normal 7 6 5 7" xfId="5288"/>
    <cellStyle name="Normal 7 6 6" xfId="1969"/>
    <cellStyle name="Normal 7 6 6 2" xfId="15916"/>
    <cellStyle name="Normal 7 6 6 3" xfId="12474"/>
    <cellStyle name="Normal 7 6 6 4" xfId="6873"/>
    <cellStyle name="Normal 7 6 7" xfId="3384"/>
    <cellStyle name="Normal 7 6 7 2" xfId="16883"/>
    <cellStyle name="Normal 7 6 7 3" xfId="13304"/>
    <cellStyle name="Normal 7 6 7 4" xfId="8047"/>
    <cellStyle name="Normal 7 6 8" xfId="5608"/>
    <cellStyle name="Normal 7 6 8 2" xfId="14694"/>
    <cellStyle name="Normal 7 6 9" xfId="9501"/>
    <cellStyle name="Normal 7 6 9 2" xfId="18328"/>
    <cellStyle name="Normal 7 6_Degree data" xfId="1833"/>
    <cellStyle name="Normal 7 7" xfId="461"/>
    <cellStyle name="Normal 7 7 10" xfId="4523"/>
    <cellStyle name="Normal 7 7 2" xfId="861"/>
    <cellStyle name="Normal 7 7 2 2" xfId="2581"/>
    <cellStyle name="Normal 7 7 2 2 2" xfId="16115"/>
    <cellStyle name="Normal 7 7 2 2 3" xfId="12537"/>
    <cellStyle name="Normal 7 7 2 2 4" xfId="7246"/>
    <cellStyle name="Normal 7 7 2 3" xfId="3850"/>
    <cellStyle name="Normal 7 7 2 3 2" xfId="17495"/>
    <cellStyle name="Normal 7 7 2 3 3" xfId="13916"/>
    <cellStyle name="Normal 7 7 2 3 4" xfId="8659"/>
    <cellStyle name="Normal 7 7 2 4" xfId="6362"/>
    <cellStyle name="Normal 7 7 2 4 2" xfId="15446"/>
    <cellStyle name="Normal 7 7 2 5" xfId="10113"/>
    <cellStyle name="Normal 7 7 2 5 2" xfId="18940"/>
    <cellStyle name="Normal 7 7 2 6" xfId="11559"/>
    <cellStyle name="Normal 7 7 2 7" xfId="4840"/>
    <cellStyle name="Normal 7 7 3" xfId="1209"/>
    <cellStyle name="Normal 7 7 3 2" xfId="2929"/>
    <cellStyle name="Normal 7 7 3 2 2" xfId="16470"/>
    <cellStyle name="Normal 7 7 3 2 3" xfId="12892"/>
    <cellStyle name="Normal 7 7 3 2 4" xfId="7602"/>
    <cellStyle name="Normal 7 7 3 3" xfId="4198"/>
    <cellStyle name="Normal 7 7 3 3 2" xfId="17843"/>
    <cellStyle name="Normal 7 7 3 3 3" xfId="14264"/>
    <cellStyle name="Normal 7 7 3 3 4" xfId="9007"/>
    <cellStyle name="Normal 7 7 3 4" xfId="6718"/>
    <cellStyle name="Normal 7 7 3 4 2" xfId="15802"/>
    <cellStyle name="Normal 7 7 3 5" xfId="10461"/>
    <cellStyle name="Normal 7 7 3 5 2" xfId="19288"/>
    <cellStyle name="Normal 7 7 3 6" xfId="11907"/>
    <cellStyle name="Normal 7 7 3 7" xfId="5196"/>
    <cellStyle name="Normal 7 7 4" xfId="1677"/>
    <cellStyle name="Normal 7 7 4 2" xfId="3273"/>
    <cellStyle name="Normal 7 7 4 2 2" xfId="16823"/>
    <cellStyle name="Normal 7 7 4 2 3" xfId="13244"/>
    <cellStyle name="Normal 7 7 4 2 4" xfId="7955"/>
    <cellStyle name="Normal 7 7 4 3" xfId="4337"/>
    <cellStyle name="Normal 7 7 4 3 2" xfId="18187"/>
    <cellStyle name="Normal 7 7 4 3 3" xfId="14608"/>
    <cellStyle name="Normal 7 7 4 3 4" xfId="9351"/>
    <cellStyle name="Normal 7 7 4 4" xfId="6043"/>
    <cellStyle name="Normal 7 7 4 4 2" xfId="15129"/>
    <cellStyle name="Normal 7 7 4 5" xfId="10805"/>
    <cellStyle name="Normal 7 7 4 5 2" xfId="19632"/>
    <cellStyle name="Normal 7 7 4 6" xfId="12251"/>
    <cellStyle name="Normal 7 7 4 7" xfId="5549"/>
    <cellStyle name="Normal 7 7 5" xfId="2230"/>
    <cellStyle name="Normal 7 7 5 2" xfId="15972"/>
    <cellStyle name="Normal 7 7 5 3" xfId="12354"/>
    <cellStyle name="Normal 7 7 5 4" xfId="6929"/>
    <cellStyle name="Normal 7 7 6" xfId="3499"/>
    <cellStyle name="Normal 7 7 6 2" xfId="17144"/>
    <cellStyle name="Normal 7 7 6 3" xfId="13565"/>
    <cellStyle name="Normal 7 7 6 4" xfId="8308"/>
    <cellStyle name="Normal 7 7 7" xfId="5869"/>
    <cellStyle name="Normal 7 7 7 2" xfId="14955"/>
    <cellStyle name="Normal 7 7 8" xfId="9762"/>
    <cellStyle name="Normal 7 7 8 2" xfId="18589"/>
    <cellStyle name="Normal 7 7 9" xfId="11206"/>
    <cellStyle name="Normal 7 7_Degree data" xfId="1835"/>
    <cellStyle name="Normal 7 8" xfId="299"/>
    <cellStyle name="Normal 7 8 2" xfId="862"/>
    <cellStyle name="Normal 7 8 2 2" xfId="2582"/>
    <cellStyle name="Normal 7 8 2 2 2" xfId="16471"/>
    <cellStyle name="Normal 7 8 2 2 3" xfId="12893"/>
    <cellStyle name="Normal 7 8 2 2 4" xfId="7603"/>
    <cellStyle name="Normal 7 8 2 3" xfId="3851"/>
    <cellStyle name="Normal 7 8 2 3 2" xfId="17496"/>
    <cellStyle name="Normal 7 8 2 3 3" xfId="13917"/>
    <cellStyle name="Normal 7 8 2 3 4" xfId="8660"/>
    <cellStyle name="Normal 7 8 2 4" xfId="6719"/>
    <cellStyle name="Normal 7 8 2 4 2" xfId="15803"/>
    <cellStyle name="Normal 7 8 2 5" xfId="10114"/>
    <cellStyle name="Normal 7 8 2 5 2" xfId="18941"/>
    <cellStyle name="Normal 7 8 2 6" xfId="11560"/>
    <cellStyle name="Normal 7 8 2 7" xfId="5197"/>
    <cellStyle name="Normal 7 8 3" xfId="1210"/>
    <cellStyle name="Normal 7 8 3 2" xfId="2930"/>
    <cellStyle name="Normal 7 8 3 2 2" xfId="16662"/>
    <cellStyle name="Normal 7 8 3 2 3" xfId="13083"/>
    <cellStyle name="Normal 7 8 3 2 4" xfId="7794"/>
    <cellStyle name="Normal 7 8 3 3" xfId="4199"/>
    <cellStyle name="Normal 7 8 3 3 2" xfId="17844"/>
    <cellStyle name="Normal 7 8 3 3 3" xfId="14265"/>
    <cellStyle name="Normal 7 8 3 3 4" xfId="9008"/>
    <cellStyle name="Normal 7 8 3 4" xfId="6201"/>
    <cellStyle name="Normal 7 8 3 4 2" xfId="15285"/>
    <cellStyle name="Normal 7 8 3 5" xfId="10462"/>
    <cellStyle name="Normal 7 8 3 5 2" xfId="19289"/>
    <cellStyle name="Normal 7 8 3 6" xfId="11908"/>
    <cellStyle name="Normal 7 8 3 7" xfId="5388"/>
    <cellStyle name="Normal 7 8 4" xfId="1513"/>
    <cellStyle name="Normal 7 8 4 2" xfId="3112"/>
    <cellStyle name="Normal 7 8 4 2 2" xfId="18026"/>
    <cellStyle name="Normal 7 8 4 2 3" xfId="14447"/>
    <cellStyle name="Normal 7 8 4 2 4" xfId="9190"/>
    <cellStyle name="Normal 7 8 4 3" xfId="10644"/>
    <cellStyle name="Normal 7 8 4 3 2" xfId="19471"/>
    <cellStyle name="Normal 7 8 4 4" xfId="12090"/>
    <cellStyle name="Normal 7 8 4 5" xfId="7085"/>
    <cellStyle name="Normal 7 8 5" xfId="2069"/>
    <cellStyle name="Normal 7 8 5 2" xfId="16983"/>
    <cellStyle name="Normal 7 8 5 3" xfId="13404"/>
    <cellStyle name="Normal 7 8 5 4" xfId="8147"/>
    <cellStyle name="Normal 7 8 6" xfId="5708"/>
    <cellStyle name="Normal 7 8 6 2" xfId="14794"/>
    <cellStyle name="Normal 7 8 7" xfId="9601"/>
    <cellStyle name="Normal 7 8 7 2" xfId="18428"/>
    <cellStyle name="Normal 7 8 8" xfId="11045"/>
    <cellStyle name="Normal 7 8 9" xfId="4679"/>
    <cellStyle name="Normal 7 8_Degree data" xfId="1836"/>
    <cellStyle name="Normal 7 9" xfId="484"/>
    <cellStyle name="Normal 7 9 2" xfId="863"/>
    <cellStyle name="Normal 7 9 2 2" xfId="2583"/>
    <cellStyle name="Normal 7 9 2 2 2" xfId="16472"/>
    <cellStyle name="Normal 7 9 2 2 3" xfId="12894"/>
    <cellStyle name="Normal 7 9 2 2 4" xfId="7604"/>
    <cellStyle name="Normal 7 9 2 3" xfId="3852"/>
    <cellStyle name="Normal 7 9 2 3 2" xfId="17497"/>
    <cellStyle name="Normal 7 9 2 3 3" xfId="13918"/>
    <cellStyle name="Normal 7 9 2 3 4" xfId="8661"/>
    <cellStyle name="Normal 7 9 2 4" xfId="6720"/>
    <cellStyle name="Normal 7 9 2 4 2" xfId="15804"/>
    <cellStyle name="Normal 7 9 2 5" xfId="10115"/>
    <cellStyle name="Normal 7 9 2 5 2" xfId="18942"/>
    <cellStyle name="Normal 7 9 2 6" xfId="11561"/>
    <cellStyle name="Normal 7 9 2 7" xfId="5198"/>
    <cellStyle name="Normal 7 9 3" xfId="1211"/>
    <cellStyle name="Normal 7 9 3 2" xfId="2931"/>
    <cellStyle name="Normal 7 9 3 2 2" xfId="16523"/>
    <cellStyle name="Normal 7 9 3 2 3" xfId="12945"/>
    <cellStyle name="Normal 7 9 3 2 4" xfId="7655"/>
    <cellStyle name="Normal 7 9 3 3" xfId="4200"/>
    <cellStyle name="Normal 7 9 3 3 2" xfId="17845"/>
    <cellStyle name="Normal 7 9 3 3 3" xfId="14266"/>
    <cellStyle name="Normal 7 9 3 3 4" xfId="9009"/>
    <cellStyle name="Normal 7 9 3 4" xfId="6762"/>
    <cellStyle name="Normal 7 9 3 4 2" xfId="15845"/>
    <cellStyle name="Normal 7 9 3 5" xfId="10463"/>
    <cellStyle name="Normal 7 9 3 5 2" xfId="19290"/>
    <cellStyle name="Normal 7 9 3 6" xfId="11909"/>
    <cellStyle name="Normal 7 9 3 7" xfId="5249"/>
    <cellStyle name="Normal 7 9 4" xfId="1360"/>
    <cellStyle name="Normal 7 9 4 2" xfId="2973"/>
    <cellStyle name="Normal 7 9 4 2 2" xfId="17887"/>
    <cellStyle name="Normal 7 9 4 2 3" xfId="14308"/>
    <cellStyle name="Normal 7 9 4 2 4" xfId="9051"/>
    <cellStyle name="Normal 7 9 4 3" xfId="10505"/>
    <cellStyle name="Normal 7 9 4 3 2" xfId="19332"/>
    <cellStyle name="Normal 7 9 4 4" xfId="11951"/>
    <cellStyle name="Normal 7 9 4 5" xfId="6946"/>
    <cellStyle name="Normal 7 9 5" xfId="1930"/>
    <cellStyle name="Normal 7 9 5 2" xfId="16842"/>
    <cellStyle name="Normal 7 9 5 3" xfId="13263"/>
    <cellStyle name="Normal 7 9 5 4" xfId="8006"/>
    <cellStyle name="Normal 7 9 6" xfId="6062"/>
    <cellStyle name="Normal 7 9 6 2" xfId="15146"/>
    <cellStyle name="Normal 7 9 7" xfId="9462"/>
    <cellStyle name="Normal 7 9 7 2" xfId="18289"/>
    <cellStyle name="Normal 7 9 8" xfId="10906"/>
    <cellStyle name="Normal 7 9 9" xfId="4540"/>
    <cellStyle name="Normal 7 9_Degree data" xfId="1837"/>
    <cellStyle name="Normal 7_Degree data" xfId="1804"/>
    <cellStyle name="Normal 70" xfId="180"/>
    <cellStyle name="Normal 70 2" xfId="3289"/>
    <cellStyle name="Normal 70 2 2" xfId="3361"/>
    <cellStyle name="Normal 70 2 2 2" xfId="16473"/>
    <cellStyle name="Normal 70 2 2 3" xfId="12895"/>
    <cellStyle name="Normal 70 2 2 4" xfId="7605"/>
    <cellStyle name="Normal 70 2 3" xfId="4352"/>
    <cellStyle name="Normal 70 2 3 2" xfId="18202"/>
    <cellStyle name="Normal 70 2 3 3" xfId="14623"/>
    <cellStyle name="Normal 70 2 3 4" xfId="9366"/>
    <cellStyle name="Normal 70 2 4" xfId="6721"/>
    <cellStyle name="Normal 70 2 4 2" xfId="15805"/>
    <cellStyle name="Normal 70 2 5" xfId="14635"/>
    <cellStyle name="Normal 70 2 6" xfId="12445"/>
    <cellStyle name="Normal 70 2 7" xfId="5199"/>
    <cellStyle name="Normal 70 3" xfId="6050"/>
    <cellStyle name="Normal 70 4" xfId="3305"/>
    <cellStyle name="Normal 71" xfId="47"/>
    <cellStyle name="Normal 72" xfId="48"/>
    <cellStyle name="Normal 73" xfId="181"/>
    <cellStyle name="Normal 73 2" xfId="3326"/>
    <cellStyle name="Normal 73 2 2" xfId="3362"/>
    <cellStyle name="Normal 73 2 2 2" xfId="16474"/>
    <cellStyle name="Normal 73 2 2 3" xfId="12896"/>
    <cellStyle name="Normal 73 2 2 4" xfId="7606"/>
    <cellStyle name="Normal 73 2 3" xfId="4350"/>
    <cellStyle name="Normal 73 2 3 2" xfId="18200"/>
    <cellStyle name="Normal 73 2 3 3" xfId="14621"/>
    <cellStyle name="Normal 73 2 3 4" xfId="9364"/>
    <cellStyle name="Normal 73 2 4" xfId="6722"/>
    <cellStyle name="Normal 73 2 4 2" xfId="15806"/>
    <cellStyle name="Normal 73 2 5" xfId="14636"/>
    <cellStyle name="Normal 73 2 6" xfId="12384"/>
    <cellStyle name="Normal 73 2 7" xfId="5200"/>
    <cellStyle name="Normal 73 3" xfId="6051"/>
    <cellStyle name="Normal 73 4" xfId="3308"/>
    <cellStyle name="Normal 74" xfId="174"/>
    <cellStyle name="Normal 74 2" xfId="3363"/>
    <cellStyle name="Normal 74 2 2" xfId="16475"/>
    <cellStyle name="Normal 74 2 3" xfId="12897"/>
    <cellStyle name="Normal 74 2 4" xfId="7607"/>
    <cellStyle name="Normal 74 3" xfId="4348"/>
    <cellStyle name="Normal 74 3 2" xfId="18199"/>
    <cellStyle name="Normal 74 3 3" xfId="14620"/>
    <cellStyle name="Normal 74 3 4" xfId="9363"/>
    <cellStyle name="Normal 74 4" xfId="6723"/>
    <cellStyle name="Normal 74 4 2" xfId="15807"/>
    <cellStyle name="Normal 74 5" xfId="14637"/>
    <cellStyle name="Normal 74 6" xfId="12319"/>
    <cellStyle name="Normal 74 7" xfId="5201"/>
    <cellStyle name="Normal 74 8" xfId="3285"/>
    <cellStyle name="Normal 75" xfId="175"/>
    <cellStyle name="Normal 75 2" xfId="3364"/>
    <cellStyle name="Normal 75 2 2" xfId="16476"/>
    <cellStyle name="Normal 75 2 3" xfId="12898"/>
    <cellStyle name="Normal 75 2 4" xfId="7608"/>
    <cellStyle name="Normal 75 3" xfId="4345"/>
    <cellStyle name="Normal 75 3 2" xfId="18196"/>
    <cellStyle name="Normal 75 3 3" xfId="14617"/>
    <cellStyle name="Normal 75 3 4" xfId="9360"/>
    <cellStyle name="Normal 75 4" xfId="6724"/>
    <cellStyle name="Normal 75 4 2" xfId="15808"/>
    <cellStyle name="Normal 75 5" xfId="14638"/>
    <cellStyle name="Normal 75 6" xfId="12280"/>
    <cellStyle name="Normal 75 7" xfId="5202"/>
    <cellStyle name="Normal 75 8" xfId="3310"/>
    <cellStyle name="Normal 76" xfId="293"/>
    <cellStyle name="Normal 76 2" xfId="3365"/>
    <cellStyle name="Normal 76 2 2" xfId="16477"/>
    <cellStyle name="Normal 76 2 3" xfId="12899"/>
    <cellStyle name="Normal 76 2 4" xfId="7609"/>
    <cellStyle name="Normal 76 3" xfId="4344"/>
    <cellStyle name="Normal 76 3 2" xfId="18195"/>
    <cellStyle name="Normal 76 3 3" xfId="14616"/>
    <cellStyle name="Normal 76 3 4" xfId="9359"/>
    <cellStyle name="Normal 76 4" xfId="6725"/>
    <cellStyle name="Normal 76 4 2" xfId="15809"/>
    <cellStyle name="Normal 76 5" xfId="14639"/>
    <cellStyle name="Normal 76 6" xfId="12475"/>
    <cellStyle name="Normal 76 7" xfId="5203"/>
    <cellStyle name="Normal 76 8" xfId="3296"/>
    <cellStyle name="Normal 77" xfId="294"/>
    <cellStyle name="Normal 77 2" xfId="3356"/>
    <cellStyle name="Normal 77 2 2" xfId="16123"/>
    <cellStyle name="Normal 77 2 3" xfId="12545"/>
    <cellStyle name="Normal 77 2 4" xfId="7254"/>
    <cellStyle name="Normal 77 3" xfId="4353"/>
    <cellStyle name="Normal 77 3 2" xfId="18203"/>
    <cellStyle name="Normal 77 3 3" xfId="14624"/>
    <cellStyle name="Normal 77 3 4" xfId="9367"/>
    <cellStyle name="Normal 77 4" xfId="6370"/>
    <cellStyle name="Normal 77 4 2" xfId="15454"/>
    <cellStyle name="Normal 77 5" xfId="14631"/>
    <cellStyle name="Normal 77 6" xfId="12446"/>
    <cellStyle name="Normal 77 7" xfId="4848"/>
    <cellStyle name="Normal 77 8" xfId="1874"/>
    <cellStyle name="Normal 78" xfId="1850"/>
    <cellStyle name="Normal 78 2" xfId="3366"/>
    <cellStyle name="Normal 78 2 2" xfId="16478"/>
    <cellStyle name="Normal 78 2 3" xfId="12900"/>
    <cellStyle name="Normal 78 2 4" xfId="7610"/>
    <cellStyle name="Normal 78 3" xfId="3379"/>
    <cellStyle name="Normal 78 3 2" xfId="16878"/>
    <cellStyle name="Normal 78 3 3" xfId="13299"/>
    <cellStyle name="Normal 78 3 4" xfId="8042"/>
    <cellStyle name="Normal 78 4" xfId="6726"/>
    <cellStyle name="Normal 78 4 2" xfId="15810"/>
    <cellStyle name="Normal 78 5" xfId="14640"/>
    <cellStyle name="Normal 78 6" xfId="12488"/>
    <cellStyle name="Normal 78 7" xfId="5204"/>
    <cellStyle name="Normal 79" xfId="3346"/>
    <cellStyle name="Normal 79 2" xfId="3357"/>
    <cellStyle name="Normal 79 2 2" xfId="16124"/>
    <cellStyle name="Normal 79 2 3" xfId="12546"/>
    <cellStyle name="Normal 79 2 4" xfId="7255"/>
    <cellStyle name="Normal 79 3" xfId="4351"/>
    <cellStyle name="Normal 79 3 2" xfId="18201"/>
    <cellStyle name="Normal 79 3 3" xfId="14622"/>
    <cellStyle name="Normal 79 3 4" xfId="9365"/>
    <cellStyle name="Normal 79 4" xfId="6371"/>
    <cellStyle name="Normal 79 4 2" xfId="15455"/>
    <cellStyle name="Normal 79 5" xfId="14632"/>
    <cellStyle name="Normal 79 6" xfId="12385"/>
    <cellStyle name="Normal 79 7" xfId="4849"/>
    <cellStyle name="Normal 8" xfId="30"/>
    <cellStyle name="Normal 8 2" xfId="128"/>
    <cellStyle name="Normal 8 3" xfId="119"/>
    <cellStyle name="Normal 80" xfId="3320"/>
    <cellStyle name="Normal 80 2" xfId="3358"/>
    <cellStyle name="Normal 80 2 2" xfId="16125"/>
    <cellStyle name="Normal 80 2 3" xfId="12547"/>
    <cellStyle name="Normal 80 2 4" xfId="7256"/>
    <cellStyle name="Normal 80 3" xfId="4347"/>
    <cellStyle name="Normal 80 3 2" xfId="18198"/>
    <cellStyle name="Normal 80 3 3" xfId="14619"/>
    <cellStyle name="Normal 80 3 4" xfId="9362"/>
    <cellStyle name="Normal 80 4" xfId="6372"/>
    <cellStyle name="Normal 80 4 2" xfId="15456"/>
    <cellStyle name="Normal 80 5" xfId="14633"/>
    <cellStyle name="Normal 80 6" xfId="12451"/>
    <cellStyle name="Normal 80 7" xfId="4850"/>
    <cellStyle name="Normal 81" xfId="3324"/>
    <cellStyle name="Normal 81 2" xfId="3367"/>
    <cellStyle name="Normal 81 2 2" xfId="16479"/>
    <cellStyle name="Normal 81 2 3" xfId="12901"/>
    <cellStyle name="Normal 81 2 4" xfId="7611"/>
    <cellStyle name="Normal 81 3" xfId="3373"/>
    <cellStyle name="Normal 81 3 2" xfId="16831"/>
    <cellStyle name="Normal 81 3 3" xfId="13252"/>
    <cellStyle name="Normal 81 3 4" xfId="7970"/>
    <cellStyle name="Normal 81 4" xfId="6727"/>
    <cellStyle name="Normal 81 4 2" xfId="15811"/>
    <cellStyle name="Normal 81 5" xfId="14641"/>
    <cellStyle name="Normal 81 6" xfId="12444"/>
    <cellStyle name="Normal 81 7" xfId="5205"/>
    <cellStyle name="Normal 82" xfId="3309"/>
    <cellStyle name="Normal 82 2" xfId="3368"/>
    <cellStyle name="Normal 82 2 2" xfId="16480"/>
    <cellStyle name="Normal 82 2 3" xfId="12902"/>
    <cellStyle name="Normal 82 2 4" xfId="7612"/>
    <cellStyle name="Normal 82 3" xfId="4354"/>
    <cellStyle name="Normal 82 3 2" xfId="18204"/>
    <cellStyle name="Normal 82 3 3" xfId="14625"/>
    <cellStyle name="Normal 82 3 4" xfId="9368"/>
    <cellStyle name="Normal 82 4" xfId="6728"/>
    <cellStyle name="Normal 82 4 2" xfId="15812"/>
    <cellStyle name="Normal 82 5" xfId="14642"/>
    <cellStyle name="Normal 82 6" xfId="12383"/>
    <cellStyle name="Normal 82 7" xfId="5206"/>
    <cellStyle name="Normal 83" xfId="49"/>
    <cellStyle name="Normal 84" xfId="50"/>
    <cellStyle name="Normal 85" xfId="3290"/>
    <cellStyle name="Normal 85 2" xfId="3359"/>
    <cellStyle name="Normal 85 2 2" xfId="16126"/>
    <cellStyle name="Normal 85 2 3" xfId="12548"/>
    <cellStyle name="Normal 85 2 4" xfId="7257"/>
    <cellStyle name="Normal 85 3" xfId="4346"/>
    <cellStyle name="Normal 85 3 2" xfId="18197"/>
    <cellStyle name="Normal 85 3 3" xfId="14618"/>
    <cellStyle name="Normal 85 3 4" xfId="9361"/>
    <cellStyle name="Normal 85 4" xfId="6373"/>
    <cellStyle name="Normal 85 4 2" xfId="15457"/>
    <cellStyle name="Normal 85 5" xfId="14634"/>
    <cellStyle name="Normal 85 6" xfId="12512"/>
    <cellStyle name="Normal 85 7" xfId="4851"/>
    <cellStyle name="Normal 86" xfId="51"/>
    <cellStyle name="Normal 87" xfId="3319"/>
    <cellStyle name="Normal 87 2" xfId="3355"/>
    <cellStyle name="Normal 87 2 2" xfId="16122"/>
    <cellStyle name="Normal 87 2 3" xfId="12544"/>
    <cellStyle name="Normal 87 2 4" xfId="7253"/>
    <cellStyle name="Normal 87 3" xfId="4355"/>
    <cellStyle name="Normal 87 3 2" xfId="18205"/>
    <cellStyle name="Normal 87 3 3" xfId="14626"/>
    <cellStyle name="Normal 87 3 4" xfId="9369"/>
    <cellStyle name="Normal 87 4" xfId="6369"/>
    <cellStyle name="Normal 87 4 2" xfId="15453"/>
    <cellStyle name="Normal 87 5" xfId="14630"/>
    <cellStyle name="Normal 87 6" xfId="12471"/>
    <cellStyle name="Normal 87 7" xfId="4847"/>
    <cellStyle name="Normal 88" xfId="3370"/>
    <cellStyle name="Normal 88 2" xfId="19645"/>
    <cellStyle name="Normal 89" xfId="3372"/>
    <cellStyle name="Normal 9" xfId="120"/>
    <cellStyle name="Normal 9 2" xfId="290"/>
    <cellStyle name="Normal 9 2 10" xfId="4527"/>
    <cellStyle name="Normal 9 2 2" xfId="864"/>
    <cellStyle name="Normal 9 2 2 2" xfId="2584"/>
    <cellStyle name="Normal 9 2 2 2 2" xfId="16119"/>
    <cellStyle name="Normal 9 2 2 2 3" xfId="12541"/>
    <cellStyle name="Normal 9 2 2 2 4" xfId="7250"/>
    <cellStyle name="Normal 9 2 2 3" xfId="3853"/>
    <cellStyle name="Normal 9 2 2 3 2" xfId="17498"/>
    <cellStyle name="Normal 9 2 2 3 3" xfId="13919"/>
    <cellStyle name="Normal 9 2 2 3 4" xfId="8662"/>
    <cellStyle name="Normal 9 2 2 4" xfId="6366"/>
    <cellStyle name="Normal 9 2 2 4 2" xfId="15450"/>
    <cellStyle name="Normal 9 2 2 5" xfId="10116"/>
    <cellStyle name="Normal 9 2 2 5 2" xfId="18943"/>
    <cellStyle name="Normal 9 2 2 6" xfId="11562"/>
    <cellStyle name="Normal 9 2 2 7" xfId="4844"/>
    <cellStyle name="Normal 9 2 3" xfId="1212"/>
    <cellStyle name="Normal 9 2 3 2" xfId="2932"/>
    <cellStyle name="Normal 9 2 3 2 2" xfId="16481"/>
    <cellStyle name="Normal 9 2 3 2 3" xfId="12903"/>
    <cellStyle name="Normal 9 2 3 2 4" xfId="7613"/>
    <cellStyle name="Normal 9 2 3 3" xfId="4201"/>
    <cellStyle name="Normal 9 2 3 3 2" xfId="17846"/>
    <cellStyle name="Normal 9 2 3 3 3" xfId="14267"/>
    <cellStyle name="Normal 9 2 3 3 4" xfId="9010"/>
    <cellStyle name="Normal 9 2 3 4" xfId="6729"/>
    <cellStyle name="Normal 9 2 3 4 2" xfId="15813"/>
    <cellStyle name="Normal 9 2 3 5" xfId="10464"/>
    <cellStyle name="Normal 9 2 3 5 2" xfId="19291"/>
    <cellStyle name="Normal 9 2 3 6" xfId="11910"/>
    <cellStyle name="Normal 9 2 3 7" xfId="5207"/>
    <cellStyle name="Normal 9 2 4" xfId="1683"/>
    <cellStyle name="Normal 9 2 4 2" xfId="3277"/>
    <cellStyle name="Normal 9 2 4 2 2" xfId="16827"/>
    <cellStyle name="Normal 9 2 4 2 3" xfId="13248"/>
    <cellStyle name="Normal 9 2 4 2 4" xfId="7959"/>
    <cellStyle name="Normal 9 2 4 3" xfId="4341"/>
    <cellStyle name="Normal 9 2 4 3 2" xfId="18191"/>
    <cellStyle name="Normal 9 2 4 3 3" xfId="14612"/>
    <cellStyle name="Normal 9 2 4 3 4" xfId="9355"/>
    <cellStyle name="Normal 9 2 4 4" xfId="6047"/>
    <cellStyle name="Normal 9 2 4 4 2" xfId="15133"/>
    <cellStyle name="Normal 9 2 4 5" xfId="10809"/>
    <cellStyle name="Normal 9 2 4 5 2" xfId="19636"/>
    <cellStyle name="Normal 9 2 4 6" xfId="12255"/>
    <cellStyle name="Normal 9 2 4 7" xfId="5553"/>
    <cellStyle name="Normal 9 2 5" xfId="2234"/>
    <cellStyle name="Normal 9 2 5 2" xfId="15976"/>
    <cellStyle name="Normal 9 2 5 3" xfId="12301"/>
    <cellStyle name="Normal 9 2 5 4" xfId="6933"/>
    <cellStyle name="Normal 9 2 6" xfId="3503"/>
    <cellStyle name="Normal 9 2 6 2" xfId="17148"/>
    <cellStyle name="Normal 9 2 6 3" xfId="13569"/>
    <cellStyle name="Normal 9 2 6 4" xfId="8312"/>
    <cellStyle name="Normal 9 2 7" xfId="5873"/>
    <cellStyle name="Normal 9 2 7 2" xfId="14959"/>
    <cellStyle name="Normal 9 2 8" xfId="9766"/>
    <cellStyle name="Normal 9 2 8 2" xfId="18593"/>
    <cellStyle name="Normal 9 2 9" xfId="11210"/>
    <cellStyle name="Normal 9 2_Degree data" xfId="1838"/>
    <cellStyle name="Normal 90" xfId="3818"/>
    <cellStyle name="Normal 91" xfId="4349"/>
    <cellStyle name="Normal 92" xfId="5557"/>
    <cellStyle name="Normal 92 2" xfId="19646"/>
    <cellStyle name="Normal 93" xfId="6731"/>
    <cellStyle name="Normal 93 2" xfId="19647"/>
    <cellStyle name="Normal 94" xfId="9371"/>
    <cellStyle name="Normal 94 2" xfId="19649"/>
    <cellStyle name="Normal 95" xfId="9370"/>
    <cellStyle name="Normal 95 2" xfId="19648"/>
    <cellStyle name="Normal 96" xfId="9375"/>
    <cellStyle name="Normal 96 2" xfId="19650"/>
    <cellStyle name="Normal 97" xfId="9376"/>
    <cellStyle name="Normal 97 2" xfId="19651"/>
    <cellStyle name="Normal 98" xfId="52"/>
    <cellStyle name="Normal 99" xfId="9378"/>
    <cellStyle name="Normal 99 2" xfId="19653"/>
    <cellStyle name="Normal_03TTA09mastersurvey" xfId="15"/>
    <cellStyle name="Normal_05InstructionTypes09mastersurvey" xfId="2"/>
    <cellStyle name="Normal_Degree02 Form" xfId="17"/>
    <cellStyle name="Normal_Degree02 Form 2" xfId="5"/>
    <cellStyle name="Normal_Degree02 Form 3" xfId="3304"/>
    <cellStyle name="Normal_Degrees02 Form" xfId="16"/>
    <cellStyle name="Normal_Degrees02 Form 2" xfId="18"/>
    <cellStyle name="Normal_Degrees02 Form 3" xfId="19657"/>
    <cellStyle name="Normal_E-learning04 Form" xfId="4"/>
    <cellStyle name="Normal_InstructionTypes07" xfId="3"/>
    <cellStyle name="Normal_SCH&amp;FTE02 Form" xfId="471"/>
    <cellStyle name="Normal_SCH&amp;FTE03 Form" xfId="19656"/>
    <cellStyle name="Normal_StProg01B" xfId="19654"/>
    <cellStyle name="Normal_StProg01B 2" xfId="8"/>
    <cellStyle name="Normal_StProg02 Form" xfId="472"/>
    <cellStyle name="Normal_StProg02 Form 2" xfId="19658"/>
    <cellStyle name="Normal_Tuition02 Form" xfId="19655"/>
    <cellStyle name="Note 2" xfId="3335"/>
    <cellStyle name="Note 2 2" xfId="3293"/>
    <cellStyle name="Note 2 3" xfId="3316"/>
    <cellStyle name="Note 2 4" xfId="3369"/>
    <cellStyle name="Note 2 4 2" xfId="16482"/>
    <cellStyle name="Note 2 4 3" xfId="12904"/>
    <cellStyle name="Note 2 4 4" xfId="7614"/>
    <cellStyle name="Note 2 5" xfId="3378"/>
    <cellStyle name="Note 2 5 2" xfId="16877"/>
    <cellStyle name="Note 2 5 3" xfId="13298"/>
    <cellStyle name="Note 2 5 4" xfId="8041"/>
    <cellStyle name="Note 2 6" xfId="6730"/>
    <cellStyle name="Note 2 6 2" xfId="15814"/>
    <cellStyle name="Note 2 7" xfId="14643"/>
    <cellStyle name="Note 2 8" xfId="12506"/>
    <cellStyle name="Note 2 9" xfId="5208"/>
    <cellStyle name="Note 3" xfId="3331"/>
    <cellStyle name="Note 4" xfId="3299"/>
    <cellStyle name="Output 2" xfId="3345"/>
    <cellStyle name="Output 3" xfId="3300"/>
    <cellStyle name="Percent" xfId="1" builtinId="5"/>
    <cellStyle name="Percent 2" xfId="23"/>
    <cellStyle name="Percent 2 2" xfId="125"/>
    <cellStyle name="Percent 2 2 2" xfId="170"/>
    <cellStyle name="Percent 2 2 3" xfId="160"/>
    <cellStyle name="Percent 2 3" xfId="93"/>
    <cellStyle name="Percent 2 3 2" xfId="3295"/>
    <cellStyle name="Percent 3" xfId="24"/>
    <cellStyle name="Percent 4" xfId="28"/>
    <cellStyle name="Percent 5" xfId="96"/>
    <cellStyle name="Percent 6" xfId="54"/>
    <cellStyle name="Percent 6 2" xfId="3287"/>
    <cellStyle name="questionable" xfId="55"/>
    <cellStyle name="questionable 2" xfId="110"/>
    <cellStyle name="review" xfId="56"/>
    <cellStyle name="Title 2" xfId="3284"/>
    <cellStyle name="Total 2" xfId="3294"/>
    <cellStyle name="Total 3" xfId="3343"/>
    <cellStyle name="Warning Text 2" xfId="3342"/>
  </cellStyles>
  <dxfs count="656">
    <dxf>
      <fill>
        <patternFill patternType="none">
          <bgColor auto="1"/>
        </patternFill>
      </fill>
    </dxf>
    <dxf>
      <border>
        <left/>
      </border>
    </dxf>
    <dxf>
      <border>
        <left/>
      </border>
    </dxf>
    <dxf>
      <border>
        <left/>
      </border>
    </dxf>
    <dxf>
      <border>
        <left/>
      </border>
    </dxf>
    <dxf>
      <border>
        <left/>
      </border>
    </dxf>
    <dxf>
      <border>
        <left/>
      </border>
    </dxf>
    <dxf>
      <border>
        <left/>
      </border>
    </dxf>
    <dxf>
      <border>
        <left/>
      </border>
    </dxf>
    <dxf>
      <border>
        <lef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font>
    </dxf>
    <dxf>
      <fill>
        <patternFill patternType="none">
          <bgColor auto="1"/>
        </patternFill>
      </fill>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font>
    </dxf>
    <dxf>
      <font>
        <b/>
      </font>
    </dxf>
    <dxf>
      <font>
        <b/>
      </font>
    </dxf>
    <dxf>
      <font>
        <b/>
      </font>
    </dxf>
    <dxf>
      <font>
        <b/>
      </font>
    </dxf>
    <dxf>
      <font>
        <b/>
      </font>
    </dxf>
    <dxf>
      <font>
        <b/>
      </font>
    </dxf>
    <dxf>
      <font>
        <b/>
      </font>
    </dxf>
    <dxf>
      <font>
        <b/>
      </font>
    </dxf>
    <dxf>
      <font>
        <color indexed="23"/>
      </font>
    </dxf>
    <dxf>
      <font>
        <color indexed="23"/>
      </font>
    </dxf>
    <dxf>
      <font>
        <color indexed="61"/>
      </font>
    </dxf>
    <dxf>
      <font>
        <color indexed="61"/>
      </font>
    </dxf>
    <dxf>
      <font>
        <color indexed="61"/>
      </font>
    </dxf>
    <dxf>
      <font>
        <color indexed="17"/>
      </font>
    </dxf>
    <dxf>
      <font>
        <color indexed="17"/>
      </font>
    </dxf>
    <dxf>
      <font>
        <color indexed="53"/>
      </font>
    </dxf>
    <dxf>
      <font>
        <color indexed="53"/>
      </font>
    </dxf>
    <dxf>
      <font>
        <color indexed="53"/>
      </font>
    </dxf>
    <dxf>
      <numFmt numFmtId="165" formatCode="_(* #,##0_);_(* \(#,##0\);_(* &quot;-&quot;??_);_(@_)"/>
    </dxf>
    <dxf>
      <fill>
        <patternFill patternType="none"/>
      </fill>
    </dxf>
    <dxf>
      <border>
        <bottom style="thin">
          <color indexed="64"/>
        </bottom>
      </border>
    </dxf>
    <dxf>
      <border>
        <bottom style="thin">
          <color indexed="64"/>
        </bottom>
      </border>
    </dxf>
    <dxf>
      <border>
        <bottom style="thin">
          <color indexed="64"/>
        </bottom>
      </border>
    </dxf>
    <dxf>
      <border>
        <bottom style="thin">
          <color indexed="8"/>
        </bottom>
      </border>
    </dxf>
    <dxf>
      <border>
        <top style="thin">
          <color indexed="8"/>
        </top>
      </border>
    </dxf>
    <dxf>
      <border>
        <top style="thin">
          <color indexed="8"/>
        </top>
      </border>
    </dxf>
    <dxf>
      <border>
        <top style="thin">
          <color indexed="8"/>
        </top>
      </border>
    </dxf>
    <dxf>
      <border>
        <top style="thin">
          <color indexed="8"/>
        </top>
      </border>
    </dxf>
    <dxf>
      <border>
        <bottom style="thin">
          <color indexed="64"/>
        </bottom>
      </border>
    </dxf>
    <dxf>
      <border>
        <bottom style="thin">
          <color indexed="64"/>
        </bottom>
      </border>
    </dxf>
    <dxf>
      <border>
        <top/>
      </border>
    </dxf>
    <dxf>
      <fill>
        <patternFill patternType="solid">
          <bgColor indexed="43"/>
        </patternFill>
      </fill>
    </dxf>
    <dxf>
      <fill>
        <patternFill patternType="solid">
          <bgColor indexed="51"/>
        </patternFill>
      </fill>
    </dxf>
    <dxf>
      <fill>
        <patternFill patternType="solid">
          <bgColor indexed="45"/>
        </patternFill>
      </fill>
    </dxf>
    <dxf>
      <fill>
        <patternFill patternType="solid">
          <bgColor indexed="47"/>
        </patternFill>
      </fill>
    </dxf>
    <dxf>
      <font>
        <b val="0"/>
      </font>
    </dxf>
    <dxf>
      <font>
        <b val="0"/>
      </font>
    </dxf>
    <dxf>
      <border>
        <top style="thin">
          <color indexed="8"/>
        </top>
        <bottom/>
      </border>
    </dxf>
    <dxf>
      <font>
        <b/>
      </font>
    </dxf>
    <dxf>
      <border>
        <top style="thin">
          <color indexed="8"/>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3" formatCode="0%"/>
    </dxf>
    <dxf>
      <numFmt numFmtId="13" formatCode="0%"/>
    </dxf>
    <dxf>
      <numFmt numFmtId="13" formatCode="0%"/>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border>
        <bottom style="medium">
          <color indexed="8"/>
        </bottom>
      </border>
    </dxf>
    <dxf>
      <border>
        <bottom style="medium">
          <color indexed="8"/>
        </bottom>
      </border>
    </dxf>
    <dxf>
      <border>
        <bottom style="medium">
          <color indexed="8"/>
        </bottom>
      </border>
    </dxf>
    <dxf>
      <fill>
        <patternFill patternType="none">
          <bgColor auto="1"/>
        </patternFill>
      </fill>
    </dxf>
    <dxf>
      <border>
        <right/>
      </border>
    </dxf>
    <dxf>
      <border>
        <right/>
      </border>
    </dxf>
    <dxf>
      <border>
        <right/>
      </border>
    </dxf>
    <dxf>
      <border>
        <right/>
      </border>
    </dxf>
    <dxf>
      <border>
        <right/>
      </border>
    </dxf>
    <dxf>
      <border>
        <left style="thin">
          <color indexed="64"/>
        </left>
      </border>
    </dxf>
    <dxf>
      <border>
        <left style="thin">
          <color indexed="64"/>
        </left>
      </border>
    </dxf>
    <dxf>
      <border>
        <left style="thin">
          <color indexed="64"/>
        </left>
      </border>
    </dxf>
    <dxf>
      <font>
        <color auto="1"/>
      </font>
    </dxf>
    <dxf>
      <fill>
        <patternFill patternType="none">
          <bgColor auto="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border>
        <top style="thin">
          <color indexed="64"/>
        </top>
      </border>
    </dxf>
    <dxf>
      <border>
        <right style="thin">
          <color indexed="64"/>
        </right>
      </border>
    </dxf>
    <dxf>
      <border>
        <left/>
      </border>
    </dxf>
    <dxf>
      <border>
        <left/>
      </border>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b val="0"/>
      </font>
    </dxf>
    <dxf>
      <font>
        <b val="0"/>
      </font>
    </dxf>
    <dxf>
      <font>
        <b val="0"/>
      </font>
    </dxf>
    <dxf>
      <font>
        <b val="0"/>
      </font>
    </dxf>
    <dxf>
      <font>
        <b val="0"/>
      </font>
    </dxf>
    <dxf>
      <font>
        <b/>
      </font>
    </dxf>
    <dxf>
      <border>
        <bottom style="thin">
          <color indexed="64"/>
        </bottom>
      </border>
    </dxf>
    <dxf>
      <numFmt numFmtId="166" formatCode="0.0%"/>
    </dxf>
    <dxf>
      <numFmt numFmtId="13" formatCode="0%"/>
    </dxf>
    <dxf>
      <numFmt numFmtId="13" formatCode="0%"/>
    </dxf>
    <dxf>
      <numFmt numFmtId="13" formatCode="0%"/>
    </dxf>
    <dxf>
      <font>
        <condense val="0"/>
        <extend val="0"/>
        <color indexed="10"/>
      </font>
    </dxf>
    <dxf>
      <font>
        <condense val="0"/>
        <extend val="0"/>
        <color indexed="10"/>
      </font>
    </dxf>
  </dxfs>
  <tableStyles count="0" defaultTableStyle="TableStyleMedium9" defaultPivotStyle="PivotStyleLight16"/>
  <colors>
    <mruColors>
      <color rgb="FF006600"/>
      <color rgb="FF0000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jmarks" refreshedDate="41311.547088310188" createdVersion="4" refreshedVersion="4" minRefreshableVersion="3" recordCount="561">
  <cacheSource type="worksheet">
    <worksheetSource ref="A6:AG6" sheet="E-learning credit hours"/>
  </cacheSource>
  <cacheFields count="74">
    <cacheField name="State" numFmtId="49">
      <sharedItems count="17">
        <s v="AL"/>
        <s v="AR"/>
        <s v="DE"/>
        <s v="FL"/>
        <s v="GA"/>
        <s v="KY"/>
        <s v="LA"/>
        <s v="MD"/>
        <s v="MS"/>
        <s v="NC"/>
        <s v="OK"/>
        <s v="SC"/>
        <s v="TN"/>
        <s v="TX"/>
        <s v="VA"/>
        <s v="WV"/>
        <s v="GA " u="1"/>
      </sharedItems>
    </cacheField>
    <cacheField name="Institution" numFmtId="0">
      <sharedItems containsBlank="1"/>
    </cacheField>
    <cacheField name="Note" numFmtId="0">
      <sharedItems containsBlank="1"/>
    </cacheField>
    <cacheField name="ID" numFmtId="0">
      <sharedItems containsBlank="1" containsMixedTypes="1" containsNumber="1" containsInteger="1" minValue="100654" maxValue="447582"/>
    </cacheField>
    <cacheField name="type" numFmtId="0">
      <sharedItems containsSemiMixedTypes="0" containsString="0" containsNumber="1" containsInteger="1" minValue="1" maxValue="99" count="16">
        <n v="1"/>
        <n v="2"/>
        <n v="3"/>
        <n v="4"/>
        <n v="5"/>
        <n v="6"/>
        <n v="8"/>
        <n v="9"/>
        <n v="10"/>
        <n v="12"/>
        <n v="13"/>
        <n v="7"/>
        <n v="15"/>
        <n v="99"/>
        <n v="14" u="1"/>
        <n v="16" u="1"/>
      </sharedItems>
      <fieldGroup par="70"/>
    </cacheField>
    <cacheField name="OLD-Tot UG SCH Calc" numFmtId="3">
      <sharedItems containsString="0" containsBlank="1" containsNumber="1" minValue="0" maxValue="1571735"/>
    </cacheField>
    <cacheField name="NEW-Tot UG SCH Calc" numFmtId="3">
      <sharedItems containsString="0" containsBlank="1" containsNumber="1" minValue="0" maxValue="1654124"/>
    </cacheField>
    <cacheField name="Old-UG OnC Trad" numFmtId="0">
      <sharedItems containsString="0" containsBlank="1" containsNumber="1" minValue="0" maxValue="1423962"/>
    </cacheField>
    <cacheField name="New-UG OnC Trad" numFmtId="0">
      <sharedItems containsString="0" containsBlank="1" containsNumber="1" minValue="0" maxValue="1203140"/>
    </cacheField>
    <cacheField name="Old-UG OffC Trad" numFmtId="0">
      <sharedItems containsString="0" containsBlank="1" containsNumber="1" minValue="0" maxValue="273747"/>
    </cacheField>
    <cacheField name="New-UG OffC Trad" numFmtId="0">
      <sharedItems containsString="0" containsBlank="1" containsNumber="1" minValue="0" maxValue="242139"/>
    </cacheField>
    <cacheField name="Old-UG EL Web" numFmtId="3">
      <sharedItems containsString="0" containsBlank="1" containsNumber="1" minValue="0" maxValue="365434"/>
    </cacheField>
    <cacheField name="Old-UG EL CV" numFmtId="3">
      <sharedItems containsBlank="1" containsMixedTypes="1" containsNumber="1" minValue="0" maxValue="34806"/>
    </cacheField>
    <cacheField name="Old-UG EL O" numFmtId="3">
      <sharedItems containsString="0" containsBlank="1" containsNumber="1" containsInteger="1" minValue="0" maxValue="155687"/>
    </cacheField>
    <cacheField name="New-UG EL Web" numFmtId="3">
      <sharedItems containsString="0" containsBlank="1" containsNumber="1" minValue="0" maxValue="425286"/>
    </cacheField>
    <cacheField name="New-UG EL CV" numFmtId="3">
      <sharedItems containsString="0" containsBlank="1" containsNumber="1" minValue="0" maxValue="32683"/>
    </cacheField>
    <cacheField name="New-UG EL O" numFmtId="3">
      <sharedItems containsString="0" containsBlank="1" containsNumber="1" containsInteger="1" minValue="0" maxValue="284541"/>
    </cacheField>
    <cacheField name="Old-UG Cor" numFmtId="3">
      <sharedItems containsString="0" containsBlank="1" containsNumber="1" containsInteger="1" minValue="0" maxValue="15618"/>
    </cacheField>
    <cacheField name="New-UG Cor" numFmtId="0">
      <sharedItems containsString="0" containsBlank="1" containsNumber="1" minValue="0" maxValue="9684"/>
    </cacheField>
    <cacheField name="Old-Tot G SCH Calc" numFmtId="3">
      <sharedItems containsString="0" containsBlank="1" containsNumber="1" minValue="0" maxValue="357500"/>
    </cacheField>
    <cacheField name="New-Tot G SCH Calc" numFmtId="3">
      <sharedItems containsString="0" containsBlank="1" containsNumber="1" minValue="0" maxValue="317112"/>
    </cacheField>
    <cacheField name="Old-G OnC Trad" numFmtId="3">
      <sharedItems containsString="0" containsBlank="1" containsNumber="1" minValue="0" maxValue="268094"/>
    </cacheField>
    <cacheField name="New-G OnC Trad" numFmtId="0">
      <sharedItems containsString="0" containsBlank="1" containsNumber="1" minValue="0" maxValue="268587"/>
    </cacheField>
    <cacheField name="Old-G OffC Trad" numFmtId="3">
      <sharedItems containsString="0" containsBlank="1" containsNumber="1" minValue="0" maxValue="35031"/>
    </cacheField>
    <cacheField name="New-G OffC Trad" numFmtId="0">
      <sharedItems containsString="0" containsBlank="1" containsNumber="1" minValue="0" maxValue="37212"/>
    </cacheField>
    <cacheField name="Old-G EL Web" numFmtId="3">
      <sharedItems containsString="0" containsBlank="1" containsNumber="1" minValue="0" maxValue="173875"/>
    </cacheField>
    <cacheField name="Old-G EL CV" numFmtId="3">
      <sharedItems containsString="0" containsBlank="1" containsNumber="1" minValue="0" maxValue="11811"/>
    </cacheField>
    <cacheField name="Old-G EL O" numFmtId="3">
      <sharedItems containsString="0" containsBlank="1" containsNumber="1" containsInteger="1" minValue="0" maxValue="46428"/>
    </cacheField>
    <cacheField name="New-G EL Web" numFmtId="0">
      <sharedItems containsString="0" containsBlank="1" containsNumber="1" minValue="0" maxValue="189917"/>
    </cacheField>
    <cacheField name="New-G EL CV" numFmtId="0">
      <sharedItems containsString="0" containsBlank="1" containsNumber="1" containsInteger="1" minValue="0" maxValue="11505"/>
    </cacheField>
    <cacheField name="New-G EL O" numFmtId="0">
      <sharedItems containsString="0" containsBlank="1" containsNumber="1" minValue="0" maxValue="9024"/>
    </cacheField>
    <cacheField name="Old-G Cor" numFmtId="0">
      <sharedItems containsString="0" containsBlank="1" containsNumber="1" containsInteger="1" minValue="0" maxValue="5639"/>
    </cacheField>
    <cacheField name="New-G Cor" numFmtId="0">
      <sharedItems containsString="0" containsBlank="1" containsNumber="1" containsInteger="1" minValue="0" maxValue="6327"/>
    </cacheField>
    <cacheField name="Old %UG OffC Trad" numFmtId="0" formula="IF('OLD-Tot UG SCH Calc'&gt;0,'Old-UG OffC Trad'/'OLD-Tot UG SCH Calc',)" databaseField="0"/>
    <cacheField name="Old %G OffC Trad" numFmtId="0" formula="IF('Old-Tot G SCH Calc'&gt;0,'Old-G OffC Trad'/'Old-Tot G SCH Calc',)" databaseField="0"/>
    <cacheField name="Old %G OnC Trad" numFmtId="0" formula="IF('Old-Tot G SCH Calc'&gt;0,'Old-G OnC Trad'/'Old-Tot G SCH Calc',)" databaseField="0"/>
    <cacheField name="New %G OnC Trad" numFmtId="0" formula="IF('New-Tot G SCH Calc'&gt;0,'New-G OnC Trad'/'New-Tot G SCH Calc',)" databaseField="0"/>
    <cacheField name="New %G OffC Trad" numFmtId="0" formula="IF('New-Tot G SCH Calc'&gt;0,'New-G OffC Trad'/'New-Tot G SCH Calc',)" databaseField="0"/>
    <cacheField name="Old %UG EL Web" numFmtId="0" formula="IF('OLD-Tot UG SCH Calc'&gt;0,'Old-UG EL Web'/'OLD-Tot UG SCH Calc',)" databaseField="0"/>
    <cacheField name="New %UG EL Web" numFmtId="0" formula="IF('NEW-Tot UG SCH Calc'&gt;0,'New-UG EL Web'/'NEW-Tot UG SCH Calc',)" databaseField="0"/>
    <cacheField name="New %G EL Web" numFmtId="0" formula="IF('New-Tot G SCH Calc'&gt;0,'New-G EL Web'/'New-Tot G SCH Calc',)" databaseField="0"/>
    <cacheField name="Old %G EL Web" numFmtId="0" formula="IF('Old-Tot G SCH Calc'&gt;0,'Old-G EL Web'/'Old-Tot G SCH Calc',)" databaseField="0"/>
    <cacheField name="Old %G EL CV" numFmtId="0" formula="IF('Old-Tot G SCH Calc'&gt;0,'Old-G EL CV'/'Old-Tot G SCH Calc',)" databaseField="0"/>
    <cacheField name="New %G EL CV" numFmtId="0" formula="IF('New-Tot G SCH Calc'&gt;0,'New-G EL CV'/'New-Tot G SCH Calc',)" databaseField="0"/>
    <cacheField name="New %UG EL CV" numFmtId="0" formula="IF('NEW-Tot UG SCH Calc'&gt;0,'New-UG EL CV'/'NEW-Tot UG SCH Calc',)" databaseField="0"/>
    <cacheField name="Old %UG EL CV" numFmtId="0" formula="IF('OLD-Tot UG SCH Calc'&gt;0,'Old-UG EL CV'/'OLD-Tot UG SCH Calc',)" databaseField="0"/>
    <cacheField name="Old %UG EL O" numFmtId="0" formula="IF('OLD-Tot UG SCH Calc'&gt;0,'Old-UG EL O'/'OLD-Tot UG SCH Calc',)" databaseField="0"/>
    <cacheField name="New %UG EL O" numFmtId="0" formula="IF('NEW-Tot UG SCH Calc'&gt;0,'New-UG EL O'/'NEW-Tot UG SCH Calc',)" databaseField="0"/>
    <cacheField name="New %G EL O" numFmtId="0" formula="IF('New-Tot G SCH Calc'&gt;0,'New-G EL O'/'New-Tot G SCH Calc',)" databaseField="0"/>
    <cacheField name="Old %G EL O" numFmtId="0" formula="IF('Old-Tot G SCH Calc'&gt;0,'Old-G EL O'/'Old-Tot G SCH Calc',)" databaseField="0"/>
    <cacheField name="Old %G Cor" numFmtId="0" formula="IF('Old-Tot G SCH Calc'&gt;0,'Old-G Cor'/'Old-Tot G SCH Calc',)" databaseField="0"/>
    <cacheField name="New %G Cor" numFmtId="0" formula="IF('New-Tot G SCH Calc'&gt;0,'New-G Cor'/'New-Tot G SCH Calc',)" databaseField="0"/>
    <cacheField name="New %UG Cor" numFmtId="0" formula="IF('NEW-Tot UG SCH Calc'&gt;0,'New-UG Cor'/'NEW-Tot UG SCH Calc',)" databaseField="0"/>
    <cacheField name="Old %UG Cor" numFmtId="0" formula="IF('OLD-Tot UG SCH Calc'&gt;0,'Old-UG Cor'/'OLD-Tot UG SCH Calc',)" databaseField="0"/>
    <cacheField name="Change %UG OnC Trad" numFmtId="0" formula="IF(('Old %UG OnC Trad'&gt;0),('New %UG OnC Trad'-'Old %UG OnC Trad'),)*100" databaseField="0"/>
    <cacheField name="Change %G OnC Trad" numFmtId="0" formula="IF('Old %G OnC Trad'&gt;0,('New %G OnC Trad'-'Old %G OnC Trad'),)*100" databaseField="0"/>
    <cacheField name="Change %G OffC Trad" numFmtId="0" formula="IF('Old %G OffC Trad'&gt;0,('New %G OffC Trad'-'Old %G OffC Trad'),)*100" databaseField="0"/>
    <cacheField name="Change %UG OffC Trad" numFmtId="0" formula="IF('Old %UG OffC Trad'&gt;0,('New %UG OffC Trad'-'Old %UG OffC Trad'),)*100" databaseField="0"/>
    <cacheField name="Change %UG EL Web" numFmtId="0" formula="IF('Old %UG EL Web'&gt;0,('New %UG EL Web'-'Old %UG EL Web'),)*100" databaseField="0"/>
    <cacheField name="Change %G EL Web" numFmtId="0" formula="IF('Old %G EL Web'&gt;0,('New %G EL Web'-'Old %G EL Web'),)*100" databaseField="0"/>
    <cacheField name="Change %G EL CV" numFmtId="0" formula="IF('Old %G EL CV'&gt;0,('New %G EL CV'-'Old %G EL CV'),)*100" databaseField="0"/>
    <cacheField name="Change %UG EL CV" numFmtId="0" formula="IF('Old %UG EL CV'&gt;0,('New %UG EL CV'-'Old %UG EL CV'),)*100" databaseField="0"/>
    <cacheField name="Change %UG EL O" numFmtId="0" formula="IF('Old %UG EL O'&gt;0,('New %UG EL O'-'Old %UG EL O'),)*100" databaseField="0"/>
    <cacheField name="Change %G EL O" numFmtId="0" formula="IF('Old %G EL O'&gt;0,('New %G EL O'-'Old %G EL O'),)*100" databaseField="0"/>
    <cacheField name="Change %G Cor" numFmtId="0" formula="IF('Old %G Cor'&gt;0,('New %G Cor'-'Old %G Cor'),)*100" databaseField="0"/>
    <cacheField name="Change %UG Cor" numFmtId="0" formula="IF('Old %UG Cor'&gt;0,('New %UG Cor'-'Old %UG Cor'),)*100" databaseField="0"/>
    <cacheField name="Old UG E-Learning" numFmtId="0" formula="'Old-UG EL Web'+'Old-UG EL CV'+'Old-UG EL O'" databaseField="0"/>
    <cacheField name="Old G E-Learning" numFmtId="0" formula="'Old-G EL Web'+'Old-G EL CV'+'Old-G EL O'" databaseField="0"/>
    <cacheField name="New UG E-Learning" numFmtId="0" formula="'New-UG EL Web'+'New-UG EL CV'+'New-UG EL O'" databaseField="0"/>
    <cacheField name="New G E-Learning" numFmtId="0" formula="'New-G EL Web'+'New-G EL CV'+'New-G EL O'" databaseField="0"/>
    <cacheField name="type2" numFmtId="0" databaseField="0">
      <fieldGroup base="4">
        <discretePr count="16">
          <x v="2"/>
          <x v="2"/>
          <x v="2"/>
          <x v="2"/>
          <x v="2"/>
          <x v="2"/>
          <x v="3"/>
          <x v="3"/>
          <x v="3"/>
          <x v="4"/>
          <x v="4"/>
          <x v="3"/>
          <x v="2"/>
          <x v="2"/>
          <x v="0"/>
          <x v="1"/>
        </discretePr>
        <groupItems count="5">
          <n v="14"/>
          <n v="16"/>
          <s v="Group1"/>
          <s v="Group2"/>
          <s v="Group3"/>
        </groupItems>
      </fieldGroup>
    </cacheField>
    <cacheField name="New %UG OffC Trad" numFmtId="0" formula="IF('NEW-Tot UG SCH Calc'&gt;0,'New-UG OffC Trad'/'NEW-Tot UG SCH Calc',)" databaseField="0"/>
    <cacheField name="New %UG OnC Trad" numFmtId="0" formula="IF('NEW-Tot UG SCH Calc'&gt;0,'New-UG OnC Trad'/'NEW-Tot UG SCH Calc',)" databaseField="0"/>
    <cacheField name="Old %UG OnC Trad" numFmtId="0" formula="IF('OLD-Tot UG SCH Calc'&gt;0,'Old-UG OnC Trad'/'OLD-Tot UG SCH Calc',)"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isa Cowan" refreshedDate="41687.624025115743" createdVersion="4" refreshedVersion="4" minRefreshableVersion="3" recordCount="614">
  <cacheSource type="worksheet">
    <worksheetSource ref="A6:AG606" sheet="E-learning credit hours"/>
  </cacheSource>
  <cacheFields count="74">
    <cacheField name="State" numFmtId="49">
      <sharedItems count="16">
        <s v="AL"/>
        <s v="AR"/>
        <s v="DE"/>
        <s v="FL"/>
        <s v="GA"/>
        <s v="KY"/>
        <s v="LA"/>
        <s v="MD"/>
        <s v="MS"/>
        <s v="NC"/>
        <s v="OK"/>
        <s v="SC"/>
        <s v="TN"/>
        <s v="TX"/>
        <s v="VA"/>
        <s v="WV"/>
      </sharedItems>
    </cacheField>
    <cacheField name="Institution" numFmtId="0">
      <sharedItems containsBlank="1"/>
    </cacheField>
    <cacheField name="Note" numFmtId="0">
      <sharedItems containsBlank="1"/>
    </cacheField>
    <cacheField name="ID" numFmtId="0">
      <sharedItems containsBlank="1" containsMixedTypes="1" containsNumber="1" containsInteger="1" minValue="100654" maxValue="870501"/>
    </cacheField>
    <cacheField name="type" numFmtId="0">
      <sharedItems containsString="0" containsBlank="1" containsNumber="1" containsInteger="1" minValue="1" maxValue="99" count="17">
        <n v="1"/>
        <n v="2"/>
        <n v="3"/>
        <n v="4"/>
        <n v="5"/>
        <n v="6"/>
        <n v="8"/>
        <n v="9"/>
        <n v="10"/>
        <n v="12"/>
        <n v="13"/>
        <n v="15"/>
        <n v="7"/>
        <m/>
        <n v="99"/>
        <n v="14" u="1"/>
        <n v="16" u="1"/>
      </sharedItems>
      <fieldGroup par="70"/>
    </cacheField>
    <cacheField name="OLD-Tot UG SCH Calc" numFmtId="3">
      <sharedItems containsString="0" containsBlank="1" containsNumber="1" minValue="0" maxValue="1654124"/>
    </cacheField>
    <cacheField name="NEW-Tot UG SCH Calc" numFmtId="3">
      <sharedItems containsString="0" containsBlank="1" containsNumber="1" minValue="0" maxValue="1596112"/>
    </cacheField>
    <cacheField name="Old-UG OnC Trad" numFmtId="3">
      <sharedItems containsString="0" containsBlank="1" containsNumber="1" minValue="0" maxValue="1203140"/>
    </cacheField>
    <cacheField name="New-UG OnC Trad" numFmtId="0">
      <sharedItems containsString="0" containsBlank="1" containsNumber="1" minValue="2902" maxValue="1331322"/>
    </cacheField>
    <cacheField name="Old-UG OffC Trad" numFmtId="3">
      <sharedItems containsString="0" containsBlank="1" containsNumber="1" minValue="0" maxValue="242139"/>
    </cacheField>
    <cacheField name="New-UG OffC Trad" numFmtId="0">
      <sharedItems containsString="0" containsBlank="1" containsNumber="1" minValue="0" maxValue="275061"/>
    </cacheField>
    <cacheField name="Old-UG EL Web" numFmtId="3">
      <sharedItems containsString="0" containsBlank="1" containsNumber="1" minValue="0" maxValue="425286"/>
    </cacheField>
    <cacheField name="Old-UG EL CV" numFmtId="3">
      <sharedItems containsString="0" containsBlank="1" containsNumber="1" minValue="0" maxValue="32683"/>
    </cacheField>
    <cacheField name="Old-UG EL O" numFmtId="3">
      <sharedItems containsString="0" containsBlank="1" containsNumber="1" containsInteger="1" minValue="0" maxValue="284541"/>
    </cacheField>
    <cacheField name="New-UG EL Web" numFmtId="0">
      <sharedItems containsString="0" containsBlank="1" containsNumber="1" minValue="0" maxValue="523939"/>
    </cacheField>
    <cacheField name="New-UG EL CV" numFmtId="0">
      <sharedItems containsString="0" containsBlank="1" containsNumber="1" containsInteger="1" minValue="0" maxValue="34494"/>
    </cacheField>
    <cacheField name="New-UG EL O" numFmtId="0">
      <sharedItems containsString="0" containsBlank="1" containsNumber="1" containsInteger="1" minValue="0" maxValue="114029"/>
    </cacheField>
    <cacheField name="Old-UG Cor" numFmtId="3">
      <sharedItems containsString="0" containsBlank="1" containsNumber="1" minValue="0" maxValue="9684"/>
    </cacheField>
    <cacheField name="New-UG Cor" numFmtId="0">
      <sharedItems containsString="0" containsBlank="1" containsNumber="1" containsInteger="1" minValue="0" maxValue="10908"/>
    </cacheField>
    <cacheField name="Old-Tot G SCH Calc" numFmtId="3">
      <sharedItems containsString="0" containsBlank="1" containsNumber="1" minValue="0" maxValue="317112"/>
    </cacheField>
    <cacheField name="New-Tot G SCH Calc" numFmtId="3">
      <sharedItems containsString="0" containsBlank="1" containsNumber="1" minValue="0" maxValue="348931"/>
    </cacheField>
    <cacheField name="Old-G OnC Trad" numFmtId="3">
      <sharedItems containsString="0" containsBlank="1" containsNumber="1" minValue="0" maxValue="268587"/>
    </cacheField>
    <cacheField name="New-G OnC Trad" numFmtId="0">
      <sharedItems containsBlank="1" containsMixedTypes="1" containsNumber="1" minValue="0" maxValue="275402"/>
    </cacheField>
    <cacheField name="Old-G OffC Trad" numFmtId="3">
      <sharedItems containsString="0" containsBlank="1" containsNumber="1" minValue="0" maxValue="37212"/>
    </cacheField>
    <cacheField name="New-G OffC Trad" numFmtId="0">
      <sharedItems containsString="0" containsBlank="1" containsNumber="1" minValue="0" maxValue="33489"/>
    </cacheField>
    <cacheField name="Old-G EL Web" numFmtId="3">
      <sharedItems containsString="0" containsBlank="1" containsNumber="1" minValue="0" maxValue="189917"/>
    </cacheField>
    <cacheField name="Old-G EL CV" numFmtId="3">
      <sharedItems containsString="0" containsBlank="1" containsNumber="1" containsInteger="1" minValue="0" maxValue="11505"/>
    </cacheField>
    <cacheField name="Old-G EL O" numFmtId="3">
      <sharedItems containsString="0" containsBlank="1" containsNumber="1" minValue="0" maxValue="9024"/>
    </cacheField>
    <cacheField name="New-G EL Web" numFmtId="0">
      <sharedItems containsBlank="1" containsMixedTypes="1" containsNumber="1" minValue="0" maxValue="194030"/>
    </cacheField>
    <cacheField name="New-G EL CV" numFmtId="3">
      <sharedItems containsString="0" containsBlank="1" containsNumber="1" minValue="0" maxValue="10232"/>
    </cacheField>
    <cacheField name="New-G EL O" numFmtId="0">
      <sharedItems containsBlank="1" containsMixedTypes="1" containsNumber="1" minValue="0" maxValue="76364.5"/>
    </cacheField>
    <cacheField name="Old-G Cor" numFmtId="3">
      <sharedItems containsString="0" containsBlank="1" containsNumber="1" containsInteger="1" minValue="0" maxValue="6327"/>
    </cacheField>
    <cacheField name="New-G Cor" numFmtId="3">
      <sharedItems containsString="0" containsBlank="1" containsNumber="1" containsInteger="1" minValue="3" maxValue="6504"/>
    </cacheField>
    <cacheField name="New %G OnC Trad" numFmtId="0" formula="IF('New-Tot G SCH Calc'&gt;0,'New-G OnC Trad'/'New-Tot G SCH Calc',)" databaseField="0"/>
    <cacheField name="New %G OffC Trad" numFmtId="0" formula="IF('New-Tot G SCH Calc'&gt;0,'New-G OffC Trad'/'New-Tot G SCH Calc',)" databaseField="0"/>
    <cacheField name="Old %UG EL Web" numFmtId="0" formula="IF('OLD-Tot UG SCH Calc'&gt;0,'Old-UG EL Web'/'OLD-Tot UG SCH Calc',)" databaseField="0"/>
    <cacheField name="New %UG EL Web" numFmtId="0" formula="IF('NEW-Tot UG SCH Calc'&gt;0,'New-UG EL Web'/'NEW-Tot UG SCH Calc',)" databaseField="0"/>
    <cacheField name="New %G EL Web" numFmtId="0" formula="IF('New-Tot G SCH Calc'&gt;0,'New-G EL Web'/'New-Tot G SCH Calc',)" databaseField="0"/>
    <cacheField name="Old %G EL Web" numFmtId="0" formula="IF('Old-Tot G SCH Calc'&gt;0,'Old-G EL Web'/'Old-Tot G SCH Calc',)" databaseField="0"/>
    <cacheField name="Old %G EL CV" numFmtId="0" formula="IF('Old-Tot G SCH Calc'&gt;0,'Old-G EL CV'/'Old-Tot G SCH Calc',)" databaseField="0"/>
    <cacheField name="New %G EL CV" numFmtId="0" formula="IF('New-Tot G SCH Calc'&gt;0,'New-G EL CV'/'New-Tot G SCH Calc',)" databaseField="0"/>
    <cacheField name="New %UG EL CV" numFmtId="0" formula="IF('NEW-Tot UG SCH Calc'&gt;0,'New-UG EL CV'/'NEW-Tot UG SCH Calc',)" databaseField="0"/>
    <cacheField name="Old %UG EL CV" numFmtId="0" formula="IF('OLD-Tot UG SCH Calc'&gt;0,'Old-UG EL CV'/'OLD-Tot UG SCH Calc',)" databaseField="0"/>
    <cacheField name="Old %UG EL O" numFmtId="0" formula="IF('OLD-Tot UG SCH Calc'&gt;0,'Old-UG EL O'/'OLD-Tot UG SCH Calc',)" databaseField="0"/>
    <cacheField name="New %UG EL O" numFmtId="0" formula="IF('NEW-Tot UG SCH Calc'&gt;0,'New-UG EL O'/'NEW-Tot UG SCH Calc',)" databaseField="0"/>
    <cacheField name="New %G EL O" numFmtId="0" formula="IF('New-Tot G SCH Calc'&gt;0,'New-G EL O'/'New-Tot G SCH Calc',)" databaseField="0"/>
    <cacheField name="Old %G EL O" numFmtId="0" formula="IF('Old-Tot G SCH Calc'&gt;0,'Old-G EL O'/'Old-Tot G SCH Calc',)" databaseField="0"/>
    <cacheField name="Old %G Cor" numFmtId="0" formula="IF('Old-Tot G SCH Calc'&gt;0,'Old-G Cor'/'Old-Tot G SCH Calc',)" databaseField="0"/>
    <cacheField name="New %G Cor" numFmtId="0" formula="IF('New-Tot G SCH Calc'&gt;0,'New-G Cor'/'New-Tot G SCH Calc',)" databaseField="0"/>
    <cacheField name="New %UG Cor" numFmtId="0" formula="IF('NEW-Tot UG SCH Calc'&gt;0,'New-UG Cor'/'NEW-Tot UG SCH Calc',)" databaseField="0"/>
    <cacheField name="Old %UG Cor" numFmtId="0" formula="IF('OLD-Tot UG SCH Calc'&gt;0,'Old-UG Cor'/'OLD-Tot UG SCH Calc',)" databaseField="0"/>
    <cacheField name="Change %UG OnC Trad" numFmtId="0" formula="IF('Old %UG OnC Trad'&gt;0,('New %UG OnC Trad'-'Old %UG OnC Trad'),)*100" databaseField="0"/>
    <cacheField name="Change %G OnC Trad" numFmtId="0" formula="IF('Old %G OnC Trad'&gt;0,('New %G OnC Trad'-'Old %G OnC Trad'),)*100" databaseField="0"/>
    <cacheField name="Change %G OffC Trad" numFmtId="0" formula="IF('Old %G OffC Trad'&gt;0,('New %G OffC Trad'-'Old %G OffC Trad'),)*100" databaseField="0"/>
    <cacheField name="Change %UG OffC Trad" numFmtId="0" formula="IF('Old %UG OffC Trad'&gt;0,('New %UG OffC Trad'-'Old %UG OffC Trad'),)*100" databaseField="0"/>
    <cacheField name="Change %UG EL Web" numFmtId="0" formula="IF('Old %UG EL Web'&gt;0,('New %UG EL Web'-'Old %UG EL Web'),)*100" databaseField="0"/>
    <cacheField name="Change %G EL Web" numFmtId="0" formula="IF('Old %G EL Web'&gt;0,('New %G EL Web'-'Old %G EL Web'),)*100" databaseField="0"/>
    <cacheField name="Change %G EL CV" numFmtId="0" formula="IF('Old %G EL CV'&gt;0,('New %G EL CV'-'Old %G EL CV'),)*100" databaseField="0"/>
    <cacheField name="Change %UG EL CV" numFmtId="0" formula="IF('Old %UG EL CV'&gt;0,('New %UG EL CV'-'Old %UG EL CV'),)*100" databaseField="0"/>
    <cacheField name="Change %UG EL O" numFmtId="0" formula="IF('Old %UG EL O'&gt;0,('New %UG EL O'-'Old %UG EL O'),)*100" databaseField="0"/>
    <cacheField name="Change %G EL O" numFmtId="0" formula="IF('Old %G EL O'&gt;0,('New %G EL O'-'Old %G EL O'),)*100" databaseField="0"/>
    <cacheField name="Change %G Cor" numFmtId="0" formula="IF('Old %G Cor'&gt;0,('New %G Cor'-'Old %G Cor'),)*100" databaseField="0"/>
    <cacheField name="Change %UG Cor" numFmtId="0" formula="IF('Old %UG Cor'&gt;0,('New %UG Cor'-'Old %UG Cor'),)*100" databaseField="0"/>
    <cacheField name="Old UG E-Learning" numFmtId="0" formula="'Old-UG EL Web'+'Old-UG EL CV'+'Old-UG EL O'" databaseField="0"/>
    <cacheField name="Old G E-Learning" numFmtId="0" formula="'Old-G EL Web'+'Old-G EL CV'+'Old-G EL O'" databaseField="0"/>
    <cacheField name="New UG E-Learning" numFmtId="0" formula="'New-UG EL Web'+'New-UG EL CV'+'New-UG EL O'" databaseField="0"/>
    <cacheField name="New G E-Learning" numFmtId="0" formula="'New-G EL Web'+'New-G EL CV'+'New-G EL O'" databaseField="0"/>
    <cacheField name="New %UG OffC Trad" numFmtId="0" formula="IF('NEW-Tot UG SCH Calc'&gt;0,'New-UG OffC Trad'/'NEW-Tot UG SCH Calc',)" databaseField="0"/>
    <cacheField name="New %UG OnC Trad" numFmtId="0" formula="IF('NEW-Tot UG SCH Calc'&gt;0,'New-UG OnC Trad'/'NEW-Tot UG SCH Calc',)" databaseField="0"/>
    <cacheField name="Old %UG OnC Trad" numFmtId="0" formula="IF('OLD-Tot UG SCH Calc'&gt;0,'Old-UG OnC Trad'/'OLD-Tot UG SCH Calc',)" databaseField="0"/>
    <cacheField name="type2" numFmtId="0" databaseField="0">
      <fieldGroup base="4">
        <discretePr count="17">
          <x v="3"/>
          <x v="3"/>
          <x v="3"/>
          <x v="3"/>
          <x v="3"/>
          <x v="3"/>
          <x v="4"/>
          <x v="4"/>
          <x v="4"/>
          <x v="5"/>
          <x v="5"/>
          <x v="3"/>
          <x v="4"/>
          <x v="6"/>
          <x v="0"/>
          <x v="1"/>
          <x v="2"/>
        </discretePr>
        <groupItems count="7">
          <n v="99"/>
          <n v="14"/>
          <n v="16"/>
          <s v="Group1"/>
          <s v="Group2"/>
          <s v="Group3"/>
          <m/>
        </groupItems>
      </fieldGroup>
    </cacheField>
    <cacheField name="Old %G OnC Trad" numFmtId="0" formula="IF('Old-Tot G SCH Calc'&gt;0,'Old-G OnC Trad'/'Old-Tot G SCH Calc',)" databaseField="0"/>
    <cacheField name="Old %G OffC Trad" numFmtId="0" formula="IF('Old-Tot G SCH Calc'&gt;0,'Old-G OffC Trad'/'Old-Tot G SCH Calc',)" databaseField="0"/>
    <cacheField name="Old %UG OffC Trad" numFmtId="0" formula="IF('OLD-Tot UG SCH Calc'&gt;0,'Old-UG OffC Trad'/'OLD-Tot UG SCH Calc',)"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61">
  <r>
    <x v="0"/>
    <s v="Auburn University"/>
    <m/>
    <n v="100858"/>
    <x v="0"/>
    <n v="585421"/>
    <n v="593278"/>
    <n v="580096"/>
    <n v="587042"/>
    <n v="0"/>
    <n v="0"/>
    <n v="1917"/>
    <m/>
    <n v="3408"/>
    <n v="1355"/>
    <m/>
    <n v="4881"/>
    <m/>
    <m/>
    <n v="92318"/>
    <n v="95050"/>
    <n v="79913"/>
    <n v="82043"/>
    <n v="1957"/>
    <n v="1872"/>
    <n v="423"/>
    <m/>
    <n v="10025"/>
    <n v="2111"/>
    <m/>
    <n v="9024"/>
    <m/>
    <m/>
  </r>
  <r>
    <x v="0"/>
    <s v="University of Alabama "/>
    <m/>
    <n v="100751"/>
    <x v="0"/>
    <n v="701593"/>
    <n v="730281"/>
    <n v="661923"/>
    <n v="684175"/>
    <n v="1606"/>
    <n v="180"/>
    <n v="37563"/>
    <n v="477"/>
    <n v="24"/>
    <n v="45450"/>
    <n v="476"/>
    <n v="0"/>
    <n v="0"/>
    <n v="0"/>
    <n v="96154"/>
    <n v="99028"/>
    <n v="79946"/>
    <n v="80866"/>
    <n v="4819"/>
    <n v="5125"/>
    <n v="11034"/>
    <n v="334"/>
    <n v="21"/>
    <n v="12701"/>
    <n v="336"/>
    <n v="0"/>
    <n v="0"/>
    <n v="0"/>
  </r>
  <r>
    <x v="0"/>
    <s v="University of Alabama at Birmingham"/>
    <s v="Met the criteria for Four-Year 2 in 2010-11 and 2011-12."/>
    <n v="100663"/>
    <x v="0"/>
    <n v="262748"/>
    <n v="265083"/>
    <n v="239632"/>
    <n v="237131"/>
    <n v="535"/>
    <n v="182"/>
    <n v="22479"/>
    <n v="102"/>
    <m/>
    <n v="27629"/>
    <n v="141"/>
    <n v="0"/>
    <m/>
    <m/>
    <n v="46951"/>
    <n v="46544"/>
    <n v="42472"/>
    <n v="38860"/>
    <n v="604"/>
    <n v="1178"/>
    <n v="3638"/>
    <n v="237"/>
    <m/>
    <n v="6359"/>
    <n v="147"/>
    <n v="0"/>
    <m/>
    <m/>
  </r>
  <r>
    <x v="0"/>
    <s v="University of Alabama in Huntsville"/>
    <m/>
    <n v="100706"/>
    <x v="1"/>
    <n v="161061"/>
    <n v="155382"/>
    <n v="159070"/>
    <n v="152840"/>
    <m/>
    <m/>
    <n v="1985"/>
    <n v="6"/>
    <m/>
    <n v="2542"/>
    <m/>
    <m/>
    <m/>
    <m/>
    <n v="21952"/>
    <n v="23176"/>
    <n v="18372"/>
    <n v="19268"/>
    <m/>
    <m/>
    <n v="3535"/>
    <n v="33"/>
    <n v="12"/>
    <n v="3908"/>
    <m/>
    <m/>
    <m/>
    <m/>
  </r>
  <r>
    <x v="0"/>
    <s v="Alabama Agricultural &amp; Mechanical University"/>
    <m/>
    <n v="100654"/>
    <x v="2"/>
    <n v="134715"/>
    <n v="140916"/>
    <n v="134715"/>
    <n v="140916"/>
    <m/>
    <m/>
    <m/>
    <m/>
    <m/>
    <m/>
    <m/>
    <m/>
    <m/>
    <m/>
    <n v="15386"/>
    <n v="17299"/>
    <n v="15386"/>
    <n v="17299"/>
    <m/>
    <m/>
    <m/>
    <m/>
    <m/>
    <m/>
    <m/>
    <m/>
    <m/>
    <m/>
  </r>
  <r>
    <x v="0"/>
    <s v="Jacksonville State University "/>
    <m/>
    <n v="101480"/>
    <x v="2"/>
    <n v="206841"/>
    <n v="213835"/>
    <n v="162876"/>
    <n v="168492"/>
    <n v="5247"/>
    <n v="3711"/>
    <n v="36116"/>
    <n v="2602"/>
    <n v="0"/>
    <n v="39076"/>
    <n v="2556"/>
    <n v="0"/>
    <m/>
    <m/>
    <n v="24856"/>
    <n v="21835"/>
    <n v="14225"/>
    <n v="10251"/>
    <n v="0"/>
    <n v="0"/>
    <n v="10631"/>
    <n v="0"/>
    <n v="0"/>
    <n v="11530"/>
    <n v="54"/>
    <n v="0"/>
    <n v="0"/>
    <m/>
  </r>
  <r>
    <x v="0"/>
    <s v="Troy University"/>
    <m/>
    <n v="102368"/>
    <x v="2"/>
    <n v="347685"/>
    <n v="382545"/>
    <n v="244083"/>
    <n v="241718"/>
    <n v="4091"/>
    <n v="2791"/>
    <n v="96506"/>
    <n v="0"/>
    <n v="2999"/>
    <n v="137892"/>
    <n v="0"/>
    <n v="144"/>
    <n v="6"/>
    <n v="0"/>
    <n v="46658"/>
    <n v="53610"/>
    <n v="29257"/>
    <n v="29214"/>
    <n v="1140"/>
    <n v="930"/>
    <n v="12989"/>
    <n v="416"/>
    <n v="2856"/>
    <n v="20382"/>
    <n v="0"/>
    <n v="3084"/>
    <n v="0"/>
    <n v="0"/>
  </r>
  <r>
    <x v="0"/>
    <s v="University of South Alabama"/>
    <m/>
    <n v="102094"/>
    <x v="2"/>
    <n v="272728"/>
    <n v="272824"/>
    <n v="252814"/>
    <n v="244935"/>
    <n v="661"/>
    <n v="384"/>
    <n v="19253"/>
    <m/>
    <m/>
    <n v="27505"/>
    <m/>
    <m/>
    <m/>
    <m/>
    <n v="18705"/>
    <n v="16843"/>
    <n v="13849"/>
    <n v="12117"/>
    <n v="0"/>
    <n v="0"/>
    <n v="4856"/>
    <m/>
    <m/>
    <n v="4726"/>
    <m/>
    <m/>
    <m/>
    <m/>
  </r>
  <r>
    <x v="0"/>
    <s v="Alabama State University "/>
    <m/>
    <n v="100724"/>
    <x v="3"/>
    <n v="156404"/>
    <n v="156341"/>
    <n v="156083"/>
    <n v="153807"/>
    <n v="0"/>
    <m/>
    <n v="321"/>
    <m/>
    <m/>
    <n v="2534"/>
    <m/>
    <m/>
    <m/>
    <m/>
    <n v="16986"/>
    <n v="15442"/>
    <n v="15888"/>
    <n v="10704"/>
    <n v="369"/>
    <n v="104"/>
    <n v="687"/>
    <n v="42"/>
    <m/>
    <n v="4634"/>
    <m/>
    <m/>
    <m/>
    <m/>
  </r>
  <r>
    <x v="0"/>
    <s v="Auburn University at Montgomery"/>
    <m/>
    <n v="100830"/>
    <x v="3"/>
    <n v="122351"/>
    <n v="114305"/>
    <n v="105024"/>
    <n v="95878"/>
    <n v="2402"/>
    <n v="3610"/>
    <n v="14925"/>
    <m/>
    <m/>
    <n v="14817"/>
    <n v="0"/>
    <n v="0"/>
    <m/>
    <n v="0"/>
    <n v="16088"/>
    <n v="14461"/>
    <n v="11239"/>
    <n v="10012"/>
    <n v="192"/>
    <n v="99"/>
    <n v="4657"/>
    <m/>
    <m/>
    <n v="4350"/>
    <n v="0"/>
    <n v="0"/>
    <m/>
    <n v="0"/>
  </r>
  <r>
    <x v="0"/>
    <s v="University of North Alabama"/>
    <m/>
    <n v="101879"/>
    <x v="3"/>
    <n v="162883"/>
    <n v="161595"/>
    <n v="137854"/>
    <n v="135985"/>
    <m/>
    <m/>
    <n v="25029"/>
    <m/>
    <m/>
    <n v="25610"/>
    <m/>
    <m/>
    <m/>
    <m/>
    <n v="16055"/>
    <n v="15321"/>
    <n v="5288"/>
    <n v="5784"/>
    <n v="5198"/>
    <n v="2865"/>
    <n v="5569"/>
    <m/>
    <m/>
    <n v="6672"/>
    <m/>
    <m/>
    <m/>
    <m/>
  </r>
  <r>
    <x v="0"/>
    <s v="University of Montevallo"/>
    <m/>
    <n v="101709"/>
    <x v="4"/>
    <n v="72994"/>
    <n v="72476"/>
    <n v="72049"/>
    <n v="70485"/>
    <n v="219"/>
    <n v="147"/>
    <n v="726"/>
    <m/>
    <m/>
    <n v="1844"/>
    <m/>
    <m/>
    <m/>
    <m/>
    <n v="9559"/>
    <n v="11700"/>
    <n v="8706"/>
    <n v="9958"/>
    <n v="462"/>
    <n v="501"/>
    <n v="391"/>
    <m/>
    <m/>
    <n v="1241"/>
    <m/>
    <m/>
    <m/>
    <m/>
  </r>
  <r>
    <x v="0"/>
    <s v="University of West Alabama"/>
    <m/>
    <n v="101587"/>
    <x v="4"/>
    <n v="50352"/>
    <n v="52280"/>
    <n v="46176"/>
    <n v="47725"/>
    <n v="1108"/>
    <n v="652"/>
    <n v="3068"/>
    <m/>
    <m/>
    <n v="3903"/>
    <m/>
    <m/>
    <m/>
    <m/>
    <n v="48336"/>
    <n v="46585"/>
    <n v="5619"/>
    <n v="5125"/>
    <n v="186"/>
    <n v="54"/>
    <n v="42531"/>
    <m/>
    <m/>
    <n v="41406"/>
    <m/>
    <m/>
    <m/>
    <m/>
  </r>
  <r>
    <x v="0"/>
    <s v="Athens State University"/>
    <m/>
    <n v="100812"/>
    <x v="5"/>
    <n v="89190"/>
    <n v="85702"/>
    <n v="22004"/>
    <n v="20717"/>
    <n v="4023"/>
    <n v="3828"/>
    <n v="63163"/>
    <m/>
    <m/>
    <n v="61157"/>
    <m/>
    <m/>
    <m/>
    <m/>
    <n v="0"/>
    <n v="0"/>
    <m/>
    <m/>
    <m/>
    <m/>
    <m/>
    <m/>
    <m/>
    <m/>
    <m/>
    <m/>
    <m/>
    <m/>
  </r>
  <r>
    <x v="0"/>
    <s v="Gadsden State Community College"/>
    <s v="Reclassified: Met the criteria for Two-Year 1 in 2009-10, 2010-11 and 2011-12."/>
    <n v="101240"/>
    <x v="6"/>
    <n v="182660"/>
    <n v="175612"/>
    <n v="755"/>
    <n v="56761"/>
    <n v="145519"/>
    <n v="82100"/>
    <n v="36200"/>
    <n v="120"/>
    <n v="66"/>
    <n v="36631"/>
    <n v="60"/>
    <n v="60"/>
    <m/>
    <m/>
    <n v="0"/>
    <n v="0"/>
    <m/>
    <m/>
    <m/>
    <m/>
    <m/>
    <m/>
    <m/>
    <m/>
    <m/>
    <m/>
    <m/>
    <m/>
  </r>
  <r>
    <x v="0"/>
    <s v="Jefferson State Community College"/>
    <m/>
    <n v="101505"/>
    <x v="6"/>
    <n v="200118"/>
    <n v="202921"/>
    <n v="138726"/>
    <n v="133695"/>
    <n v="22704"/>
    <n v="24210"/>
    <n v="36946"/>
    <n v="1742"/>
    <n v="0"/>
    <n v="43392"/>
    <n v="1624"/>
    <n v="0"/>
    <m/>
    <m/>
    <n v="0"/>
    <n v="0"/>
    <m/>
    <m/>
    <m/>
    <m/>
    <m/>
    <m/>
    <m/>
    <m/>
    <m/>
    <m/>
    <m/>
    <m/>
  </r>
  <r>
    <x v="0"/>
    <s v="John C. Calhoun State Community College "/>
    <m/>
    <n v="101514"/>
    <x v="6"/>
    <n v="260777"/>
    <n v="262124"/>
    <n v="204487"/>
    <n v="203325"/>
    <n v="5767"/>
    <n v="5130"/>
    <n v="26187"/>
    <n v="0"/>
    <n v="24336"/>
    <n v="31317"/>
    <n v="0"/>
    <n v="22352"/>
    <m/>
    <m/>
    <n v="0"/>
    <n v="0"/>
    <m/>
    <m/>
    <m/>
    <m/>
    <m/>
    <m/>
    <m/>
    <m/>
    <m/>
    <m/>
    <m/>
    <m/>
  </r>
  <r>
    <x v="0"/>
    <s v="Wallace Community College - Hanceville"/>
    <s v="Reclassified: Met the criteria for Two-Year 1 in 2009-10, 2010-11 and 2011-12."/>
    <n v="101295"/>
    <x v="6"/>
    <n v="173062"/>
    <n v="160667"/>
    <n v="133878"/>
    <n v="124287"/>
    <n v="10663"/>
    <n v="8717"/>
    <n v="28437"/>
    <n v="0"/>
    <n v="84"/>
    <n v="27606"/>
    <n v="0"/>
    <n v="57"/>
    <m/>
    <m/>
    <n v="0"/>
    <n v="0"/>
    <m/>
    <m/>
    <m/>
    <m/>
    <m/>
    <m/>
    <m/>
    <m/>
    <m/>
    <m/>
    <m/>
    <m/>
  </r>
  <r>
    <x v="0"/>
    <s v="Bevill State Community College"/>
    <m/>
    <n v="102429"/>
    <x v="7"/>
    <n v="121792"/>
    <n v="107951"/>
    <n v="34513"/>
    <n v="30859"/>
    <n v="68105"/>
    <n v="56848"/>
    <n v="13954"/>
    <n v="5220"/>
    <n v="0"/>
    <n v="16317"/>
    <n v="3927"/>
    <n v="0"/>
    <m/>
    <m/>
    <n v="0"/>
    <n v="0"/>
    <m/>
    <m/>
    <m/>
    <m/>
    <m/>
    <m/>
    <m/>
    <m/>
    <m/>
    <m/>
    <m/>
    <m/>
  </r>
  <r>
    <x v="0"/>
    <s v="Bishop State Community College"/>
    <s v=" "/>
    <n v="102030"/>
    <x v="7"/>
    <n v="86410"/>
    <n v="90362"/>
    <n v="77376"/>
    <n v="81066"/>
    <n v="1819"/>
    <n v="1131"/>
    <n v="6411"/>
    <n v="0"/>
    <n v="804"/>
    <n v="7055"/>
    <n v="0"/>
    <n v="1110"/>
    <m/>
    <m/>
    <n v="0"/>
    <n v="0"/>
    <m/>
    <m/>
    <m/>
    <m/>
    <m/>
    <m/>
    <m/>
    <m/>
    <m/>
    <m/>
    <m/>
    <m/>
  </r>
  <r>
    <x v="0"/>
    <s v="Central Alabama Community College"/>
    <s v="Reclassified: Met the criteria for Two-Year 2 in 2009-10, 2010-11 and 2011-12."/>
    <n v="100760"/>
    <x v="7"/>
    <n v="66449"/>
    <n v="62427"/>
    <n v="47181"/>
    <n v="41513"/>
    <n v="7299"/>
    <n v="7097"/>
    <n v="11969"/>
    <n v="0"/>
    <n v="0"/>
    <n v="13810"/>
    <n v="0"/>
    <n v="0"/>
    <m/>
    <n v="7"/>
    <n v="0"/>
    <n v="0"/>
    <m/>
    <m/>
    <m/>
    <m/>
    <m/>
    <m/>
    <m/>
    <m/>
    <m/>
    <m/>
    <m/>
    <m/>
  </r>
  <r>
    <x v="0"/>
    <s v="Enterprise State Community College"/>
    <s v="Reclassified: Met the criteria for Two-Year 2 in 2009-10, 2010-11 and 2011-12. Formerly listed as Enterprise-Ozark Community College -- name changed in 2009."/>
    <n v="101143"/>
    <x v="7"/>
    <n v="83509"/>
    <n v="81749"/>
    <n v="64010"/>
    <n v="63546"/>
    <n v="13473"/>
    <n v="11301"/>
    <n v="6026"/>
    <n v="0"/>
    <n v="0"/>
    <n v="6902"/>
    <n v="0"/>
    <n v="0"/>
    <m/>
    <m/>
    <n v="0"/>
    <n v="0"/>
    <m/>
    <m/>
    <m/>
    <m/>
    <m/>
    <m/>
    <m/>
    <m/>
    <m/>
    <m/>
    <m/>
    <m/>
  </r>
  <r>
    <x v="0"/>
    <s v="George C. Wallace State Community College - Dothan"/>
    <m/>
    <n v="101286"/>
    <x v="7"/>
    <n v="126601"/>
    <n v="125259"/>
    <n v="86556"/>
    <n v="84094"/>
    <n v="19383"/>
    <n v="18691"/>
    <n v="20662"/>
    <n v="0"/>
    <n v="0"/>
    <n v="22474"/>
    <n v="0"/>
    <n v="0"/>
    <m/>
    <m/>
    <n v="0"/>
    <n v="0"/>
    <m/>
    <m/>
    <m/>
    <m/>
    <m/>
    <m/>
    <m/>
    <m/>
    <m/>
    <m/>
    <m/>
    <m/>
  </r>
  <r>
    <x v="0"/>
    <s v="James H. Faulkner State Community College"/>
    <m/>
    <n v="101161"/>
    <x v="7"/>
    <n v="118631"/>
    <n v="117734"/>
    <n v="53429"/>
    <n v="51533"/>
    <n v="36131"/>
    <n v="36358"/>
    <n v="20440"/>
    <n v="0"/>
    <n v="8631"/>
    <n v="22120"/>
    <m/>
    <n v="7723"/>
    <m/>
    <m/>
    <n v="0"/>
    <n v="0"/>
    <m/>
    <m/>
    <m/>
    <m/>
    <m/>
    <m/>
    <m/>
    <m/>
    <m/>
    <m/>
    <m/>
    <m/>
  </r>
  <r>
    <x v="0"/>
    <s v="Lawson State Community College "/>
    <m/>
    <n v="101569"/>
    <x v="7"/>
    <n v="116634"/>
    <n v="114397"/>
    <n v="101908"/>
    <n v="100389"/>
    <n v="2948"/>
    <n v="2623"/>
    <n v="11762"/>
    <n v="0"/>
    <n v="16"/>
    <n v="11381"/>
    <n v="0"/>
    <n v="4"/>
    <m/>
    <m/>
    <n v="0"/>
    <n v="0"/>
    <m/>
    <m/>
    <m/>
    <m/>
    <m/>
    <m/>
    <m/>
    <m/>
    <m/>
    <m/>
    <m/>
    <m/>
  </r>
  <r>
    <x v="0"/>
    <s v="Northeast Alabama State Community College "/>
    <m/>
    <n v="101897"/>
    <x v="7"/>
    <n v="89336"/>
    <n v="84621"/>
    <n v="62932"/>
    <n v="58488"/>
    <n v="5581"/>
    <n v="5023"/>
    <n v="20823"/>
    <n v="0"/>
    <n v="0"/>
    <n v="21110"/>
    <n v="0"/>
    <n v="0"/>
    <m/>
    <m/>
    <n v="0"/>
    <n v="0"/>
    <m/>
    <m/>
    <m/>
    <m/>
    <m/>
    <m/>
    <m/>
    <m/>
    <m/>
    <m/>
    <m/>
    <m/>
  </r>
  <r>
    <x v="0"/>
    <s v="Northwest-Shoals Community College"/>
    <m/>
    <n v="101736"/>
    <x v="7"/>
    <n v="105919"/>
    <n v="93839"/>
    <n v="72232"/>
    <n v="83166"/>
    <n v="22230"/>
    <n v="707"/>
    <n v="7467"/>
    <n v="765"/>
    <n v="3225"/>
    <n v="7806"/>
    <n v="420"/>
    <n v="1740"/>
    <m/>
    <m/>
    <n v="0"/>
    <n v="0"/>
    <m/>
    <m/>
    <m/>
    <m/>
    <m/>
    <m/>
    <m/>
    <m/>
    <m/>
    <m/>
    <m/>
    <m/>
  </r>
  <r>
    <x v="0"/>
    <s v="Shelton State Community College"/>
    <m/>
    <n v="102067"/>
    <x v="7"/>
    <n v="155348"/>
    <n v="138645"/>
    <n v="150719"/>
    <n v="132221"/>
    <n v="170"/>
    <n v="253"/>
    <n v="4459"/>
    <n v="0"/>
    <n v="0"/>
    <n v="6171"/>
    <n v="0"/>
    <n v="0"/>
    <m/>
    <m/>
    <n v="0"/>
    <n v="0"/>
    <m/>
    <m/>
    <m/>
    <m/>
    <m/>
    <m/>
    <m/>
    <m/>
    <m/>
    <m/>
    <m/>
    <m/>
  </r>
  <r>
    <x v="0"/>
    <s v="Southern Union State Community College"/>
    <m/>
    <n v="251260"/>
    <x v="7"/>
    <n v="133498"/>
    <n v="133363"/>
    <n v="15692"/>
    <n v="14963"/>
    <n v="97219"/>
    <n v="97480"/>
    <n v="20449"/>
    <n v="138"/>
    <n v="0"/>
    <n v="20233"/>
    <n v="687"/>
    <n v="0"/>
    <m/>
    <m/>
    <n v="0"/>
    <n v="0"/>
    <m/>
    <m/>
    <m/>
    <m/>
    <m/>
    <m/>
    <m/>
    <m/>
    <m/>
    <m/>
    <m/>
    <m/>
  </r>
  <r>
    <x v="0"/>
    <s v="Alabama Southern Community College"/>
    <m/>
    <n v="101949"/>
    <x v="8"/>
    <n v="40476"/>
    <n v="40708"/>
    <n v="13590"/>
    <n v="13481"/>
    <n v="25061"/>
    <n v="25541"/>
    <n v="1795"/>
    <n v="30"/>
    <n v="0"/>
    <n v="1686"/>
    <n v="0"/>
    <n v="0"/>
    <m/>
    <m/>
    <n v="0"/>
    <n v="0"/>
    <m/>
    <m/>
    <m/>
    <m/>
    <m/>
    <m/>
    <m/>
    <m/>
    <m/>
    <m/>
    <m/>
    <m/>
  </r>
  <r>
    <x v="0"/>
    <s v="Chattahoochee Valley State Community College "/>
    <m/>
    <n v="101028"/>
    <x v="8"/>
    <n v="43194"/>
    <n v="42168"/>
    <n v="38435"/>
    <n v="38037"/>
    <n v="72"/>
    <n v="81"/>
    <n v="4687"/>
    <n v="0"/>
    <n v="0"/>
    <n v="4050"/>
    <n v="0"/>
    <n v="0"/>
    <m/>
    <m/>
    <n v="0"/>
    <n v="0"/>
    <m/>
    <m/>
    <m/>
    <m/>
    <m/>
    <m/>
    <m/>
    <m/>
    <m/>
    <m/>
    <m/>
    <m/>
  </r>
  <r>
    <x v="0"/>
    <s v="George Corley Wallace State Community College - Selma"/>
    <s v="Met the criteria for Two-Year 2 in 2011-12."/>
    <n v="101301"/>
    <x v="8"/>
    <n v="59867"/>
    <n v="60847"/>
    <n v="41098"/>
    <n v="39130"/>
    <n v="0"/>
    <n v="0"/>
    <n v="18769"/>
    <n v="0"/>
    <n v="0"/>
    <n v="21717"/>
    <n v="0"/>
    <n v="0"/>
    <m/>
    <m/>
    <n v="0"/>
    <n v="0"/>
    <m/>
    <m/>
    <m/>
    <m/>
    <m/>
    <m/>
    <m/>
    <m/>
    <m/>
    <m/>
    <m/>
    <m/>
  </r>
  <r>
    <x v="0"/>
    <s v="Jefferson Davis Community College"/>
    <m/>
    <n v="101499"/>
    <x v="8"/>
    <n v="35324"/>
    <n v="32301"/>
    <n v="15893"/>
    <n v="13524"/>
    <n v="15180"/>
    <n v="14635"/>
    <n v="3925"/>
    <n v="0"/>
    <n v="326"/>
    <n v="4070"/>
    <n v="0"/>
    <n v="72"/>
    <m/>
    <m/>
    <n v="0"/>
    <n v="0"/>
    <m/>
    <m/>
    <m/>
    <m/>
    <m/>
    <m/>
    <m/>
    <m/>
    <m/>
    <m/>
    <m/>
    <m/>
  </r>
  <r>
    <x v="0"/>
    <s v="Lurleen B. Wallace Community College "/>
    <m/>
    <n v="101602"/>
    <x v="8"/>
    <n v="50595"/>
    <n v="47409"/>
    <n v="39334"/>
    <n v="37114"/>
    <n v="1323"/>
    <n v="1407"/>
    <n v="9551"/>
    <n v="0"/>
    <n v="387"/>
    <n v="8813"/>
    <n v="0"/>
    <n v="75"/>
    <m/>
    <m/>
    <n v="0"/>
    <n v="0"/>
    <m/>
    <m/>
    <m/>
    <m/>
    <m/>
    <m/>
    <m/>
    <m/>
    <m/>
    <m/>
    <m/>
    <m/>
  </r>
  <r>
    <x v="0"/>
    <s v="Snead State Community College "/>
    <m/>
    <n v="102076"/>
    <x v="8"/>
    <n v="63304"/>
    <n v="59737"/>
    <n v="35028"/>
    <n v="32898"/>
    <n v="2902"/>
    <n v="2846"/>
    <n v="24704"/>
    <n v="670"/>
    <n v="0"/>
    <n v="23702"/>
    <n v="291"/>
    <n v="0"/>
    <m/>
    <m/>
    <n v="0"/>
    <n v="0"/>
    <m/>
    <m/>
    <m/>
    <m/>
    <m/>
    <m/>
    <m/>
    <m/>
    <m/>
    <m/>
    <m/>
    <m/>
  </r>
  <r>
    <x v="0"/>
    <s v="Trenholm State Technical College "/>
    <m/>
    <n v="102313"/>
    <x v="9"/>
    <n v="49717"/>
    <n v="49502"/>
    <n v="20000"/>
    <n v="21454"/>
    <n v="25977"/>
    <n v="24646"/>
    <n v="3740"/>
    <n v="0"/>
    <n v="0"/>
    <n v="3402"/>
    <n v="0"/>
    <n v="0"/>
    <m/>
    <m/>
    <n v="0"/>
    <n v="0"/>
    <m/>
    <m/>
    <m/>
    <m/>
    <m/>
    <m/>
    <m/>
    <m/>
    <m/>
    <m/>
    <m/>
    <m/>
  </r>
  <r>
    <x v="0"/>
    <s v="J.F. Drake State Technical College "/>
    <s v="Met the criteria for Technical Institute 1 in 2010-11 and 2011-12."/>
    <n v="101462"/>
    <x v="10"/>
    <n v="35342"/>
    <n v="32146"/>
    <n v="29932"/>
    <n v="24198"/>
    <n v="229"/>
    <n v="671"/>
    <n v="5181"/>
    <n v="0"/>
    <n v="0"/>
    <n v="7277"/>
    <n v="0"/>
    <n v="0"/>
    <m/>
    <m/>
    <n v="0"/>
    <n v="0"/>
    <m/>
    <m/>
    <m/>
    <m/>
    <m/>
    <m/>
    <m/>
    <m/>
    <m/>
    <m/>
    <m/>
    <m/>
  </r>
  <r>
    <x v="0"/>
    <s v="J.F. Ingram State Technical College "/>
    <m/>
    <n v="101471"/>
    <x v="10"/>
    <n v="21172"/>
    <n v="20136"/>
    <n v="6390"/>
    <n v="6321"/>
    <n v="14782"/>
    <n v="13815"/>
    <n v="0"/>
    <n v="0"/>
    <n v="0"/>
    <n v="0"/>
    <n v="0"/>
    <n v="0"/>
    <m/>
    <m/>
    <n v="0"/>
    <n v="0"/>
    <m/>
    <m/>
    <m/>
    <m/>
    <m/>
    <m/>
    <m/>
    <m/>
    <m/>
    <m/>
    <m/>
    <m/>
  </r>
  <r>
    <x v="0"/>
    <s v="Reid State Technical College "/>
    <m/>
    <n v="101994"/>
    <x v="10"/>
    <n v="22821"/>
    <n v="21773"/>
    <n v="20039"/>
    <n v="18744"/>
    <n v="1507"/>
    <n v="1318"/>
    <n v="1275"/>
    <n v="0"/>
    <n v="0"/>
    <n v="1711"/>
    <n v="0"/>
    <n v="0"/>
    <m/>
    <m/>
    <n v="0"/>
    <n v="0"/>
    <m/>
    <m/>
    <m/>
    <m/>
    <m/>
    <m/>
    <m/>
    <m/>
    <m/>
    <m/>
    <m/>
    <m/>
  </r>
  <r>
    <x v="1"/>
    <s v="University of Arkansas, Fayetteville"/>
    <m/>
    <n v="106397"/>
    <x v="0"/>
    <n v="473313"/>
    <n v="525893"/>
    <n v="446738"/>
    <n v="492861"/>
    <n v="11466"/>
    <n v="10230"/>
    <n v="14325"/>
    <n v="604"/>
    <n v="180"/>
    <n v="14694"/>
    <n v="812"/>
    <n v="48"/>
    <m/>
    <n v="7248"/>
    <n v="75584"/>
    <n v="77183"/>
    <n v="57001"/>
    <n v="57218"/>
    <n v="3516"/>
    <n v="3337"/>
    <n v="11380"/>
    <n v="18"/>
    <n v="3669"/>
    <n v="15458"/>
    <n v="0"/>
    <n v="1170"/>
    <m/>
    <n v="0"/>
  </r>
  <r>
    <x v="1"/>
    <s v="Arkansas State University"/>
    <m/>
    <n v="106458"/>
    <x v="2"/>
    <n v="271259"/>
    <n v="276297"/>
    <n v="193882"/>
    <n v="192962"/>
    <n v="25846"/>
    <n v="24717"/>
    <n v="47081"/>
    <n v="4450"/>
    <n v="0"/>
    <n v="54383"/>
    <n v="4124"/>
    <n v="111"/>
    <m/>
    <m/>
    <n v="69309"/>
    <n v="82879"/>
    <n v="23853"/>
    <n v="24591"/>
    <n v="138"/>
    <n v="93"/>
    <n v="44950"/>
    <n v="263"/>
    <n v="105"/>
    <n v="58024"/>
    <n v="66"/>
    <n v="105"/>
    <m/>
    <n v="0"/>
  </r>
  <r>
    <x v="1"/>
    <s v="University of Arkansas at Little Rock"/>
    <m/>
    <n v="106245"/>
    <x v="2"/>
    <n v="232943"/>
    <n v="237224"/>
    <n v="156894"/>
    <n v="158298"/>
    <n v="17874"/>
    <n v="18850"/>
    <n v="58175"/>
    <m/>
    <n v="0"/>
    <n v="60076"/>
    <n v="0"/>
    <n v="0"/>
    <m/>
    <m/>
    <n v="51489"/>
    <n v="50303"/>
    <n v="25970"/>
    <n v="25735"/>
    <n v="13569"/>
    <n v="13455"/>
    <n v="11950"/>
    <n v="0"/>
    <n v="0"/>
    <n v="11113"/>
    <n v="0"/>
    <n v="0"/>
    <m/>
    <n v="0"/>
  </r>
  <r>
    <x v="1"/>
    <s v="University of Central Arkansas "/>
    <m/>
    <n v="106704"/>
    <x v="2"/>
    <n v="274416"/>
    <n v="272034"/>
    <n v="258786"/>
    <n v="258206"/>
    <n v="6177"/>
    <n v="4156"/>
    <n v="4513"/>
    <n v="4240"/>
    <n v="0"/>
    <n v="9096"/>
    <n v="54"/>
    <n v="0"/>
    <n v="700"/>
    <n v="522"/>
    <n v="32999"/>
    <n v="33007"/>
    <n v="23605"/>
    <n v="23206"/>
    <n v="1662"/>
    <n v="780"/>
    <n v="3406"/>
    <n v="4326"/>
    <n v="0"/>
    <n v="6369"/>
    <n v="2652"/>
    <n v="0"/>
    <m/>
    <n v="0"/>
  </r>
  <r>
    <x v="1"/>
    <s v="Arkansas Tech University"/>
    <s v="Met the criteria for Four-Year 3 in 2010-11 and 2011-12."/>
    <n v="106467"/>
    <x v="3"/>
    <n v="208684"/>
    <n v="218204"/>
    <n v="163408"/>
    <n v="163618"/>
    <n v="14672"/>
    <n v="15756"/>
    <n v="30604"/>
    <m/>
    <n v="0"/>
    <n v="38830"/>
    <n v="0"/>
    <n v="0"/>
    <m/>
    <m/>
    <n v="11684"/>
    <n v="13308"/>
    <n v="5676"/>
    <n v="5738"/>
    <n v="1046"/>
    <n v="1371"/>
    <n v="4770"/>
    <n v="192"/>
    <n v="0"/>
    <n v="6181"/>
    <n v="18"/>
    <n v="0"/>
    <m/>
    <n v="0"/>
  </r>
  <r>
    <x v="1"/>
    <s v="Henderson State University"/>
    <m/>
    <n v="107071"/>
    <x v="3"/>
    <n v="93335"/>
    <n v="98042"/>
    <n v="85117"/>
    <n v="88898"/>
    <n v="723"/>
    <n v="910"/>
    <n v="3567"/>
    <n v="3224"/>
    <n v="704"/>
    <n v="8234"/>
    <n v="0"/>
    <n v="0"/>
    <m/>
    <m/>
    <n v="8648"/>
    <n v="7980"/>
    <n v="7097"/>
    <n v="6429"/>
    <n v="1197"/>
    <n v="1065"/>
    <n v="78"/>
    <n v="255"/>
    <n v="21"/>
    <n v="486"/>
    <n v="0"/>
    <n v="0"/>
    <m/>
    <n v="0"/>
  </r>
  <r>
    <x v="1"/>
    <s v="Southern Arkansas University"/>
    <s v="Reclassified: met the criteria for Four-Year 4 in 2009-10, 2010-11 and 2011-12."/>
    <n v="107983"/>
    <x v="3"/>
    <n v="81946"/>
    <n v="83545"/>
    <n v="72159"/>
    <n v="73756"/>
    <n v="2199"/>
    <n v="1819"/>
    <n v="7405"/>
    <n v="183"/>
    <n v="0"/>
    <n v="7904"/>
    <n v="66"/>
    <n v="0"/>
    <m/>
    <m/>
    <n v="8038"/>
    <n v="7548"/>
    <n v="2720"/>
    <n v="2508"/>
    <n v="224"/>
    <n v="201"/>
    <n v="5094"/>
    <n v="0"/>
    <n v="0"/>
    <n v="4839"/>
    <n v="0"/>
    <n v="0"/>
    <m/>
    <n v="0"/>
  </r>
  <r>
    <x v="1"/>
    <s v="University of Arkansas at Monticello"/>
    <m/>
    <n v="106485"/>
    <x v="4"/>
    <n v="70587"/>
    <n v="72002"/>
    <n v="59569"/>
    <n v="59147"/>
    <n v="1124"/>
    <n v="1032"/>
    <n v="7461"/>
    <n v="927"/>
    <n v="1506"/>
    <n v="8475"/>
    <n v="3342"/>
    <n v="0"/>
    <m/>
    <n v="6"/>
    <n v="2591"/>
    <n v="2079"/>
    <n v="1290"/>
    <n v="1019"/>
    <n v="15"/>
    <n v="40"/>
    <n v="1286"/>
    <n v="0"/>
    <n v="0"/>
    <n v="1020"/>
    <n v="0"/>
    <n v="0"/>
    <m/>
    <n v="0"/>
  </r>
  <r>
    <x v="1"/>
    <s v="University of Arkansas at Fort Smith"/>
    <m/>
    <n v="108092"/>
    <x v="5"/>
    <n v="188801"/>
    <n v="191912"/>
    <n v="163192"/>
    <n v="164036"/>
    <n v="2253"/>
    <n v="2533"/>
    <n v="22900"/>
    <n v="456"/>
    <n v="0"/>
    <n v="24758"/>
    <n v="585"/>
    <n v="0"/>
    <m/>
    <m/>
    <n v="0"/>
    <n v="0"/>
    <n v="0"/>
    <n v="0"/>
    <n v="0"/>
    <n v="0"/>
    <n v="0"/>
    <n v="0"/>
    <n v="0"/>
    <n v="0"/>
    <n v="0"/>
    <n v="0"/>
    <m/>
    <n v="0"/>
  </r>
  <r>
    <x v="1"/>
    <s v="University of Arkansas at Pine Bluff"/>
    <m/>
    <n v="106412"/>
    <x v="5"/>
    <n v="95470"/>
    <n v="88755"/>
    <n v="87105"/>
    <n v="80929"/>
    <n v="1627"/>
    <n v="726"/>
    <m/>
    <n v="6738"/>
    <n v="0"/>
    <n v="3210"/>
    <n v="3890"/>
    <n v="0"/>
    <m/>
    <m/>
    <n v="2132"/>
    <n v="1885"/>
    <n v="1715"/>
    <n v="1630"/>
    <n v="0"/>
    <n v="0"/>
    <m/>
    <n v="417"/>
    <m/>
    <n v="114"/>
    <n v="141"/>
    <n v="0"/>
    <m/>
    <n v="0"/>
  </r>
  <r>
    <x v="1"/>
    <s v="Northwest Arkansas Community College "/>
    <s v="Reclassified: Met the criteria for Two-Year 1 in 2009-10, 2010-11 and 2011-12."/>
    <n v="367459"/>
    <x v="6"/>
    <n v="171087"/>
    <n v="174073"/>
    <n v="116236"/>
    <n v="116184"/>
    <n v="19775"/>
    <n v="22131"/>
    <n v="16044"/>
    <n v="18149"/>
    <n v="883"/>
    <n v="35650"/>
    <n v="108"/>
    <n v="0"/>
    <m/>
    <m/>
    <n v="0"/>
    <n v="0"/>
    <n v="0"/>
    <m/>
    <n v="0"/>
    <m/>
    <m/>
    <m/>
    <m/>
    <m/>
    <m/>
    <m/>
    <m/>
    <m/>
  </r>
  <r>
    <x v="1"/>
    <s v="Pulaski Technical College"/>
    <m/>
    <n v="107664"/>
    <x v="6"/>
    <n v="246096"/>
    <n v="261671"/>
    <n v="168189"/>
    <n v="176073"/>
    <n v="0"/>
    <n v="0"/>
    <n v="77907"/>
    <m/>
    <n v="0"/>
    <n v="85598"/>
    <n v="0"/>
    <n v="0"/>
    <m/>
    <m/>
    <n v="0"/>
    <n v="0"/>
    <n v="0"/>
    <m/>
    <n v="0"/>
    <m/>
    <m/>
    <m/>
    <m/>
    <m/>
    <m/>
    <m/>
    <m/>
    <m/>
  </r>
  <r>
    <x v="1"/>
    <s v="Arkansas State University-Beebe"/>
    <m/>
    <n v="106449"/>
    <x v="7"/>
    <n v="106220"/>
    <n v="106239"/>
    <n v="75881"/>
    <n v="73832"/>
    <n v="7938"/>
    <n v="9103"/>
    <n v="22401"/>
    <m/>
    <n v="0"/>
    <n v="23304"/>
    <n v="0"/>
    <n v="0"/>
    <m/>
    <m/>
    <n v="0"/>
    <n v="0"/>
    <n v="0"/>
    <m/>
    <n v="0"/>
    <m/>
    <m/>
    <m/>
    <m/>
    <m/>
    <m/>
    <m/>
    <m/>
    <m/>
  </r>
  <r>
    <x v="1"/>
    <s v="National Park Community College"/>
    <m/>
    <n v="106980"/>
    <x v="7"/>
    <n v="86836"/>
    <n v="86676"/>
    <n v="74118"/>
    <n v="75458"/>
    <n v="3577"/>
    <n v="0"/>
    <n v="3980"/>
    <n v="5161"/>
    <m/>
    <n v="11218"/>
    <n v="0"/>
    <n v="0"/>
    <m/>
    <m/>
    <n v="0"/>
    <n v="0"/>
    <n v="0"/>
    <m/>
    <n v="0"/>
    <m/>
    <m/>
    <m/>
    <m/>
    <m/>
    <m/>
    <m/>
    <m/>
    <m/>
  </r>
  <r>
    <x v="1"/>
    <s v="Arkansas Northeastern College"/>
    <m/>
    <n v="107327"/>
    <x v="8"/>
    <n v="45187"/>
    <n v="41015"/>
    <n v="33733"/>
    <n v="31212"/>
    <n v="3649"/>
    <n v="3522"/>
    <n v="6854"/>
    <n v="951"/>
    <n v="0"/>
    <n v="5795"/>
    <n v="486"/>
    <n v="0"/>
    <m/>
    <m/>
    <n v="0"/>
    <n v="0"/>
    <n v="0"/>
    <m/>
    <n v="0"/>
    <m/>
    <m/>
    <m/>
    <m/>
    <m/>
    <m/>
    <m/>
    <m/>
    <m/>
  </r>
  <r>
    <x v="1"/>
    <s v="Arkansas State University Mountain Home"/>
    <m/>
    <n v="420538"/>
    <x v="8"/>
    <n v="37542"/>
    <n v="35572"/>
    <n v="24556"/>
    <n v="21644"/>
    <n v="1198"/>
    <n v="940"/>
    <n v="11335"/>
    <n v="453"/>
    <n v="0"/>
    <n v="12720"/>
    <n v="268"/>
    <n v="0"/>
    <m/>
    <m/>
    <n v="0"/>
    <n v="0"/>
    <n v="0"/>
    <m/>
    <n v="0"/>
    <m/>
    <m/>
    <m/>
    <m/>
    <m/>
    <m/>
    <m/>
    <m/>
    <m/>
  </r>
  <r>
    <x v="1"/>
    <s v="Arkansas State University-Newport"/>
    <m/>
    <n v="440402"/>
    <x v="8"/>
    <n v="46758"/>
    <n v="44215"/>
    <n v="10605"/>
    <n v="9167"/>
    <n v="17827"/>
    <n v="16768"/>
    <n v="17723"/>
    <n v="603"/>
    <n v="0"/>
    <n v="17035"/>
    <n v="1245"/>
    <n v="0"/>
    <m/>
    <m/>
    <n v="0"/>
    <n v="0"/>
    <n v="0"/>
    <m/>
    <n v="0"/>
    <m/>
    <m/>
    <m/>
    <m/>
    <m/>
    <m/>
    <m/>
    <m/>
    <m/>
  </r>
  <r>
    <x v="1"/>
    <s v="Black River Technical College"/>
    <s v="Met the criteria for Two-Year 2 in 2010-11 and 2011-12."/>
    <n v="106625"/>
    <x v="8"/>
    <n v="60662"/>
    <n v="62967"/>
    <n v="30781"/>
    <n v="30003"/>
    <n v="17554"/>
    <n v="18701"/>
    <n v="10602"/>
    <n v="1725"/>
    <n v="0"/>
    <n v="11938"/>
    <n v="2325"/>
    <n v="0"/>
    <m/>
    <m/>
    <n v="0"/>
    <n v="0"/>
    <n v="0"/>
    <m/>
    <n v="0"/>
    <m/>
    <m/>
    <m/>
    <m/>
    <m/>
    <m/>
    <m/>
    <m/>
    <m/>
  </r>
  <r>
    <x v="1"/>
    <s v="College of the Ouachitas"/>
    <s v="Formerly Ouachita Technical College."/>
    <n v="107521"/>
    <x v="8"/>
    <n v="28831"/>
    <n v="29256"/>
    <n v="21647"/>
    <n v="21984"/>
    <n v="2228"/>
    <n v="2058"/>
    <n v="3671"/>
    <n v="1285"/>
    <m/>
    <n v="5049"/>
    <n v="165"/>
    <n v="0"/>
    <m/>
    <m/>
    <n v="0"/>
    <n v="0"/>
    <n v="0"/>
    <m/>
    <n v="0"/>
    <m/>
    <m/>
    <m/>
    <m/>
    <m/>
    <m/>
    <m/>
    <m/>
    <m/>
  </r>
  <r>
    <x v="1"/>
    <s v="Cossatot Community College of the University of Arkansas"/>
    <m/>
    <n v="106795"/>
    <x v="8"/>
    <n v="32202"/>
    <n v="31651"/>
    <n v="7179"/>
    <n v="7474"/>
    <n v="9939"/>
    <n v="9385"/>
    <n v="11610"/>
    <n v="3474"/>
    <n v="0"/>
    <n v="11364"/>
    <n v="3428"/>
    <n v="0"/>
    <m/>
    <m/>
    <n v="0"/>
    <n v="0"/>
    <n v="0"/>
    <m/>
    <n v="0"/>
    <m/>
    <m/>
    <m/>
    <m/>
    <m/>
    <m/>
    <m/>
    <m/>
    <m/>
  </r>
  <r>
    <x v="1"/>
    <s v="East Arkansas Community College "/>
    <m/>
    <n v="106883"/>
    <x v="8"/>
    <n v="32115"/>
    <n v="29418"/>
    <n v="18957"/>
    <n v="17476"/>
    <n v="6564"/>
    <n v="6563"/>
    <n v="5373"/>
    <n v="1221"/>
    <n v="0"/>
    <n v="4864"/>
    <n v="515"/>
    <n v="0"/>
    <m/>
    <m/>
    <n v="0"/>
    <n v="0"/>
    <n v="0"/>
    <m/>
    <n v="0"/>
    <m/>
    <m/>
    <m/>
    <m/>
    <m/>
    <m/>
    <m/>
    <m/>
    <m/>
  </r>
  <r>
    <x v="1"/>
    <s v="Mid-South Community College "/>
    <m/>
    <n v="107318"/>
    <x v="8"/>
    <n v="43515"/>
    <n v="38654"/>
    <n v="40723"/>
    <n v="35966"/>
    <n v="637"/>
    <n v="541"/>
    <n v="2155"/>
    <m/>
    <m/>
    <n v="2147"/>
    <n v="0"/>
    <n v="0"/>
    <m/>
    <m/>
    <n v="0"/>
    <n v="0"/>
    <n v="0"/>
    <m/>
    <n v="0"/>
    <m/>
    <m/>
    <m/>
    <m/>
    <m/>
    <m/>
    <m/>
    <m/>
    <m/>
  </r>
  <r>
    <x v="1"/>
    <s v="North Arkansas College"/>
    <m/>
    <n v="107460"/>
    <x v="8"/>
    <n v="56913"/>
    <n v="56323"/>
    <n v="50019"/>
    <n v="48094"/>
    <n v="2457"/>
    <n v="2761"/>
    <n v="4437"/>
    <m/>
    <m/>
    <n v="5468"/>
    <n v="0"/>
    <n v="0"/>
    <m/>
    <m/>
    <n v="0"/>
    <n v="0"/>
    <n v="0"/>
    <m/>
    <n v="0"/>
    <m/>
    <m/>
    <m/>
    <m/>
    <m/>
    <m/>
    <m/>
    <m/>
    <m/>
  </r>
  <r>
    <x v="1"/>
    <s v="Ozarka College "/>
    <m/>
    <n v="107549"/>
    <x v="8"/>
    <n v="33890"/>
    <n v="38954"/>
    <n v="21744"/>
    <n v="23560"/>
    <n v="1824"/>
    <n v="1633"/>
    <n v="8263"/>
    <n v="2059"/>
    <m/>
    <n v="12321"/>
    <n v="1440"/>
    <n v="0"/>
    <m/>
    <m/>
    <n v="0"/>
    <n v="0"/>
    <n v="0"/>
    <m/>
    <n v="0"/>
    <m/>
    <m/>
    <m/>
    <m/>
    <m/>
    <m/>
    <m/>
    <m/>
    <m/>
  </r>
  <r>
    <x v="1"/>
    <s v="Phillips Community College of the Univ of Arkansas"/>
    <m/>
    <n v="107619"/>
    <x v="8"/>
    <n v="41430"/>
    <n v="40016"/>
    <n v="36982"/>
    <n v="35892"/>
    <n v="0"/>
    <n v="0"/>
    <n v="2932"/>
    <n v="1428"/>
    <n v="88"/>
    <n v="2877"/>
    <n v="1011"/>
    <n v="236"/>
    <m/>
    <m/>
    <n v="0"/>
    <n v="0"/>
    <n v="0"/>
    <m/>
    <n v="0"/>
    <m/>
    <m/>
    <m/>
    <m/>
    <m/>
    <m/>
    <m/>
    <m/>
    <m/>
  </r>
  <r>
    <x v="1"/>
    <s v="Rich Mountain Community College "/>
    <m/>
    <n v="107743"/>
    <x v="8"/>
    <n v="20112"/>
    <n v="20833"/>
    <n v="13667"/>
    <n v="11925"/>
    <n v="4577"/>
    <n v="5078"/>
    <n v="1478"/>
    <n v="126"/>
    <n v="264"/>
    <n v="3623"/>
    <n v="207"/>
    <n v="0"/>
    <m/>
    <m/>
    <n v="0"/>
    <n v="0"/>
    <n v="0"/>
    <m/>
    <n v="0"/>
    <m/>
    <m/>
    <m/>
    <m/>
    <m/>
    <m/>
    <m/>
    <m/>
    <m/>
  </r>
  <r>
    <x v="1"/>
    <s v="South Arkansas Community College"/>
    <m/>
    <n v="107974"/>
    <x v="8"/>
    <n v="40831"/>
    <n v="41745"/>
    <n v="33339"/>
    <n v="33028"/>
    <n v="180"/>
    <n v="807"/>
    <n v="7312"/>
    <m/>
    <m/>
    <n v="7859"/>
    <n v="0"/>
    <n v="0"/>
    <m/>
    <n v="51"/>
    <n v="0"/>
    <n v="0"/>
    <n v="0"/>
    <m/>
    <n v="0"/>
    <m/>
    <m/>
    <m/>
    <m/>
    <m/>
    <m/>
    <m/>
    <m/>
    <m/>
  </r>
  <r>
    <x v="1"/>
    <s v="Southeast Arkansas College"/>
    <m/>
    <n v="107637"/>
    <x v="8"/>
    <n v="49137"/>
    <n v="46869"/>
    <n v="42484"/>
    <n v="39854"/>
    <n v="2381"/>
    <n v="2808"/>
    <n v="4272"/>
    <m/>
    <m/>
    <n v="4207"/>
    <n v="0"/>
    <n v="0"/>
    <m/>
    <m/>
    <n v="0"/>
    <n v="0"/>
    <n v="0"/>
    <m/>
    <n v="0"/>
    <m/>
    <m/>
    <m/>
    <m/>
    <m/>
    <m/>
    <m/>
    <m/>
    <m/>
  </r>
  <r>
    <x v="1"/>
    <s v="Southern Arkansas University Tech"/>
    <m/>
    <n v="107992"/>
    <x v="8"/>
    <n v="39285"/>
    <n v="42257"/>
    <n v="17445"/>
    <n v="18096"/>
    <n v="11619"/>
    <n v="14516"/>
    <m/>
    <n v="10221"/>
    <m/>
    <n v="9645"/>
    <n v="0"/>
    <n v="0"/>
    <m/>
    <m/>
    <n v="0"/>
    <n v="0"/>
    <n v="0"/>
    <m/>
    <n v="0"/>
    <m/>
    <m/>
    <m/>
    <m/>
    <m/>
    <m/>
    <m/>
    <m/>
    <m/>
  </r>
  <r>
    <x v="1"/>
    <s v="University of Arkansas Community College at Batesville"/>
    <m/>
    <n v="106999"/>
    <x v="8"/>
    <n v="41477"/>
    <n v="38625"/>
    <n v="34434"/>
    <n v="30402"/>
    <n v="534"/>
    <n v="1310"/>
    <n v="6509"/>
    <m/>
    <m/>
    <n v="6913"/>
    <n v="0"/>
    <n v="0"/>
    <m/>
    <m/>
    <n v="0"/>
    <n v="0"/>
    <n v="0"/>
    <m/>
    <n v="0"/>
    <m/>
    <m/>
    <m/>
    <m/>
    <m/>
    <m/>
    <m/>
    <m/>
    <m/>
  </r>
  <r>
    <x v="1"/>
    <s v="University of Arkansas Community College at Hope"/>
    <m/>
    <n v="107725"/>
    <x v="8"/>
    <n v="34577"/>
    <n v="31481"/>
    <n v="34556"/>
    <n v="31220"/>
    <n v="0"/>
    <n v="0"/>
    <n v="3"/>
    <n v="18"/>
    <m/>
    <n v="9"/>
    <n v="252"/>
    <n v="0"/>
    <m/>
    <m/>
    <n v="0"/>
    <n v="0"/>
    <n v="0"/>
    <m/>
    <n v="0"/>
    <m/>
    <m/>
    <m/>
    <m/>
    <m/>
    <m/>
    <m/>
    <m/>
    <m/>
  </r>
  <r>
    <x v="1"/>
    <s v="University of Arkansas Community College at Morrilton"/>
    <m/>
    <n v="107585"/>
    <x v="8"/>
    <n v="58656"/>
    <n v="57941"/>
    <n v="56063"/>
    <n v="55241"/>
    <n v="0"/>
    <n v="0"/>
    <n v="2593"/>
    <m/>
    <m/>
    <n v="2700"/>
    <n v="0"/>
    <n v="0"/>
    <m/>
    <m/>
    <n v="0"/>
    <n v="0"/>
    <n v="0"/>
    <m/>
    <n v="0"/>
    <m/>
    <m/>
    <m/>
    <m/>
    <m/>
    <m/>
    <m/>
    <m/>
    <m/>
  </r>
  <r>
    <x v="2"/>
    <s v="University of Delaware"/>
    <m/>
    <n v="130943"/>
    <x v="0"/>
    <n v="519545"/>
    <n v="525599"/>
    <n v="501354"/>
    <n v="509681"/>
    <m/>
    <m/>
    <n v="18191"/>
    <n v="0"/>
    <n v="0"/>
    <n v="15918"/>
    <n v="0"/>
    <n v="0"/>
    <n v="0"/>
    <n v="0"/>
    <n v="54654"/>
    <n v="51744"/>
    <n v="51222"/>
    <n v="48822"/>
    <m/>
    <m/>
    <n v="3303"/>
    <n v="129"/>
    <n v="0"/>
    <n v="2922"/>
    <n v="0"/>
    <n v="0"/>
    <n v="0"/>
    <n v="0"/>
  </r>
  <r>
    <x v="2"/>
    <s v="Delaware State University"/>
    <s v="Met the criteria for Four-Year 3 in 2010-11 and 2011-12."/>
    <n v="130934"/>
    <x v="3"/>
    <n v="105469"/>
    <n v="105618"/>
    <n v="105373"/>
    <n v="103887"/>
    <m/>
    <m/>
    <n v="96"/>
    <n v="0"/>
    <n v="0"/>
    <n v="1731"/>
    <n v="0"/>
    <n v="0"/>
    <m/>
    <m/>
    <n v="8878"/>
    <n v="11247"/>
    <n v="8851"/>
    <n v="7767"/>
    <m/>
    <m/>
    <n v="27"/>
    <m/>
    <m/>
    <n v="3480"/>
    <n v="0"/>
    <m/>
    <m/>
    <m/>
  </r>
  <r>
    <x v="2"/>
    <s v="Delaware Technical and Community College--Stanton-Wilmington"/>
    <s v="Reclassified: Met the criteria for Two-Year 1 in 2009-10, 2010-11 and 2011-12."/>
    <n v="130916"/>
    <x v="6"/>
    <n v="162690"/>
    <n v="157752"/>
    <n v="145885"/>
    <n v="136779"/>
    <m/>
    <m/>
    <n v="12639"/>
    <n v="189"/>
    <n v="3977"/>
    <n v="13550"/>
    <n v="276"/>
    <n v="7147"/>
    <m/>
    <m/>
    <n v="0"/>
    <n v="0"/>
    <m/>
    <m/>
    <m/>
    <m/>
    <m/>
    <m/>
    <m/>
    <m/>
    <m/>
    <m/>
    <m/>
    <m/>
  </r>
  <r>
    <x v="2"/>
    <s v="Delaware Technical and Community College--Owens"/>
    <m/>
    <n v="130891"/>
    <x v="7"/>
    <n v="106464"/>
    <n v="104175"/>
    <n v="90030"/>
    <n v="85980"/>
    <m/>
    <m/>
    <n v="14347"/>
    <n v="341"/>
    <n v="1746"/>
    <n v="14675"/>
    <n v="379"/>
    <n v="3141"/>
    <m/>
    <m/>
    <n v="0"/>
    <n v="0"/>
    <m/>
    <m/>
    <m/>
    <m/>
    <m/>
    <m/>
    <m/>
    <m/>
    <m/>
    <m/>
    <m/>
    <m/>
  </r>
  <r>
    <x v="2"/>
    <s v="Delaware Technical and Community College--Terry"/>
    <m/>
    <n v="130907"/>
    <x v="7"/>
    <n v="74345"/>
    <n v="74593"/>
    <n v="60156"/>
    <n v="58755"/>
    <m/>
    <m/>
    <n v="8114"/>
    <n v="97"/>
    <n v="5978"/>
    <n v="9412"/>
    <n v="131"/>
    <n v="6295"/>
    <m/>
    <m/>
    <n v="0"/>
    <n v="0"/>
    <m/>
    <m/>
    <m/>
    <m/>
    <m/>
    <m/>
    <m/>
    <m/>
    <m/>
    <m/>
    <m/>
    <m/>
  </r>
  <r>
    <x v="3"/>
    <s v="Florida International University"/>
    <m/>
    <n v="133951"/>
    <x v="0"/>
    <n v="897265"/>
    <n v="980018"/>
    <n v="591080"/>
    <n v="626050"/>
    <n v="154504"/>
    <n v="157723"/>
    <n v="150251"/>
    <m/>
    <n v="1430"/>
    <n v="193967"/>
    <m/>
    <n v="2278"/>
    <m/>
    <m/>
    <n v="174422"/>
    <n v="188255"/>
    <n v="120310"/>
    <n v="123627"/>
    <n v="34619"/>
    <n v="29986"/>
    <n v="18941"/>
    <m/>
    <n v="552"/>
    <n v="34159"/>
    <m/>
    <n v="483"/>
    <m/>
    <m/>
  </r>
  <r>
    <x v="3"/>
    <s v="Florida State University "/>
    <m/>
    <n v="134097"/>
    <x v="0"/>
    <n v="972297"/>
    <n v="1008210"/>
    <n v="827082"/>
    <n v="838335"/>
    <n v="64350"/>
    <n v="66443"/>
    <n v="31723"/>
    <m/>
    <n v="49142"/>
    <n v="40110"/>
    <m/>
    <n v="63322"/>
    <m/>
    <m/>
    <n v="184136"/>
    <n v="185434"/>
    <n v="147674"/>
    <n v="151416"/>
    <n v="9717"/>
    <n v="10318"/>
    <n v="25533"/>
    <m/>
    <n v="1212"/>
    <n v="22623"/>
    <m/>
    <n v="1077"/>
    <m/>
    <m/>
  </r>
  <r>
    <x v="3"/>
    <s v="University of Central Florida "/>
    <m/>
    <n v="132903"/>
    <x v="0"/>
    <n v="1281797"/>
    <n v="1343366"/>
    <n v="854188"/>
    <n v="827028"/>
    <n v="99536"/>
    <n v="101814"/>
    <n v="319467"/>
    <n v="1758"/>
    <n v="6848"/>
    <n v="414524"/>
    <m/>
    <m/>
    <m/>
    <m/>
    <n v="140449"/>
    <n v="142457"/>
    <n v="76050"/>
    <n v="73305.5"/>
    <n v="12844"/>
    <n v="12216.5"/>
    <n v="49893"/>
    <n v="156"/>
    <n v="1506"/>
    <n v="56935"/>
    <m/>
    <m/>
    <m/>
    <m/>
  </r>
  <r>
    <x v="3"/>
    <s v="University of Florida"/>
    <m/>
    <n v="134130"/>
    <x v="0"/>
    <n v="983555"/>
    <n v="953541"/>
    <n v="749194"/>
    <n v="815465"/>
    <m/>
    <m/>
    <n v="126058"/>
    <n v="346"/>
    <n v="101235"/>
    <n v="114854"/>
    <m/>
    <n v="17169"/>
    <n v="6722"/>
    <n v="6053"/>
    <n v="357500"/>
    <n v="317112"/>
    <n v="265398"/>
    <n v="265271"/>
    <n v="30"/>
    <m/>
    <n v="47167"/>
    <n v="505"/>
    <n v="44283"/>
    <n v="45713"/>
    <m/>
    <n v="6128"/>
    <n v="117"/>
    <m/>
  </r>
  <r>
    <x v="3"/>
    <s v="University of South Florida "/>
    <m/>
    <n v="137351"/>
    <x v="0"/>
    <n v="1011653"/>
    <n v="1017967"/>
    <n v="676590"/>
    <n v="668322"/>
    <n v="123581"/>
    <n v="122188"/>
    <n v="204478"/>
    <n v="337"/>
    <n v="6667"/>
    <n v="221485"/>
    <m/>
    <n v="5972"/>
    <m/>
    <m/>
    <n v="188864"/>
    <n v="185896"/>
    <n v="119238"/>
    <n v="127463"/>
    <n v="25920"/>
    <n v="16823"/>
    <n v="43673"/>
    <m/>
    <n v="33"/>
    <n v="41610"/>
    <m/>
    <m/>
    <m/>
    <m/>
  </r>
  <r>
    <x v="3"/>
    <s v="Florida Atlantic University "/>
    <m/>
    <n v="133669"/>
    <x v="1"/>
    <n v="570235"/>
    <n v="599677"/>
    <n v="425119"/>
    <n v="453166"/>
    <n v="108075"/>
    <n v="101742"/>
    <n v="32865"/>
    <n v="1870"/>
    <n v="2306"/>
    <n v="43380"/>
    <m/>
    <n v="1389"/>
    <m/>
    <m/>
    <n v="80819"/>
    <n v="78558"/>
    <n v="46326"/>
    <n v="47144"/>
    <n v="14834"/>
    <n v="12530"/>
    <n v="17682"/>
    <n v="789"/>
    <n v="1188"/>
    <n v="17717"/>
    <m/>
    <n v="1167"/>
    <m/>
    <m/>
  </r>
  <r>
    <x v="3"/>
    <s v="Florida Agricultural &amp; Mechanical University "/>
    <s v="Met the criteria for Four-Year 2 in 2011-12."/>
    <n v="133650"/>
    <x v="2"/>
    <n v="325761"/>
    <n v="324142"/>
    <n v="321906"/>
    <n v="321294"/>
    <n v="3796"/>
    <n v="2740"/>
    <m/>
    <m/>
    <n v="59"/>
    <n v="108"/>
    <m/>
    <m/>
    <m/>
    <m/>
    <n v="49743"/>
    <n v="50148"/>
    <n v="31978"/>
    <n v="30345"/>
    <n v="17765"/>
    <n v="19327"/>
    <m/>
    <m/>
    <m/>
    <n v="476"/>
    <m/>
    <m/>
    <m/>
    <m/>
  </r>
  <r>
    <x v="3"/>
    <s v="University of North Florida"/>
    <m/>
    <n v="136172"/>
    <x v="2"/>
    <n v="379860"/>
    <n v="382476"/>
    <n v="360615"/>
    <n v="358792"/>
    <n v="4476"/>
    <n v="3819"/>
    <n v="14769"/>
    <m/>
    <m/>
    <n v="19841"/>
    <m/>
    <n v="24"/>
    <m/>
    <m/>
    <n v="33015"/>
    <n v="32544"/>
    <n v="26686"/>
    <n v="27219"/>
    <n v="3236"/>
    <n v="2097"/>
    <n v="3093"/>
    <m/>
    <m/>
    <n v="3228"/>
    <m/>
    <m/>
    <m/>
    <m/>
  </r>
  <r>
    <x v="3"/>
    <s v="University of West Florida"/>
    <m/>
    <n v="138354"/>
    <x v="2"/>
    <n v="247942"/>
    <n v="255719.5"/>
    <n v="128685"/>
    <n v="130788.5"/>
    <n v="3288"/>
    <n v="2234"/>
    <n v="108181"/>
    <n v="452"/>
    <n v="7336"/>
    <n v="108087"/>
    <m/>
    <n v="14610"/>
    <m/>
    <m/>
    <n v="31484"/>
    <n v="31883.5"/>
    <n v="7934"/>
    <n v="8739.5"/>
    <n v="402"/>
    <n v="312"/>
    <n v="20592"/>
    <n v="231"/>
    <n v="2325"/>
    <n v="19723"/>
    <m/>
    <n v="3109"/>
    <m/>
    <m/>
  </r>
  <r>
    <x v="3"/>
    <s v="Florida Gulf Coast University"/>
    <m/>
    <n v="433660"/>
    <x v="3"/>
    <n v="268823"/>
    <n v="288563"/>
    <n v="211054"/>
    <n v="230793"/>
    <n v="5973"/>
    <n v="7617"/>
    <n v="51796"/>
    <m/>
    <m/>
    <n v="50153"/>
    <m/>
    <m/>
    <m/>
    <m/>
    <n v="24078"/>
    <n v="23963"/>
    <n v="12553"/>
    <n v="12943"/>
    <n v="1376"/>
    <n v="1639"/>
    <n v="10149"/>
    <m/>
    <m/>
    <n v="9381"/>
    <m/>
    <m/>
    <m/>
    <m/>
  </r>
  <r>
    <x v="3"/>
    <s v="New College of Florida"/>
    <m/>
    <n v="262129"/>
    <x v="5"/>
    <n v="27680"/>
    <n v="28208"/>
    <n v="27680"/>
    <n v="28208"/>
    <m/>
    <m/>
    <m/>
    <m/>
    <m/>
    <m/>
    <m/>
    <m/>
    <m/>
    <m/>
    <n v="0"/>
    <n v="0"/>
    <m/>
    <m/>
    <m/>
    <m/>
    <m/>
    <m/>
    <m/>
    <m/>
    <m/>
    <m/>
    <m/>
    <m/>
  </r>
  <r>
    <x v="3"/>
    <s v="Chipola College "/>
    <m/>
    <n v="133021"/>
    <x v="11"/>
    <n v="46218"/>
    <n v="46079"/>
    <n v="17236"/>
    <n v="10067"/>
    <n v="1150"/>
    <n v="1709"/>
    <n v="3576"/>
    <n v="0"/>
    <n v="15952"/>
    <n v="6298"/>
    <n v="0"/>
    <n v="28002"/>
    <n v="8304"/>
    <n v="3"/>
    <n v="0"/>
    <n v="0"/>
    <m/>
    <m/>
    <m/>
    <m/>
    <m/>
    <m/>
    <m/>
    <m/>
    <m/>
    <m/>
    <m/>
    <m/>
  </r>
  <r>
    <x v="3"/>
    <s v="Daytona State College "/>
    <m/>
    <n v="133386"/>
    <x v="11"/>
    <n v="403847"/>
    <n v="377587"/>
    <n v="318148"/>
    <n v="281729"/>
    <n v="7"/>
    <n v="0"/>
    <n v="85480"/>
    <n v="0"/>
    <n v="212"/>
    <n v="95837"/>
    <n v="0"/>
    <n v="21"/>
    <n v="0"/>
    <n v="0"/>
    <n v="0"/>
    <n v="0"/>
    <m/>
    <m/>
    <m/>
    <m/>
    <m/>
    <m/>
    <m/>
    <m/>
    <m/>
    <m/>
    <m/>
    <m/>
  </r>
  <r>
    <x v="3"/>
    <s v="Edison State College "/>
    <m/>
    <n v="133508"/>
    <x v="11"/>
    <n v="360927"/>
    <n v="365357"/>
    <n v="286589"/>
    <n v="282235"/>
    <n v="12937"/>
    <n v="12797"/>
    <n v="48140"/>
    <n v="30"/>
    <n v="5867"/>
    <n v="54151"/>
    <n v="108"/>
    <n v="9097"/>
    <n v="7364"/>
    <n v="6969"/>
    <n v="0"/>
    <n v="0"/>
    <m/>
    <m/>
    <m/>
    <m/>
    <m/>
    <m/>
    <m/>
    <m/>
    <m/>
    <m/>
    <m/>
    <m/>
  </r>
  <r>
    <x v="3"/>
    <s v="Florida State College at Jacksonville"/>
    <s v="Reclassified: met the criteria for Two-Year with Bachelor's in 2009-10, 2010-11 and 2011-12."/>
    <n v="133702"/>
    <x v="11"/>
    <n v="668206"/>
    <n v="682953"/>
    <n v="381648"/>
    <n v="377862"/>
    <n v="11706"/>
    <n v="8017"/>
    <n v="217457"/>
    <n v="0"/>
    <n v="57395"/>
    <n v="297074"/>
    <n v="0"/>
    <n v="0"/>
    <n v="0"/>
    <n v="0"/>
    <n v="0"/>
    <n v="0"/>
    <m/>
    <m/>
    <m/>
    <m/>
    <m/>
    <m/>
    <m/>
    <m/>
    <m/>
    <m/>
    <m/>
    <m/>
  </r>
  <r>
    <x v="3"/>
    <s v="Indian River State College "/>
    <s v="Reclassified: met the criteria for Two-Year with Bachelor's in 2009-10, 2010-11 and 2011-12."/>
    <n v="134608"/>
    <x v="11"/>
    <n v="335103"/>
    <n v="341318"/>
    <n v="246610"/>
    <n v="248045"/>
    <n v="11556"/>
    <n v="10489"/>
    <n v="57764"/>
    <n v="2805"/>
    <n v="16139"/>
    <n v="61964"/>
    <n v="0"/>
    <n v="20468"/>
    <n v="229"/>
    <n v="352"/>
    <n v="0"/>
    <n v="0"/>
    <m/>
    <m/>
    <m/>
    <m/>
    <m/>
    <m/>
    <m/>
    <m/>
    <m/>
    <m/>
    <m/>
    <m/>
  </r>
  <r>
    <x v="3"/>
    <s v="Miami Dade College "/>
    <m/>
    <n v="135717"/>
    <x v="11"/>
    <n v="1571735"/>
    <n v="1654124"/>
    <n v="1423962"/>
    <n v="1203140"/>
    <n v="16409"/>
    <n v="12930"/>
    <n v="103467"/>
    <n v="0"/>
    <n v="27897"/>
    <n v="397912"/>
    <n v="0"/>
    <n v="40142"/>
    <n v="0"/>
    <n v="0"/>
    <n v="0"/>
    <n v="0"/>
    <m/>
    <m/>
    <m/>
    <m/>
    <m/>
    <m/>
    <m/>
    <m/>
    <m/>
    <m/>
    <m/>
    <m/>
  </r>
  <r>
    <x v="3"/>
    <s v="Northwest Florida State College"/>
    <m/>
    <n v="136233"/>
    <x v="11"/>
    <n v="167455"/>
    <n v="162396"/>
    <n v="102950"/>
    <n v="97094"/>
    <n v="19156"/>
    <n v="17614"/>
    <n v="22421"/>
    <n v="0"/>
    <n v="11157"/>
    <n v="24364"/>
    <n v="0"/>
    <n v="13640"/>
    <n v="11771"/>
    <n v="9684"/>
    <n v="0"/>
    <n v="0"/>
    <m/>
    <m/>
    <m/>
    <m/>
    <m/>
    <m/>
    <m/>
    <m/>
    <m/>
    <m/>
    <m/>
    <m/>
  </r>
  <r>
    <x v="3"/>
    <s v="St. Petersburg College "/>
    <m/>
    <n v="137078"/>
    <x v="11"/>
    <n v="649907"/>
    <n v="679694"/>
    <n v="362169"/>
    <n v="365714"/>
    <n v="0"/>
    <n v="0"/>
    <n v="230083"/>
    <n v="540"/>
    <n v="54084"/>
    <n v="254204"/>
    <n v="426"/>
    <n v="54550"/>
    <n v="3031"/>
    <n v="4800"/>
    <n v="0"/>
    <n v="0"/>
    <m/>
    <m/>
    <m/>
    <m/>
    <m/>
    <m/>
    <m/>
    <m/>
    <m/>
    <m/>
    <m/>
    <m/>
  </r>
  <r>
    <x v="3"/>
    <s v="Brevard Community College "/>
    <m/>
    <n v="132693"/>
    <x v="6"/>
    <n v="360629"/>
    <n v="372944"/>
    <n v="226058"/>
    <n v="219853"/>
    <n v="9299"/>
    <n v="7202"/>
    <n v="110135"/>
    <n v="0"/>
    <n v="15137"/>
    <n v="111667"/>
    <n v="0"/>
    <n v="34222"/>
    <n v="0"/>
    <n v="0"/>
    <n v="0"/>
    <n v="0"/>
    <m/>
    <m/>
    <m/>
    <m/>
    <m/>
    <m/>
    <m/>
    <m/>
    <m/>
    <m/>
    <m/>
    <m/>
  </r>
  <r>
    <x v="3"/>
    <s v="Broward College "/>
    <s v="Met the criteria for Two-Year with Bachelor's in 2011-12."/>
    <n v="132709"/>
    <x v="6"/>
    <n v="870553"/>
    <n v="921681"/>
    <n v="684329"/>
    <n v="694714"/>
    <n v="51796"/>
    <n v="58276"/>
    <n v="77703"/>
    <n v="1084"/>
    <n v="53505"/>
    <n v="93235"/>
    <n v="1035"/>
    <n v="73014"/>
    <n v="2136"/>
    <n v="1407"/>
    <n v="0"/>
    <n v="0"/>
    <m/>
    <m/>
    <m/>
    <m/>
    <m/>
    <m/>
    <m/>
    <m/>
    <m/>
    <m/>
    <m/>
    <m/>
  </r>
  <r>
    <x v="3"/>
    <s v="College of Central Florida"/>
    <m/>
    <n v="132851"/>
    <x v="6"/>
    <n v="179067"/>
    <n v="184131"/>
    <n v="137662"/>
    <n v="129758"/>
    <n v="0"/>
    <n v="0"/>
    <n v="32997"/>
    <n v="0"/>
    <n v="8408"/>
    <n v="42119"/>
    <n v="0"/>
    <n v="12254"/>
    <n v="0"/>
    <n v="0"/>
    <n v="0"/>
    <n v="0"/>
    <m/>
    <m/>
    <m/>
    <m/>
    <m/>
    <m/>
    <m/>
    <m/>
    <m/>
    <m/>
    <m/>
    <m/>
  </r>
  <r>
    <x v="3"/>
    <s v="Hillsborough Community College "/>
    <m/>
    <n v="134495"/>
    <x v="6"/>
    <n v="591140"/>
    <n v="603772"/>
    <n v="491367"/>
    <n v="474178"/>
    <n v="14673"/>
    <n v="14273"/>
    <n v="61044"/>
    <n v="0"/>
    <n v="24056"/>
    <n v="69571"/>
    <n v="0"/>
    <n v="45750"/>
    <n v="0"/>
    <n v="0"/>
    <n v="0"/>
    <n v="0"/>
    <m/>
    <m/>
    <m/>
    <m/>
    <m/>
    <m/>
    <m/>
    <m/>
    <m/>
    <m/>
    <m/>
    <m/>
  </r>
  <r>
    <x v="3"/>
    <s v="Palm Beach State College "/>
    <s v="Met the criteria for Two-Year with Bachelor's in 2011-12."/>
    <n v="136358"/>
    <x v="6"/>
    <n v="566788"/>
    <n v="592459"/>
    <n v="445259"/>
    <n v="464781"/>
    <n v="11941"/>
    <n v="12088"/>
    <n v="79376"/>
    <n v="714"/>
    <n v="29498"/>
    <n v="100613"/>
    <n v="1947"/>
    <n v="13030"/>
    <n v="0"/>
    <n v="0"/>
    <n v="0"/>
    <n v="0"/>
    <m/>
    <m/>
    <m/>
    <m/>
    <m/>
    <m/>
    <m/>
    <m/>
    <m/>
    <m/>
    <m/>
    <m/>
  </r>
  <r>
    <x v="3"/>
    <s v="Pasco-Hernando Community College "/>
    <m/>
    <n v="136400"/>
    <x v="6"/>
    <n v="211011"/>
    <n v="222781"/>
    <n v="174539"/>
    <n v="179472"/>
    <n v="5466"/>
    <n v="7663"/>
    <n v="30401"/>
    <n v="0"/>
    <n v="605"/>
    <n v="35150"/>
    <n v="0"/>
    <n v="496"/>
    <n v="0"/>
    <n v="0"/>
    <n v="0"/>
    <n v="0"/>
    <m/>
    <m/>
    <m/>
    <m/>
    <m/>
    <m/>
    <m/>
    <m/>
    <m/>
    <m/>
    <m/>
    <m/>
  </r>
  <r>
    <x v="3"/>
    <s v="Pensacola State College "/>
    <m/>
    <n v="136473"/>
    <x v="6"/>
    <n v="245092"/>
    <n v="252635"/>
    <n v="196410"/>
    <n v="196934"/>
    <n v="10437"/>
    <n v="11484"/>
    <n v="34726"/>
    <n v="0"/>
    <n v="3519"/>
    <n v="37524"/>
    <n v="0"/>
    <n v="6693"/>
    <n v="0"/>
    <n v="0"/>
    <n v="0"/>
    <n v="0"/>
    <m/>
    <m/>
    <m/>
    <m/>
    <m/>
    <m/>
    <m/>
    <m/>
    <m/>
    <m/>
    <m/>
    <m/>
  </r>
  <r>
    <x v="3"/>
    <s v="Polk State College "/>
    <s v="Met the criteria for Two-Year with Bachelor's in 2011-12."/>
    <n v="136516"/>
    <x v="6"/>
    <n v="206465"/>
    <n v="219030"/>
    <n v="157717"/>
    <n v="156282"/>
    <n v="11291"/>
    <n v="13405"/>
    <n v="26838"/>
    <n v="0"/>
    <n v="10619"/>
    <n v="35600"/>
    <n v="0"/>
    <n v="13743"/>
    <n v="0"/>
    <n v="0"/>
    <n v="0"/>
    <n v="0"/>
    <m/>
    <m/>
    <m/>
    <m/>
    <m/>
    <m/>
    <m/>
    <m/>
    <m/>
    <m/>
    <m/>
    <m/>
  </r>
  <r>
    <x v="3"/>
    <s v="Santa Fe College "/>
    <m/>
    <n v="137096"/>
    <x v="6"/>
    <n v="359098"/>
    <n v="363960"/>
    <n v="276151"/>
    <n v="268875"/>
    <n v="3887"/>
    <n v="4423"/>
    <n v="58580"/>
    <n v="0"/>
    <n v="20480"/>
    <n v="65615"/>
    <n v="0"/>
    <n v="25047"/>
    <n v="0"/>
    <n v="0"/>
    <n v="0"/>
    <n v="0"/>
    <m/>
    <m/>
    <m/>
    <m/>
    <m/>
    <m/>
    <m/>
    <m/>
    <m/>
    <m/>
    <m/>
    <m/>
  </r>
  <r>
    <x v="3"/>
    <s v="Seminole State College of Florida"/>
    <m/>
    <n v="137209"/>
    <x v="6"/>
    <n v="398887"/>
    <n v="415156"/>
    <n v="319443"/>
    <n v="329072"/>
    <n v="0"/>
    <n v="0"/>
    <n v="74132"/>
    <n v="0"/>
    <n v="5312"/>
    <n v="81623"/>
    <n v="0"/>
    <n v="4461"/>
    <n v="0"/>
    <n v="0"/>
    <n v="0"/>
    <n v="0"/>
    <m/>
    <m/>
    <m/>
    <m/>
    <m/>
    <m/>
    <m/>
    <m/>
    <m/>
    <m/>
    <m/>
    <m/>
  </r>
  <r>
    <x v="3"/>
    <s v="State College of Florida, Manatee-Sarasota"/>
    <s v="Met the criteria for Two-Year with Bachelor's in 2011-12."/>
    <n v="135391"/>
    <x v="6"/>
    <n v="276380"/>
    <n v="258433"/>
    <n v="223582"/>
    <n v="193907"/>
    <n v="9372"/>
    <n v="9332"/>
    <n v="30775"/>
    <n v="1569"/>
    <n v="11082"/>
    <n v="38391"/>
    <n v="1416"/>
    <n v="15387"/>
    <n v="0"/>
    <n v="0"/>
    <n v="0"/>
    <n v="0"/>
    <m/>
    <m/>
    <m/>
    <m/>
    <m/>
    <m/>
    <m/>
    <m/>
    <m/>
    <m/>
    <m/>
    <m/>
  </r>
  <r>
    <x v="3"/>
    <s v="Tallahassee Community College "/>
    <m/>
    <n v="137759"/>
    <x v="6"/>
    <n v="342820"/>
    <n v="352517"/>
    <n v="165250"/>
    <n v="34131"/>
    <n v="3054"/>
    <n v="1753"/>
    <n v="18829"/>
    <n v="0"/>
    <n v="155687"/>
    <n v="32092"/>
    <n v="0"/>
    <n v="284541"/>
    <n v="0"/>
    <n v="0"/>
    <n v="0"/>
    <n v="0"/>
    <m/>
    <m/>
    <m/>
    <m/>
    <m/>
    <m/>
    <m/>
    <m/>
    <m/>
    <m/>
    <m/>
    <m/>
  </r>
  <r>
    <x v="3"/>
    <s v="Valencia Community College "/>
    <m/>
    <n v="138187"/>
    <x v="6"/>
    <n v="915042"/>
    <n v="943242"/>
    <n v="715709"/>
    <n v="711310"/>
    <n v="0"/>
    <n v="0"/>
    <n v="161499"/>
    <n v="0"/>
    <n v="37834"/>
    <n v="176569"/>
    <n v="0"/>
    <n v="55363"/>
    <n v="0"/>
    <n v="0"/>
    <n v="0"/>
    <n v="0"/>
    <m/>
    <m/>
    <m/>
    <m/>
    <m/>
    <m/>
    <m/>
    <m/>
    <m/>
    <m/>
    <m/>
    <m/>
  </r>
  <r>
    <x v="3"/>
    <s v="Gulf Coast Community College "/>
    <m/>
    <n v="134343"/>
    <x v="7"/>
    <n v="138911"/>
    <n v="138301"/>
    <n v="92440"/>
    <n v="90065"/>
    <n v="13282"/>
    <n v="12541"/>
    <n v="29336"/>
    <n v="2299"/>
    <n v="1554"/>
    <n v="31695"/>
    <n v="2224"/>
    <n v="1776"/>
    <n v="0"/>
    <n v="0"/>
    <n v="0"/>
    <n v="0"/>
    <m/>
    <m/>
    <m/>
    <m/>
    <m/>
    <m/>
    <m/>
    <m/>
    <m/>
    <m/>
    <m/>
    <m/>
  </r>
  <r>
    <x v="3"/>
    <s v="Lake City Community College "/>
    <m/>
    <n v="135160"/>
    <x v="7"/>
    <n v="58982"/>
    <n v="59830"/>
    <n v="32078"/>
    <n v="30588"/>
    <n v="1563"/>
    <n v="2137"/>
    <n v="22508"/>
    <n v="1313"/>
    <n v="1520"/>
    <n v="23566"/>
    <n v="1662"/>
    <n v="1877"/>
    <n v="0"/>
    <n v="0"/>
    <n v="0"/>
    <n v="0"/>
    <m/>
    <m/>
    <m/>
    <m/>
    <m/>
    <m/>
    <m/>
    <m/>
    <m/>
    <m/>
    <m/>
    <m/>
  </r>
  <r>
    <x v="3"/>
    <s v="Lake-Sumter Community College "/>
    <m/>
    <n v="135188"/>
    <x v="7"/>
    <n v="97432"/>
    <n v="97223"/>
    <n v="77814"/>
    <n v="78086"/>
    <n v="0"/>
    <n v="0"/>
    <n v="5680"/>
    <n v="0"/>
    <n v="13938"/>
    <n v="6341"/>
    <n v="0"/>
    <n v="12796"/>
    <n v="0"/>
    <n v="0"/>
    <n v="0"/>
    <n v="0"/>
    <m/>
    <m/>
    <m/>
    <m/>
    <m/>
    <m/>
    <m/>
    <m/>
    <m/>
    <m/>
    <m/>
    <m/>
  </r>
  <r>
    <x v="3"/>
    <s v="South Florida Community College "/>
    <m/>
    <n v="137315"/>
    <x v="7"/>
    <n v="49486"/>
    <n v="47356"/>
    <n v="15775"/>
    <n v="4870"/>
    <n v="7763"/>
    <n v="2284"/>
    <n v="6436"/>
    <n v="1248"/>
    <n v="17691"/>
    <n v="5590"/>
    <n v="1251"/>
    <n v="27204"/>
    <n v="573"/>
    <n v="6157"/>
    <n v="0"/>
    <n v="0"/>
    <m/>
    <m/>
    <m/>
    <m/>
    <m/>
    <m/>
    <m/>
    <m/>
    <m/>
    <m/>
    <m/>
    <m/>
  </r>
  <r>
    <x v="3"/>
    <s v="St. Johns River Community College "/>
    <s v="Met the criteria for Two-Year with Bachelor's in 2011-12."/>
    <n v="137281"/>
    <x v="7"/>
    <n v="139519"/>
    <n v="143030"/>
    <n v="98958"/>
    <n v="96680"/>
    <n v="7702"/>
    <n v="9314"/>
    <n v="30261"/>
    <n v="0"/>
    <n v="2598"/>
    <n v="31509"/>
    <n v="0"/>
    <n v="5527"/>
    <n v="0"/>
    <n v="0"/>
    <n v="0"/>
    <n v="0"/>
    <m/>
    <m/>
    <m/>
    <m/>
    <m/>
    <m/>
    <m/>
    <m/>
    <m/>
    <m/>
    <m/>
    <m/>
  </r>
  <r>
    <x v="3"/>
    <s v="Florida Keys Community College "/>
    <m/>
    <n v="133960"/>
    <x v="8"/>
    <n v="29899"/>
    <n v="27535"/>
    <n v="24788"/>
    <n v="20266"/>
    <n v="1298"/>
    <n v="1058"/>
    <n v="3191"/>
    <n v="110"/>
    <n v="512"/>
    <n v="3723"/>
    <n v="0"/>
    <n v="2488"/>
    <n v="0"/>
    <n v="0"/>
    <n v="0"/>
    <n v="0"/>
    <m/>
    <m/>
    <m/>
    <m/>
    <m/>
    <m/>
    <m/>
    <m/>
    <m/>
    <m/>
    <m/>
    <m/>
  </r>
  <r>
    <x v="3"/>
    <s v="North Florida Community College "/>
    <m/>
    <n v="136145"/>
    <x v="8"/>
    <n v="25936"/>
    <n v="26319"/>
    <n v="12168"/>
    <n v="1165"/>
    <n v="1755"/>
    <n v="358"/>
    <n v="4919"/>
    <n v="0"/>
    <n v="7094"/>
    <n v="5494"/>
    <n v="0"/>
    <n v="19302"/>
    <n v="0"/>
    <n v="0"/>
    <n v="0"/>
    <n v="0"/>
    <m/>
    <m/>
    <m/>
    <m/>
    <m/>
    <m/>
    <m/>
    <m/>
    <m/>
    <m/>
    <m/>
    <m/>
  </r>
  <r>
    <x v="4"/>
    <s v="Albany Technical College"/>
    <m/>
    <n v="138682"/>
    <x v="9"/>
    <n v="136345.48359999998"/>
    <n v="157927.70000000001"/>
    <n v="91883.927299999996"/>
    <n v="97891"/>
    <m/>
    <m/>
    <n v="44461.556299999997"/>
    <n v="0"/>
    <m/>
    <n v="60036.7"/>
    <n v="0"/>
    <m/>
    <m/>
    <m/>
    <n v="0"/>
    <n v="0"/>
    <m/>
    <m/>
    <m/>
    <m/>
    <m/>
    <m/>
    <m/>
    <m/>
    <m/>
    <m/>
    <m/>
    <m/>
  </r>
  <r>
    <x v="4"/>
    <s v="Altamaha Technical College"/>
    <m/>
    <n v="366447"/>
    <x v="9"/>
    <n v="42471.4568"/>
    <n v="37106.6"/>
    <n v="36934.513299999999"/>
    <n v="31070"/>
    <m/>
    <m/>
    <n v="5536.9434999999994"/>
    <n v="0"/>
    <m/>
    <n v="6036.6"/>
    <n v="0"/>
    <m/>
    <m/>
    <m/>
    <n v="0"/>
    <n v="0"/>
    <m/>
    <m/>
    <m/>
    <m/>
    <m/>
    <m/>
    <m/>
    <m/>
    <m/>
    <m/>
    <m/>
    <m/>
  </r>
  <r>
    <x v="4"/>
    <s v="Athens Technical College"/>
    <m/>
    <n v="246813"/>
    <x v="9"/>
    <n v="127314.36539999998"/>
    <n v="125489.7"/>
    <n v="113995.03279999999"/>
    <n v="110302.5"/>
    <m/>
    <m/>
    <n v="11915.929099999999"/>
    <n v="1403.4034999999999"/>
    <m/>
    <n v="14240.8"/>
    <n v="946.4"/>
    <m/>
    <m/>
    <m/>
    <n v="0"/>
    <n v="0"/>
    <m/>
    <m/>
    <m/>
    <m/>
    <m/>
    <m/>
    <m/>
    <m/>
    <m/>
    <m/>
    <m/>
    <m/>
  </r>
  <r>
    <x v="4"/>
    <s v="Atlanta Technical College"/>
    <m/>
    <n v="138840"/>
    <x v="9"/>
    <n v="146154.64069999999"/>
    <n v="139261.6"/>
    <n v="128519.75899999999"/>
    <n v="118905.2"/>
    <m/>
    <m/>
    <n v="17634.881699999998"/>
    <n v="0"/>
    <m/>
    <n v="20356.400000000001"/>
    <n v="0"/>
    <m/>
    <m/>
    <m/>
    <n v="0"/>
    <n v="0"/>
    <m/>
    <m/>
    <m/>
    <m/>
    <m/>
    <m/>
    <m/>
    <m/>
    <m/>
    <m/>
    <m/>
    <m/>
  </r>
  <r>
    <x v="4"/>
    <s v="Augusta Technical College"/>
    <m/>
    <n v="138956"/>
    <x v="9"/>
    <n v="129363.1345"/>
    <n v="119168.20000000001"/>
    <n v="112413.6204"/>
    <n v="103669.6"/>
    <m/>
    <m/>
    <n v="16949.5141"/>
    <n v="0"/>
    <m/>
    <n v="15498.6"/>
    <n v="0"/>
    <m/>
    <m/>
    <m/>
    <n v="0"/>
    <n v="0"/>
    <m/>
    <m/>
    <m/>
    <m/>
    <m/>
    <m/>
    <m/>
    <m/>
    <m/>
    <m/>
    <m/>
    <m/>
  </r>
  <r>
    <x v="4"/>
    <s v="Central Georgia Technical College"/>
    <m/>
    <n v="140304"/>
    <x v="9"/>
    <n v="205400.26949999999"/>
    <n v="185092.40000000002"/>
    <n v="149695.48439999999"/>
    <n v="129573.4"/>
    <m/>
    <m/>
    <n v="55090.754399999998"/>
    <n v="614.03069999999991"/>
    <m/>
    <n v="54868.3"/>
    <n v="650.70000000000005"/>
    <m/>
    <m/>
    <m/>
    <n v="0"/>
    <n v="0"/>
    <m/>
    <m/>
    <m/>
    <m/>
    <m/>
    <m/>
    <m/>
    <m/>
    <m/>
    <m/>
    <m/>
    <m/>
  </r>
  <r>
    <x v="4"/>
    <s v="Chattahoochee Technical College"/>
    <m/>
    <n v="140331"/>
    <x v="9"/>
    <n v="319217.96009999997"/>
    <n v="308698.5"/>
    <n v="263362.50079999998"/>
    <n v="244988.5"/>
    <m/>
    <m/>
    <n v="55855.459299999995"/>
    <n v="0"/>
    <m/>
    <n v="63710"/>
    <n v="0"/>
    <m/>
    <m/>
    <m/>
    <n v="0"/>
    <n v="0"/>
    <m/>
    <m/>
    <m/>
    <m/>
    <m/>
    <m/>
    <m/>
    <m/>
    <m/>
    <m/>
    <m/>
    <m/>
  </r>
  <r>
    <x v="4"/>
    <s v="Columbus Technical College"/>
    <m/>
    <n v="139357"/>
    <x v="9"/>
    <n v="102573.1284"/>
    <n v="95272.099999999991"/>
    <n v="87909.061900000001"/>
    <n v="79356.2"/>
    <m/>
    <m/>
    <n v="14664.066499999999"/>
    <n v="0"/>
    <m/>
    <n v="15915.9"/>
    <n v="0"/>
    <m/>
    <m/>
    <m/>
    <n v="0"/>
    <n v="0"/>
    <m/>
    <m/>
    <m/>
    <m/>
    <m/>
    <m/>
    <m/>
    <m/>
    <m/>
    <m/>
    <m/>
    <m/>
  </r>
  <r>
    <x v="4"/>
    <s v="Georgia Northwestern Technical College"/>
    <m/>
    <n v="139384"/>
    <x v="9"/>
    <n v="175068.75299999997"/>
    <n v="174431.8"/>
    <n v="130023.1675"/>
    <n v="128342.2"/>
    <m/>
    <m/>
    <n v="44584.895799999998"/>
    <n v="460.68969999999996"/>
    <m/>
    <n v="46089.599999999999"/>
    <n v="0"/>
    <m/>
    <m/>
    <m/>
    <n v="0"/>
    <n v="0"/>
    <m/>
    <m/>
    <m/>
    <m/>
    <m/>
    <m/>
    <m/>
    <m/>
    <m/>
    <m/>
    <m/>
    <m/>
  </r>
  <r>
    <x v="4"/>
    <s v="Georgia Piedmont Technical College"/>
    <s v="Formerly DeKalb Technical College."/>
    <n v="244446"/>
    <x v="9"/>
    <n v="133425.3376"/>
    <n v="119339.8"/>
    <n v="97686.217399999994"/>
    <n v="83241.5"/>
    <m/>
    <m/>
    <n v="35739.120199999998"/>
    <n v="0"/>
    <m/>
    <n v="36098.300000000003"/>
    <n v="0"/>
    <m/>
    <m/>
    <m/>
    <n v="0"/>
    <n v="0"/>
    <m/>
    <m/>
    <m/>
    <m/>
    <m/>
    <m/>
    <m/>
    <m/>
    <m/>
    <m/>
    <m/>
    <m/>
  </r>
  <r>
    <x v="4"/>
    <s v="Gwinnett Technical College"/>
    <m/>
    <n v="140012"/>
    <x v="9"/>
    <n v="178875.61"/>
    <n v="173572.7"/>
    <n v="136053.46899999998"/>
    <n v="130399.6"/>
    <m/>
    <m/>
    <n v="42822.140999999996"/>
    <n v="0"/>
    <m/>
    <n v="43173.1"/>
    <n v="0"/>
    <m/>
    <m/>
    <m/>
    <n v="0"/>
    <n v="0"/>
    <m/>
    <m/>
    <m/>
    <m/>
    <m/>
    <m/>
    <m/>
    <m/>
    <m/>
    <m/>
    <m/>
    <m/>
  </r>
  <r>
    <x v="4"/>
    <s v="Lanier Technical College"/>
    <m/>
    <n v="140243"/>
    <x v="9"/>
    <n v="109650.8156"/>
    <n v="92952.5"/>
    <n v="74143.706999999995"/>
    <n v="61222"/>
    <m/>
    <m/>
    <n v="35507.1086"/>
    <n v="0"/>
    <m/>
    <n v="31730.5"/>
    <n v="0"/>
    <m/>
    <m/>
    <m/>
    <n v="0"/>
    <n v="0"/>
    <m/>
    <m/>
    <m/>
    <m/>
    <m/>
    <m/>
    <m/>
    <m/>
    <m/>
    <m/>
    <m/>
    <m/>
  </r>
  <r>
    <x v="4"/>
    <s v="Middle Georgia Technical College"/>
    <m/>
    <n v="140085"/>
    <x v="9"/>
    <n v="117809.22349999999"/>
    <n v="110618"/>
    <n v="93651.348999999987"/>
    <n v="85972.5"/>
    <m/>
    <m/>
    <n v="24157.874499999998"/>
    <n v="0"/>
    <m/>
    <n v="24645.5"/>
    <n v="0"/>
    <m/>
    <m/>
    <m/>
    <n v="0"/>
    <n v="0"/>
    <m/>
    <m/>
    <m/>
    <m/>
    <m/>
    <m/>
    <m/>
    <m/>
    <m/>
    <m/>
    <m/>
    <m/>
  </r>
  <r>
    <x v="4"/>
    <s v="Moultrie Technical College"/>
    <m/>
    <n v="140599"/>
    <x v="9"/>
    <n v="70692.867799999993"/>
    <n v="64625.799999999996"/>
    <n v="59099.621499999994"/>
    <n v="51189.7"/>
    <m/>
    <m/>
    <n v="11593.246299999999"/>
    <n v="0"/>
    <m/>
    <n v="13436.1"/>
    <n v="0"/>
    <m/>
    <m/>
    <m/>
    <n v="0"/>
    <n v="0"/>
    <m/>
    <m/>
    <m/>
    <m/>
    <m/>
    <m/>
    <m/>
    <m/>
    <m/>
    <m/>
    <m/>
    <m/>
  </r>
  <r>
    <x v="4"/>
    <s v="North Georgia Technical College"/>
    <m/>
    <n v="140678"/>
    <x v="9"/>
    <n v="84423.554300000003"/>
    <n v="72260.299999999988"/>
    <n v="67452.705799999996"/>
    <n v="55573.4"/>
    <m/>
    <m/>
    <n v="14180.708999999999"/>
    <n v="2790.1394999999998"/>
    <m/>
    <n v="13700.5"/>
    <n v="2986.4"/>
    <m/>
    <m/>
    <m/>
    <n v="0"/>
    <n v="0"/>
    <m/>
    <m/>
    <m/>
    <m/>
    <m/>
    <m/>
    <m/>
    <m/>
    <m/>
    <m/>
    <m/>
    <m/>
  </r>
  <r>
    <x v="4"/>
    <s v="Ogeechee Technical College"/>
    <m/>
    <n v="366465"/>
    <x v="9"/>
    <n v="73528.342899999989"/>
    <n v="71441.200000000012"/>
    <n v="54188.042599999993"/>
    <n v="52442.8"/>
    <m/>
    <m/>
    <n v="19340.300299999999"/>
    <n v="0"/>
    <m/>
    <n v="18998.400000000001"/>
    <n v="0"/>
    <m/>
    <m/>
    <m/>
    <n v="0"/>
    <n v="0"/>
    <m/>
    <m/>
    <m/>
    <m/>
    <m/>
    <m/>
    <m/>
    <m/>
    <m/>
    <m/>
    <m/>
    <m/>
  </r>
  <r>
    <x v="4"/>
    <s v="Okefenokee Technical College"/>
    <m/>
    <n v="248776"/>
    <x v="9"/>
    <n v="42325.782849999996"/>
    <n v="35327.800000000003"/>
    <n v="38127.572949999994"/>
    <n v="31224.3"/>
    <m/>
    <m/>
    <n v="4198.2098999999998"/>
    <n v="0"/>
    <m/>
    <n v="4103.5"/>
    <n v="0"/>
    <m/>
    <m/>
    <m/>
    <n v="0"/>
    <n v="0"/>
    <m/>
    <m/>
    <m/>
    <m/>
    <m/>
    <m/>
    <m/>
    <m/>
    <m/>
    <m/>
    <m/>
    <m/>
  </r>
  <r>
    <x v="4"/>
    <s v="Savannah Technical College"/>
    <m/>
    <n v="140942"/>
    <x v="9"/>
    <n v="146168.64139999999"/>
    <n v="135656.69999999998"/>
    <n v="116991.1826"/>
    <n v="104294.9"/>
    <m/>
    <m/>
    <n v="29177.458799999997"/>
    <n v="0"/>
    <m/>
    <n v="31361.8"/>
    <n v="0"/>
    <m/>
    <m/>
    <m/>
    <n v="0"/>
    <n v="0"/>
    <m/>
    <m/>
    <m/>
    <m/>
    <m/>
    <m/>
    <m/>
    <m/>
    <m/>
    <m/>
    <m/>
    <m/>
  </r>
  <r>
    <x v="4"/>
    <s v="South Georgia Technical College"/>
    <m/>
    <n v="141006"/>
    <x v="9"/>
    <n v="81004.049999999988"/>
    <n v="73009.099999999991"/>
    <n v="69031.451399999991"/>
    <n v="60842.7"/>
    <m/>
    <m/>
    <n v="11972.598599999999"/>
    <n v="0"/>
    <m/>
    <n v="12166.4"/>
    <n v="0"/>
    <m/>
    <m/>
    <m/>
    <n v="0"/>
    <n v="0"/>
    <m/>
    <m/>
    <m/>
    <m/>
    <m/>
    <m/>
    <m/>
    <m/>
    <m/>
    <m/>
    <m/>
    <m/>
  </r>
  <r>
    <x v="4"/>
    <s v="Southeastern Technical College"/>
    <m/>
    <n v="368911"/>
    <x v="9"/>
    <n v="51828.5913"/>
    <n v="45997.2"/>
    <n v="41946.763899999998"/>
    <n v="36896.199999999997"/>
    <m/>
    <m/>
    <n v="9881.8274000000001"/>
    <n v="0"/>
    <m/>
    <n v="9101"/>
    <n v="0"/>
    <m/>
    <m/>
    <m/>
    <n v="0"/>
    <n v="0"/>
    <m/>
    <m/>
    <m/>
    <m/>
    <m/>
    <m/>
    <m/>
    <m/>
    <m/>
    <m/>
    <m/>
    <m/>
  </r>
  <r>
    <x v="4"/>
    <s v="Southern Crescent Technical College"/>
    <m/>
    <n v="139986"/>
    <x v="9"/>
    <n v="170829.67439"/>
    <n v="144060.79999999999"/>
    <n v="134654.53239000001"/>
    <n v="111574"/>
    <m/>
    <m/>
    <n v="36175.142"/>
    <n v="0"/>
    <m/>
    <n v="32486.799999999999"/>
    <n v="0"/>
    <m/>
    <m/>
    <m/>
    <n v="0"/>
    <n v="0"/>
    <m/>
    <m/>
    <m/>
    <m/>
    <m/>
    <m/>
    <m/>
    <m/>
    <m/>
    <m/>
    <m/>
    <m/>
  </r>
  <r>
    <x v="4"/>
    <s v="Southwest Georgia Technical College"/>
    <m/>
    <n v="141158"/>
    <x v="9"/>
    <n v="42051.102449999991"/>
    <n v="39895.300000000003"/>
    <n v="34411.387149999995"/>
    <n v="31703.7"/>
    <m/>
    <m/>
    <n v="7639.7152999999998"/>
    <n v="0"/>
    <m/>
    <n v="8191.6"/>
    <n v="0"/>
    <m/>
    <m/>
    <m/>
    <n v="0"/>
    <n v="0"/>
    <m/>
    <m/>
    <m/>
    <m/>
    <m/>
    <m/>
    <m/>
    <m/>
    <m/>
    <m/>
    <m/>
    <m/>
  </r>
  <r>
    <x v="4"/>
    <s v="West Georgia Technical College"/>
    <m/>
    <n v="139278"/>
    <x v="9"/>
    <n v="184845.24179999999"/>
    <n v="181609.9"/>
    <n v="153893.0276"/>
    <n v="149538.5"/>
    <m/>
    <m/>
    <n v="30952.214199999999"/>
    <n v="0"/>
    <m/>
    <n v="32071.4"/>
    <n v="0"/>
    <m/>
    <m/>
    <m/>
    <n v="0"/>
    <n v="0"/>
    <m/>
    <m/>
    <m/>
    <m/>
    <m/>
    <m/>
    <m/>
    <m/>
    <m/>
    <m/>
    <m/>
    <m/>
  </r>
  <r>
    <x v="4"/>
    <s v="Wiregrass Georgia Technical College"/>
    <m/>
    <n v="141255"/>
    <x v="9"/>
    <n v="149922.82909999997"/>
    <n v="137751.6"/>
    <n v="126133.63969999999"/>
    <n v="108685.3"/>
    <m/>
    <m/>
    <n v="23789.189399999999"/>
    <n v="0"/>
    <m/>
    <n v="29066.3"/>
    <n v="0"/>
    <m/>
    <m/>
    <m/>
    <n v="0"/>
    <n v="0"/>
    <m/>
    <m/>
    <m/>
    <m/>
    <m/>
    <m/>
    <m/>
    <m/>
    <m/>
    <m/>
    <m/>
    <m/>
  </r>
  <r>
    <x v="4"/>
    <s v="Oconee Fall Line Technical College"/>
    <s v="Is the merger of Heart of Georgia Tech and Sandersville Tech"/>
    <n v="420431"/>
    <x v="9"/>
    <n v="70259.512799999997"/>
    <n v="59677.2"/>
    <n v="61782.422299999998"/>
    <n v="50085.2"/>
    <m/>
    <m/>
    <n v="7553.7109999999993"/>
    <n v="923.37949999999989"/>
    <n v="0"/>
    <n v="9147.2999999999993"/>
    <n v="444.7"/>
    <n v="0"/>
    <n v="0"/>
    <n v="0"/>
    <n v="0"/>
    <n v="0"/>
    <n v="0"/>
    <n v="0"/>
    <n v="0"/>
    <n v="0"/>
    <n v="0"/>
    <n v="0"/>
    <n v="0"/>
    <n v="0"/>
    <n v="0"/>
    <n v="0"/>
    <n v="0"/>
    <n v="0"/>
  </r>
  <r>
    <x v="5"/>
    <s v="University of Kentucky"/>
    <m/>
    <n v="157085"/>
    <x v="0"/>
    <n v="539913"/>
    <n v="555786"/>
    <n v="521382"/>
    <n v="530749"/>
    <n v="2828"/>
    <n v="2209"/>
    <n v="13218"/>
    <n v="1309"/>
    <n v="1176"/>
    <n v="20681"/>
    <n v="2144"/>
    <n v="3"/>
    <m/>
    <m/>
    <n v="80488"/>
    <n v="84631"/>
    <n v="69004"/>
    <n v="71470"/>
    <n v="2949"/>
    <n v="1628"/>
    <n v="7841"/>
    <n v="340"/>
    <n v="354"/>
    <n v="10068"/>
    <n v="1459"/>
    <n v="6"/>
    <m/>
    <m/>
  </r>
  <r>
    <x v="5"/>
    <s v="University of Louisville"/>
    <m/>
    <n v="157289"/>
    <x v="0"/>
    <n v="393895"/>
    <n v="397187.5"/>
    <n v="360400"/>
    <n v="360351"/>
    <n v="9053"/>
    <n v="10081.5"/>
    <n v="24442"/>
    <m/>
    <m/>
    <n v="26755"/>
    <m/>
    <m/>
    <m/>
    <m/>
    <n v="78088"/>
    <n v="79200"/>
    <n v="69917"/>
    <n v="70359.5"/>
    <n v="4189"/>
    <n v="4384.5"/>
    <n v="3982"/>
    <m/>
    <m/>
    <n v="4456"/>
    <m/>
    <m/>
    <m/>
    <m/>
  </r>
  <r>
    <x v="5"/>
    <s v="Eastern Kentucky University "/>
    <m/>
    <n v="156620"/>
    <x v="2"/>
    <n v="381237"/>
    <n v="366498"/>
    <n v="300117"/>
    <n v="291063"/>
    <n v="28339"/>
    <n v="24080"/>
    <n v="44099"/>
    <n v="8682"/>
    <m/>
    <n v="42081"/>
    <n v="9274"/>
    <m/>
    <m/>
    <m/>
    <n v="33745"/>
    <n v="37637"/>
    <n v="18517"/>
    <n v="21407"/>
    <n v="1363"/>
    <n v="1157"/>
    <n v="12521"/>
    <n v="1344"/>
    <m/>
    <n v="14044"/>
    <n v="1029"/>
    <m/>
    <m/>
    <m/>
  </r>
  <r>
    <x v="5"/>
    <s v="Morehead State University "/>
    <m/>
    <n v="157386"/>
    <x v="2"/>
    <n v="182291"/>
    <n v="188450"/>
    <n v="129758"/>
    <n v="127125"/>
    <n v="13378"/>
    <n v="18007"/>
    <n v="30372"/>
    <n v="8783"/>
    <m/>
    <n v="33647"/>
    <n v="9671"/>
    <m/>
    <m/>
    <m/>
    <n v="19998"/>
    <n v="22629"/>
    <n v="5255"/>
    <n v="5429"/>
    <n v="378"/>
    <n v="354"/>
    <n v="13378"/>
    <n v="987"/>
    <m/>
    <n v="15850"/>
    <n v="996"/>
    <m/>
    <m/>
    <m/>
  </r>
  <r>
    <x v="5"/>
    <s v="Murray State University "/>
    <m/>
    <n v="157401"/>
    <x v="2"/>
    <n v="220191"/>
    <n v="222642"/>
    <n v="193285"/>
    <n v="193484"/>
    <n v="8199"/>
    <n v="8053"/>
    <n v="12583"/>
    <n v="6124"/>
    <m/>
    <n v="14749"/>
    <n v="6356"/>
    <m/>
    <m/>
    <m/>
    <n v="29144"/>
    <n v="31159"/>
    <n v="16036"/>
    <n v="16352"/>
    <n v="3778"/>
    <n v="3231"/>
    <n v="7401"/>
    <n v="1929"/>
    <m/>
    <n v="9433"/>
    <n v="2143"/>
    <m/>
    <m/>
    <m/>
  </r>
  <r>
    <x v="5"/>
    <s v="Western Kentucky University "/>
    <m/>
    <n v="157951"/>
    <x v="2"/>
    <n v="464035"/>
    <n v="459602"/>
    <n v="351307"/>
    <n v="344823.5"/>
    <n v="43182"/>
    <n v="44604"/>
    <n v="58991"/>
    <n v="9208"/>
    <n v="1347"/>
    <n v="59447"/>
    <n v="8812.5"/>
    <n v="1915"/>
    <m/>
    <m/>
    <n v="44392"/>
    <n v="50140.5"/>
    <n v="20075"/>
    <n v="21614"/>
    <n v="2496"/>
    <n v="2352"/>
    <n v="21169"/>
    <n v="636"/>
    <n v="16"/>
    <n v="25442.5"/>
    <n v="693"/>
    <n v="39"/>
    <m/>
    <m/>
  </r>
  <r>
    <x v="5"/>
    <s v="Kentucky State University "/>
    <m/>
    <n v="157058"/>
    <x v="3"/>
    <n v="66536"/>
    <n v="63778"/>
    <n v="57442"/>
    <n v="53254"/>
    <m/>
    <n v="98"/>
    <n v="9085"/>
    <m/>
    <n v="9"/>
    <n v="10417"/>
    <m/>
    <n v="9"/>
    <m/>
    <m/>
    <n v="3518"/>
    <n v="3997"/>
    <n v="1808"/>
    <n v="2101"/>
    <m/>
    <m/>
    <n v="1710"/>
    <m/>
    <m/>
    <n v="1896"/>
    <m/>
    <m/>
    <m/>
    <m/>
  </r>
  <r>
    <x v="5"/>
    <s v="Northern Kentucky University "/>
    <m/>
    <n v="157447"/>
    <x v="3"/>
    <n v="331893"/>
    <n v="334722"/>
    <n v="286917"/>
    <n v="281387"/>
    <n v="13733"/>
    <n v="12633"/>
    <n v="31243"/>
    <m/>
    <m/>
    <n v="40702"/>
    <m/>
    <m/>
    <m/>
    <m/>
    <n v="37581"/>
    <n v="41331"/>
    <n v="29269"/>
    <n v="30967"/>
    <n v="1026"/>
    <n v="1184"/>
    <n v="7286"/>
    <m/>
    <m/>
    <n v="9180"/>
    <m/>
    <m/>
    <m/>
    <m/>
  </r>
  <r>
    <x v="5"/>
    <s v="Bluegrass Community and Technical College"/>
    <m/>
    <n v="157173"/>
    <x v="6"/>
    <n v="279169"/>
    <n v="286292"/>
    <n v="179183"/>
    <n v="175488"/>
    <n v="28605"/>
    <n v="28505"/>
    <n v="70516"/>
    <n v="865"/>
    <m/>
    <n v="82251"/>
    <n v="48"/>
    <m/>
    <m/>
    <m/>
    <n v="0"/>
    <n v="0"/>
    <m/>
    <m/>
    <m/>
    <m/>
    <m/>
    <m/>
    <m/>
    <m/>
    <m/>
    <m/>
    <m/>
    <m/>
  </r>
  <r>
    <x v="5"/>
    <s v="Jefferson Community and Technical College "/>
    <m/>
    <n v="156921"/>
    <x v="6"/>
    <n v="274026"/>
    <n v="266410"/>
    <n v="212295"/>
    <n v="201553"/>
    <n v="14192"/>
    <n v="14359"/>
    <n v="46980"/>
    <n v="559"/>
    <m/>
    <n v="49659"/>
    <n v="839"/>
    <m/>
    <m/>
    <m/>
    <n v="0"/>
    <n v="0"/>
    <m/>
    <m/>
    <m/>
    <m/>
    <m/>
    <m/>
    <m/>
    <m/>
    <m/>
    <m/>
    <m/>
    <m/>
  </r>
  <r>
    <x v="5"/>
    <s v="Ashland Community and Technical College"/>
    <m/>
    <n v="156231"/>
    <x v="7"/>
    <n v="86918"/>
    <n v="86732"/>
    <n v="59880"/>
    <n v="57455"/>
    <n v="9337"/>
    <n v="9567"/>
    <n v="17701"/>
    <m/>
    <m/>
    <n v="19710"/>
    <m/>
    <m/>
    <m/>
    <m/>
    <n v="0"/>
    <n v="0"/>
    <m/>
    <m/>
    <m/>
    <m/>
    <m/>
    <m/>
    <m/>
    <m/>
    <m/>
    <m/>
    <m/>
    <m/>
  </r>
  <r>
    <x v="5"/>
    <s v="Big Sandy Community and Technical College "/>
    <m/>
    <n v="157553"/>
    <x v="7"/>
    <n v="93039"/>
    <n v="87803"/>
    <n v="41460"/>
    <n v="40278"/>
    <n v="11014"/>
    <n v="10727"/>
    <n v="40023"/>
    <n v="542"/>
    <m/>
    <n v="36272"/>
    <n v="526"/>
    <m/>
    <m/>
    <m/>
    <n v="0"/>
    <n v="0"/>
    <m/>
    <m/>
    <m/>
    <m/>
    <m/>
    <m/>
    <m/>
    <m/>
    <m/>
    <m/>
    <m/>
    <m/>
  </r>
  <r>
    <x v="5"/>
    <s v="Elizabethtown Community and Technical College "/>
    <m/>
    <n v="156648"/>
    <x v="7"/>
    <n v="129073"/>
    <n v="127667"/>
    <n v="98838"/>
    <n v="92546"/>
    <n v="2322"/>
    <n v="2157"/>
    <n v="27913"/>
    <m/>
    <m/>
    <n v="32848"/>
    <n v="116"/>
    <m/>
    <m/>
    <m/>
    <n v="0"/>
    <n v="0"/>
    <m/>
    <m/>
    <m/>
    <m/>
    <m/>
    <m/>
    <m/>
    <m/>
    <m/>
    <m/>
    <m/>
    <m/>
  </r>
  <r>
    <x v="5"/>
    <s v="Hopkinsville Community College "/>
    <s v="Reclassified: Met the criteria for Two-Year 2 in 2009-10, 2010-11 and 2011-12."/>
    <n v="156860"/>
    <x v="7"/>
    <n v="75637"/>
    <n v="78930"/>
    <n v="55330"/>
    <n v="56762"/>
    <n v="2945"/>
    <n v="2034"/>
    <n v="17362"/>
    <m/>
    <m/>
    <n v="20134"/>
    <m/>
    <m/>
    <m/>
    <m/>
    <n v="0"/>
    <n v="0"/>
    <m/>
    <m/>
    <m/>
    <m/>
    <m/>
    <m/>
    <m/>
    <m/>
    <m/>
    <m/>
    <m/>
    <m/>
  </r>
  <r>
    <x v="5"/>
    <s v="Madisonville Community College"/>
    <m/>
    <n v="157304"/>
    <x v="7"/>
    <n v="64799"/>
    <n v="62671"/>
    <n v="53693"/>
    <n v="49346"/>
    <n v="483"/>
    <n v="157"/>
    <n v="10623"/>
    <m/>
    <m/>
    <n v="13168"/>
    <m/>
    <m/>
    <m/>
    <m/>
    <n v="0"/>
    <n v="0"/>
    <m/>
    <m/>
    <m/>
    <m/>
    <m/>
    <m/>
    <m/>
    <m/>
    <m/>
    <m/>
    <m/>
    <m/>
  </r>
  <r>
    <x v="5"/>
    <s v="Maysville Community and Technical College "/>
    <m/>
    <n v="157331"/>
    <x v="7"/>
    <n v="101898"/>
    <n v="103971"/>
    <n v="35727"/>
    <n v="32774"/>
    <n v="15957"/>
    <n v="15945"/>
    <n v="47911"/>
    <n v="2303"/>
    <m/>
    <n v="52856"/>
    <n v="2396"/>
    <m/>
    <m/>
    <m/>
    <n v="0"/>
    <n v="0"/>
    <m/>
    <m/>
    <m/>
    <m/>
    <m/>
    <m/>
    <m/>
    <m/>
    <m/>
    <m/>
    <m/>
    <m/>
  </r>
  <r>
    <x v="5"/>
    <s v="Owensboro Community and Technical College "/>
    <m/>
    <n v="247940"/>
    <x v="7"/>
    <n v="98974"/>
    <n v="96873"/>
    <n v="88307"/>
    <n v="84098"/>
    <n v="820"/>
    <n v="534"/>
    <n v="9847"/>
    <m/>
    <m/>
    <n v="12241"/>
    <m/>
    <m/>
    <m/>
    <m/>
    <n v="0"/>
    <n v="0"/>
    <m/>
    <m/>
    <m/>
    <m/>
    <m/>
    <m/>
    <m/>
    <m/>
    <m/>
    <m/>
    <m/>
    <m/>
  </r>
  <r>
    <x v="5"/>
    <s v="Somerset Community and Technical College "/>
    <s v="Met the criteria for classification as a Two-Year 1 in 2011-12."/>
    <n v="157711"/>
    <x v="7"/>
    <n v="164331"/>
    <n v="173310"/>
    <n v="102798"/>
    <n v="100379"/>
    <n v="5810"/>
    <n v="6808"/>
    <n v="48956"/>
    <n v="6767"/>
    <m/>
    <n v="60329"/>
    <n v="5794"/>
    <m/>
    <m/>
    <m/>
    <n v="0"/>
    <n v="0"/>
    <m/>
    <m/>
    <m/>
    <m/>
    <m/>
    <m/>
    <m/>
    <m/>
    <m/>
    <m/>
    <m/>
    <m/>
  </r>
  <r>
    <x v="5"/>
    <s v="Southeast Kentucky Community and Technical College"/>
    <m/>
    <n v="157739"/>
    <x v="7"/>
    <n v="76086"/>
    <n v="72001"/>
    <n v="26164"/>
    <n v="23373"/>
    <n v="28175"/>
    <n v="26834"/>
    <n v="18930"/>
    <n v="2817"/>
    <m/>
    <n v="19281"/>
    <n v="2513"/>
    <m/>
    <m/>
    <m/>
    <n v="0"/>
    <n v="0"/>
    <m/>
    <m/>
    <m/>
    <m/>
    <m/>
    <m/>
    <m/>
    <m/>
    <m/>
    <m/>
    <m/>
    <m/>
  </r>
  <r>
    <x v="5"/>
    <s v="West Kentucky Community and Technical College"/>
    <m/>
    <n v="157483"/>
    <x v="7"/>
    <n v="122445"/>
    <n v="128318"/>
    <n v="81396"/>
    <n v="84238"/>
    <n v="2607"/>
    <n v="1248"/>
    <n v="38046"/>
    <n v="396"/>
    <m/>
    <n v="42350"/>
    <n v="482"/>
    <m/>
    <m/>
    <m/>
    <n v="0"/>
    <n v="0"/>
    <m/>
    <m/>
    <m/>
    <m/>
    <m/>
    <m/>
    <m/>
    <m/>
    <m/>
    <m/>
    <m/>
    <m/>
  </r>
  <r>
    <x v="5"/>
    <s v="Hazard Community and Technical College"/>
    <s v="Met the criteria for classification as a Two-Year 2 in 2010-11 and 2011-12."/>
    <n v="156790"/>
    <x v="8"/>
    <n v="69676"/>
    <n v="68363"/>
    <n v="50684"/>
    <n v="45057"/>
    <n v="336"/>
    <n v="452"/>
    <n v="16928"/>
    <n v="1728"/>
    <m/>
    <n v="21049"/>
    <n v="1805"/>
    <m/>
    <m/>
    <m/>
    <n v="0"/>
    <n v="0"/>
    <m/>
    <m/>
    <m/>
    <m/>
    <m/>
    <m/>
    <m/>
    <m/>
    <m/>
    <m/>
    <m/>
    <m/>
  </r>
  <r>
    <x v="5"/>
    <s v="Henderson Community College "/>
    <m/>
    <n v="156851"/>
    <x v="8"/>
    <n v="45194"/>
    <n v="43236"/>
    <n v="26790"/>
    <n v="24502"/>
    <n v="939"/>
    <n v="477"/>
    <n v="17071"/>
    <n v="394"/>
    <m/>
    <n v="17896"/>
    <n v="361"/>
    <m/>
    <m/>
    <m/>
    <n v="0"/>
    <n v="0"/>
    <m/>
    <m/>
    <m/>
    <m/>
    <m/>
    <m/>
    <m/>
    <m/>
    <m/>
    <m/>
    <m/>
    <m/>
  </r>
  <r>
    <x v="5"/>
    <s v="Bowling Green Technical College"/>
    <m/>
    <n v="156338"/>
    <x v="9"/>
    <n v="67511"/>
    <n v="69358"/>
    <n v="59290"/>
    <n v="58870"/>
    <n v="810"/>
    <n v="693"/>
    <n v="7411"/>
    <m/>
    <m/>
    <n v="9795"/>
    <m/>
    <m/>
    <m/>
    <m/>
    <n v="0"/>
    <n v="0"/>
    <m/>
    <m/>
    <m/>
    <m/>
    <m/>
    <m/>
    <m/>
    <m/>
    <m/>
    <m/>
    <m/>
    <m/>
  </r>
  <r>
    <x v="5"/>
    <s v="Gateway Community and Technical College"/>
    <m/>
    <n v="157438"/>
    <x v="9"/>
    <n v="70022"/>
    <n v="75156"/>
    <n v="67062"/>
    <n v="70221"/>
    <m/>
    <m/>
    <n v="2960"/>
    <m/>
    <m/>
    <n v="4935"/>
    <m/>
    <m/>
    <m/>
    <m/>
    <n v="0"/>
    <n v="0"/>
    <m/>
    <m/>
    <m/>
    <m/>
    <m/>
    <m/>
    <m/>
    <m/>
    <m/>
    <m/>
    <m/>
    <m/>
  </r>
  <r>
    <x v="6"/>
    <m/>
    <m/>
    <m/>
    <x v="0"/>
    <m/>
    <m/>
    <m/>
    <m/>
    <m/>
    <m/>
    <m/>
    <m/>
    <m/>
    <m/>
    <m/>
    <m/>
    <m/>
    <m/>
    <m/>
    <m/>
    <m/>
    <m/>
    <m/>
    <m/>
    <m/>
    <m/>
    <m/>
    <m/>
    <m/>
    <m/>
    <m/>
    <m/>
  </r>
  <r>
    <x v="7"/>
    <s v="University of Maryland College Park"/>
    <m/>
    <n v="163286"/>
    <x v="0"/>
    <n v="799218"/>
    <n v="799551"/>
    <n v="771256"/>
    <n v="766563"/>
    <n v="16898"/>
    <n v="18027"/>
    <n v="10719"/>
    <n v="345"/>
    <m/>
    <n v="14961"/>
    <n v="0"/>
    <n v="0"/>
    <m/>
    <n v="0"/>
    <n v="156544.5"/>
    <n v="158873"/>
    <n v="115130.5"/>
    <n v="114938"/>
    <n v="35031"/>
    <n v="37212"/>
    <n v="5393"/>
    <n v="990"/>
    <m/>
    <n v="5774"/>
    <n v="949"/>
    <n v="0"/>
    <m/>
    <n v="0"/>
  </r>
  <r>
    <x v="7"/>
    <s v="Morgan State University"/>
    <s v="Reclassified: Met the criteria for  Four-Year 2 in 2009-10, 2010-11 and 2011-12."/>
    <n v="163453"/>
    <x v="1"/>
    <n v="181220"/>
    <n v="191053"/>
    <n v="180110"/>
    <n v="188521"/>
    <n v="408"/>
    <n v="404"/>
    <n v="702"/>
    <m/>
    <m/>
    <n v="2128"/>
    <n v="0"/>
    <n v="0"/>
    <m/>
    <n v="0"/>
    <n v="17903"/>
    <n v="20593"/>
    <n v="16748"/>
    <n v="18313"/>
    <n v="585"/>
    <n v="583"/>
    <n v="570"/>
    <m/>
    <m/>
    <n v="1697"/>
    <n v="0"/>
    <n v="0"/>
    <m/>
    <n v="0"/>
  </r>
  <r>
    <x v="7"/>
    <s v="University of Maryland, Baltimore County"/>
    <m/>
    <n v="163268"/>
    <x v="1"/>
    <n v="290420.5"/>
    <n v="297770"/>
    <n v="262511.5"/>
    <n v="266582"/>
    <n v="5732"/>
    <n v="5529"/>
    <n v="22177"/>
    <m/>
    <m/>
    <n v="25659"/>
    <n v="0"/>
    <n v="0"/>
    <m/>
    <n v="0"/>
    <n v="35406"/>
    <n v="33838"/>
    <n v="26415"/>
    <n v="26158"/>
    <n v="2985"/>
    <n v="2146"/>
    <n v="5494"/>
    <n v="444"/>
    <n v="68"/>
    <n v="5534"/>
    <n v="0"/>
    <n v="0"/>
    <m/>
    <n v="0"/>
  </r>
  <r>
    <x v="7"/>
    <s v="Towson University "/>
    <m/>
    <n v="164076"/>
    <x v="2"/>
    <n v="506715.5"/>
    <n v="506306.5"/>
    <n v="471904.5"/>
    <n v="470902.5"/>
    <n v="9687"/>
    <n v="9374"/>
    <n v="25124"/>
    <m/>
    <m/>
    <n v="25793"/>
    <n v="237"/>
    <n v="0"/>
    <m/>
    <n v="0"/>
    <n v="58131.5"/>
    <n v="57519"/>
    <n v="35962.5"/>
    <n v="36863"/>
    <n v="15930"/>
    <n v="12597"/>
    <n v="6098"/>
    <n v="141"/>
    <m/>
    <n v="7732"/>
    <n v="327"/>
    <n v="0"/>
    <m/>
    <n v="0"/>
  </r>
  <r>
    <x v="7"/>
    <s v="Bowie State University "/>
    <m/>
    <n v="162007"/>
    <x v="3"/>
    <n v="121720"/>
    <n v="122617"/>
    <n v="112688"/>
    <n v="111003"/>
    <n v="905"/>
    <n v="1017"/>
    <n v="8127"/>
    <m/>
    <m/>
    <n v="10597"/>
    <n v="0"/>
    <n v="0"/>
    <m/>
    <n v="0"/>
    <n v="16332"/>
    <n v="15966"/>
    <n v="15461"/>
    <n v="15050"/>
    <n v="340"/>
    <n v="236"/>
    <n v="531"/>
    <m/>
    <m/>
    <n v="680"/>
    <n v="0"/>
    <n v="0"/>
    <m/>
    <n v="0"/>
  </r>
  <r>
    <x v="7"/>
    <s v="Coppin State University"/>
    <s v="Met the criteria for Four-Year 5 in 2010-11 and 2011-12."/>
    <n v="162283"/>
    <x v="3"/>
    <n v="93467"/>
    <n v="90877"/>
    <n v="85096"/>
    <n v="81079"/>
    <n v="0"/>
    <n v="0"/>
    <n v="8371"/>
    <m/>
    <m/>
    <n v="9798"/>
    <n v="0"/>
    <n v="0"/>
    <m/>
    <n v="0"/>
    <n v="7544"/>
    <n v="6866"/>
    <n v="5601"/>
    <n v="5747"/>
    <n v="1035"/>
    <n v="336"/>
    <n v="908"/>
    <m/>
    <m/>
    <n v="783"/>
    <n v="0"/>
    <n v="0"/>
    <m/>
    <n v="0"/>
  </r>
  <r>
    <x v="7"/>
    <s v="Frostburg State University "/>
    <m/>
    <n v="162584"/>
    <x v="3"/>
    <n v="137084"/>
    <n v="136980"/>
    <n v="122380"/>
    <n v="120267"/>
    <n v="1978"/>
    <n v="2334"/>
    <n v="12660"/>
    <n v="66"/>
    <m/>
    <n v="14298"/>
    <n v="81"/>
    <n v="0"/>
    <m/>
    <n v="0"/>
    <n v="11123"/>
    <n v="10914.5"/>
    <n v="4607"/>
    <n v="4152.5"/>
    <n v="2741"/>
    <n v="1894"/>
    <n v="3646"/>
    <n v="129"/>
    <m/>
    <n v="4868"/>
    <n v="0"/>
    <n v="0"/>
    <m/>
    <n v="0"/>
  </r>
  <r>
    <x v="7"/>
    <s v="Salisbury University "/>
    <m/>
    <n v="163851"/>
    <x v="3"/>
    <n v="226113"/>
    <n v="231853"/>
    <n v="209991"/>
    <n v="211326"/>
    <n v="1472"/>
    <n v="1391"/>
    <n v="13671"/>
    <n v="979"/>
    <m/>
    <n v="16697"/>
    <n v="2439"/>
    <n v="0"/>
    <m/>
    <n v="0"/>
    <n v="9829"/>
    <n v="11568"/>
    <n v="6259"/>
    <n v="5917"/>
    <n v="174"/>
    <n v="159"/>
    <n v="2091"/>
    <n v="1305"/>
    <m/>
    <n v="2702"/>
    <n v="2790"/>
    <n v="0"/>
    <m/>
    <n v="0"/>
  </r>
  <r>
    <x v="7"/>
    <s v="University of Baltimore"/>
    <m/>
    <n v="161873"/>
    <x v="3"/>
    <n v="69333"/>
    <n v="71004"/>
    <n v="55373"/>
    <n v="57496"/>
    <n v="1359"/>
    <n v="967"/>
    <n v="12601"/>
    <m/>
    <m/>
    <n v="12541"/>
    <n v="0"/>
    <n v="0"/>
    <m/>
    <n v="0"/>
    <n v="137530"/>
    <n v="56542"/>
    <n v="46305"/>
    <n v="46274"/>
    <n v="2255"/>
    <n v="1754"/>
    <n v="88970"/>
    <m/>
    <m/>
    <n v="8514"/>
    <n v="0"/>
    <n v="0"/>
    <m/>
    <n v="0"/>
  </r>
  <r>
    <x v="7"/>
    <s v="University of Maryland Eastern Shore "/>
    <m/>
    <n v="163338"/>
    <x v="3"/>
    <n v="117477"/>
    <n v="114098.5"/>
    <n v="111235"/>
    <n v="106429.5"/>
    <n v="2276"/>
    <n v="2637"/>
    <n v="3966"/>
    <m/>
    <m/>
    <n v="5032"/>
    <n v="0"/>
    <n v="0"/>
    <m/>
    <n v="0"/>
    <n v="9092"/>
    <n v="14028.5"/>
    <n v="8756"/>
    <n v="13716.5"/>
    <n v="192"/>
    <n v="99"/>
    <n v="144"/>
    <m/>
    <m/>
    <n v="213"/>
    <n v="0"/>
    <n v="0"/>
    <m/>
    <n v="0"/>
  </r>
  <r>
    <x v="7"/>
    <s v="Saint Mary's College of Maryland"/>
    <s v="Met the criteria for Four-Year 5 in 2010-11 and 2011-12."/>
    <n v="163912"/>
    <x v="5"/>
    <n v="62834.5"/>
    <n v="65152.5"/>
    <n v="62834.5"/>
    <n v="65152.5"/>
    <n v="0"/>
    <n v="0"/>
    <m/>
    <m/>
    <m/>
    <n v="0"/>
    <n v="0"/>
    <n v="0"/>
    <m/>
    <n v="0"/>
    <n v="1937"/>
    <n v="1577"/>
    <n v="1937"/>
    <n v="1577"/>
    <m/>
    <m/>
    <m/>
    <m/>
    <m/>
    <n v="0"/>
    <n v="0"/>
    <n v="0"/>
    <m/>
    <n v="0"/>
  </r>
  <r>
    <x v="7"/>
    <s v="Anne Arundel Community College "/>
    <m/>
    <n v="161767"/>
    <x v="6"/>
    <n v="329974.5"/>
    <n v="331724"/>
    <n v="251912.5"/>
    <n v="247819"/>
    <n v="4804"/>
    <n v="4294"/>
    <n v="72439"/>
    <n v="297"/>
    <n v="522"/>
    <n v="79373"/>
    <n v="238"/>
    <n v="0"/>
    <m/>
    <n v="0"/>
    <n v="0"/>
    <n v="0"/>
    <m/>
    <m/>
    <m/>
    <m/>
    <m/>
    <m/>
    <m/>
    <m/>
    <m/>
    <m/>
    <m/>
    <m/>
  </r>
  <r>
    <x v="7"/>
    <s v="College of Southern Maryland"/>
    <s v="Reclassified: Met the criteria for Two-Year 1 in 2009-10, 2010-11, and 2011-12."/>
    <n v="162122"/>
    <x v="6"/>
    <n v="164066"/>
    <n v="169607"/>
    <n v="112750"/>
    <n v="112709"/>
    <n v="3789"/>
    <n v="4684"/>
    <n v="45293"/>
    <n v="1342"/>
    <n v="892"/>
    <n v="50522"/>
    <n v="832"/>
    <n v="860"/>
    <m/>
    <n v="0"/>
    <n v="0"/>
    <n v="0"/>
    <m/>
    <m/>
    <m/>
    <m/>
    <m/>
    <m/>
    <m/>
    <m/>
    <m/>
    <m/>
    <m/>
    <m/>
  </r>
  <r>
    <x v="7"/>
    <s v="Community College of Baltimore County (all campuses)"/>
    <m/>
    <n v="434672"/>
    <x v="6"/>
    <n v="477384"/>
    <n v="483407.5"/>
    <n v="389931.5"/>
    <n v="390798"/>
    <n v="34196"/>
    <n v="36171.5"/>
    <n v="52725.5"/>
    <n v="531"/>
    <m/>
    <n v="56039"/>
    <n v="399"/>
    <n v="0"/>
    <m/>
    <n v="0"/>
    <n v="0"/>
    <n v="0"/>
    <m/>
    <m/>
    <m/>
    <m/>
    <m/>
    <m/>
    <m/>
    <m/>
    <m/>
    <m/>
    <m/>
    <m/>
  </r>
  <r>
    <x v="7"/>
    <s v="Howard Community College "/>
    <s v="Reclassified: Met the criteria for Two-Year 1 in 2009-10, 2010-11, and 2011-12."/>
    <n v="162779"/>
    <x v="6"/>
    <n v="177846"/>
    <n v="191227"/>
    <n v="156256"/>
    <n v="165234"/>
    <n v="7255"/>
    <n v="7512"/>
    <n v="13747"/>
    <n v="9"/>
    <n v="579"/>
    <n v="18362"/>
    <n v="0"/>
    <n v="119"/>
    <m/>
    <n v="0"/>
    <n v="0"/>
    <n v="0"/>
    <m/>
    <m/>
    <m/>
    <m/>
    <m/>
    <m/>
    <m/>
    <m/>
    <m/>
    <m/>
    <m/>
    <m/>
  </r>
  <r>
    <x v="7"/>
    <s v="Montgomery College (all campuses)"/>
    <m/>
    <n v="163426"/>
    <x v="6"/>
    <n v="561477.19999999995"/>
    <n v="538774"/>
    <n v="506365"/>
    <n v="485280"/>
    <n v="23862.2"/>
    <n v="3237"/>
    <n v="31250"/>
    <m/>
    <m/>
    <n v="50257"/>
    <n v="0"/>
    <n v="0"/>
    <m/>
    <n v="0"/>
    <n v="0"/>
    <n v="0"/>
    <m/>
    <m/>
    <m/>
    <m/>
    <m/>
    <m/>
    <m/>
    <m/>
    <m/>
    <m/>
    <m/>
    <m/>
  </r>
  <r>
    <x v="7"/>
    <s v="Prince George's Community College "/>
    <m/>
    <n v="163657"/>
    <x v="6"/>
    <n v="388272"/>
    <n v="391184"/>
    <n v="228085"/>
    <n v="221513"/>
    <n v="121383"/>
    <n v="124659"/>
    <n v="38804"/>
    <m/>
    <m/>
    <n v="45012"/>
    <n v="0"/>
    <n v="0"/>
    <m/>
    <n v="0"/>
    <n v="0"/>
    <n v="0"/>
    <m/>
    <m/>
    <m/>
    <m/>
    <m/>
    <m/>
    <m/>
    <m/>
    <m/>
    <m/>
    <m/>
    <m/>
  </r>
  <r>
    <x v="7"/>
    <s v="Allegany College of Maryland"/>
    <m/>
    <n v="161688"/>
    <x v="7"/>
    <n v="75761"/>
    <n v="79998"/>
    <n v="55090"/>
    <n v="54308"/>
    <n v="15078"/>
    <n v="13184"/>
    <n v="3523"/>
    <n v="2070"/>
    <m/>
    <n v="10469"/>
    <n v="2037"/>
    <n v="0"/>
    <m/>
    <n v="0"/>
    <n v="0"/>
    <n v="0"/>
    <m/>
    <m/>
    <m/>
    <m/>
    <m/>
    <m/>
    <m/>
    <m/>
    <m/>
    <m/>
    <m/>
    <m/>
  </r>
  <r>
    <x v="7"/>
    <s v="Baltimore City Community College"/>
    <s v="Met the criteria for Two-Year 1 in 2011-12."/>
    <n v="161864"/>
    <x v="7"/>
    <n v="147566"/>
    <n v="151159"/>
    <n v="117477"/>
    <n v="119734"/>
    <n v="4072"/>
    <n v="3374"/>
    <n v="26017"/>
    <m/>
    <m/>
    <n v="28051"/>
    <n v="0"/>
    <n v="0"/>
    <m/>
    <n v="0"/>
    <n v="0"/>
    <n v="0"/>
    <m/>
    <m/>
    <m/>
    <m/>
    <m/>
    <m/>
    <m/>
    <m/>
    <m/>
    <m/>
    <m/>
    <m/>
  </r>
  <r>
    <x v="7"/>
    <s v="Carroll Community College"/>
    <m/>
    <n v="405872"/>
    <x v="7"/>
    <n v="79864"/>
    <n v="81913.5"/>
    <n v="71008"/>
    <n v="72208.5"/>
    <n v="0"/>
    <n v="8"/>
    <n v="8727"/>
    <n v="129"/>
    <m/>
    <n v="9568"/>
    <n v="129"/>
    <n v="0"/>
    <m/>
    <n v="0"/>
    <n v="0"/>
    <n v="0"/>
    <m/>
    <m/>
    <m/>
    <m/>
    <m/>
    <m/>
    <m/>
    <m/>
    <m/>
    <m/>
    <m/>
    <m/>
  </r>
  <r>
    <x v="7"/>
    <s v="Frederick Community College "/>
    <m/>
    <n v="162557"/>
    <x v="7"/>
    <n v="122265"/>
    <n v="124210"/>
    <n v="104884"/>
    <n v="105611"/>
    <n v="2237"/>
    <n v="3061"/>
    <n v="15144"/>
    <m/>
    <m/>
    <n v="15538"/>
    <n v="0"/>
    <n v="0"/>
    <m/>
    <n v="0"/>
    <n v="0"/>
    <n v="0"/>
    <m/>
    <m/>
    <m/>
    <m/>
    <m/>
    <m/>
    <m/>
    <m/>
    <m/>
    <m/>
    <m/>
    <m/>
  </r>
  <r>
    <x v="7"/>
    <s v="Hagerstown Community College "/>
    <m/>
    <n v="162690"/>
    <x v="7"/>
    <n v="92895"/>
    <n v="95008"/>
    <n v="74662"/>
    <n v="74544"/>
    <n v="5942"/>
    <n v="6491"/>
    <n v="12039"/>
    <m/>
    <n v="147"/>
    <n v="13860"/>
    <n v="0"/>
    <n v="0"/>
    <n v="105"/>
    <n v="113"/>
    <n v="0"/>
    <n v="0"/>
    <m/>
    <m/>
    <m/>
    <m/>
    <m/>
    <m/>
    <m/>
    <m/>
    <m/>
    <m/>
    <m/>
    <m/>
  </r>
  <r>
    <x v="7"/>
    <s v="Harford Community College "/>
    <m/>
    <n v="162706"/>
    <x v="7"/>
    <n v="133500.5"/>
    <n v="134794"/>
    <n v="106584"/>
    <n v="103584"/>
    <n v="1777"/>
    <n v="1907"/>
    <n v="25139.5"/>
    <m/>
    <m/>
    <n v="29303"/>
    <n v="0"/>
    <n v="0"/>
    <m/>
    <n v="0"/>
    <n v="0"/>
    <n v="0"/>
    <m/>
    <m/>
    <m/>
    <m/>
    <m/>
    <m/>
    <m/>
    <m/>
    <m/>
    <m/>
    <m/>
    <m/>
  </r>
  <r>
    <x v="7"/>
    <s v="Wor-Wic Community College "/>
    <m/>
    <n v="164313"/>
    <x v="7"/>
    <n v="77350"/>
    <n v="76900"/>
    <n v="67409"/>
    <n v="66734"/>
    <n v="1211"/>
    <n v="1564"/>
    <n v="8658"/>
    <n v="72"/>
    <m/>
    <n v="8503"/>
    <n v="99"/>
    <n v="0"/>
    <m/>
    <n v="0"/>
    <n v="0"/>
    <n v="0"/>
    <m/>
    <m/>
    <m/>
    <m/>
    <m/>
    <m/>
    <m/>
    <m/>
    <m/>
    <m/>
    <m/>
    <m/>
  </r>
  <r>
    <x v="7"/>
    <s v="Cecil Community College "/>
    <m/>
    <n v="162104"/>
    <x v="8"/>
    <n v="48917.5"/>
    <n v="49051"/>
    <n v="40188.5"/>
    <n v="38745"/>
    <n v="1130"/>
    <n v="665"/>
    <n v="7599"/>
    <m/>
    <m/>
    <n v="9641"/>
    <n v="0"/>
    <n v="0"/>
    <m/>
    <n v="0"/>
    <n v="0"/>
    <n v="0"/>
    <m/>
    <m/>
    <m/>
    <m/>
    <m/>
    <m/>
    <m/>
    <m/>
    <m/>
    <m/>
    <m/>
    <m/>
  </r>
  <r>
    <x v="7"/>
    <s v="Chesapeake College "/>
    <m/>
    <n v="162168"/>
    <x v="8"/>
    <n v="54337"/>
    <n v="52932"/>
    <n v="37715"/>
    <n v="34103"/>
    <n v="9220"/>
    <n v="8976"/>
    <n v="6329"/>
    <n v="1043"/>
    <m/>
    <n v="8911"/>
    <n v="942"/>
    <n v="0"/>
    <n v="30"/>
    <n v="0"/>
    <n v="0"/>
    <n v="0"/>
    <m/>
    <m/>
    <m/>
    <m/>
    <m/>
    <m/>
    <m/>
    <m/>
    <m/>
    <m/>
    <m/>
    <m/>
  </r>
  <r>
    <x v="7"/>
    <s v="Garrett College "/>
    <m/>
    <n v="162609"/>
    <x v="8"/>
    <n v="20422.75"/>
    <n v="23845.75"/>
    <n v="16790.75"/>
    <n v="20284.75"/>
    <n v="1276"/>
    <n v="837"/>
    <n v="2125"/>
    <n v="231"/>
    <m/>
    <n v="2511"/>
    <n v="213"/>
    <n v="0"/>
    <m/>
    <n v="0"/>
    <n v="0"/>
    <n v="0"/>
    <m/>
    <m/>
    <m/>
    <m/>
    <m/>
    <m/>
    <m/>
    <m/>
    <m/>
    <m/>
    <m/>
    <m/>
  </r>
  <r>
    <x v="7"/>
    <s v="University of Maryland University College"/>
    <m/>
    <n v="163204"/>
    <x v="12"/>
    <n v="422643"/>
    <n v="467863"/>
    <n v="0"/>
    <n v="0"/>
    <n v="57209"/>
    <n v="42577"/>
    <n v="365434"/>
    <m/>
    <m/>
    <n v="425286"/>
    <n v="0"/>
    <n v="0"/>
    <m/>
    <n v="0"/>
    <n v="173875"/>
    <n v="189917"/>
    <m/>
    <m/>
    <m/>
    <m/>
    <n v="173875"/>
    <m/>
    <m/>
    <n v="189917"/>
    <n v="0"/>
    <n v="0"/>
    <m/>
    <n v="0"/>
  </r>
  <r>
    <x v="8"/>
    <s v="Mississippi State University"/>
    <m/>
    <n v="176080"/>
    <x v="0"/>
    <n v="418441"/>
    <n v="442000"/>
    <n v="384596"/>
    <n v="406119"/>
    <n v="11858"/>
    <n v="11862"/>
    <n v="21750"/>
    <n v="159"/>
    <n v="78"/>
    <n v="23828"/>
    <n v="189"/>
    <n v="0"/>
    <m/>
    <n v="2"/>
    <n v="64561"/>
    <n v="64674"/>
    <n v="48053"/>
    <n v="46886"/>
    <n v="2945"/>
    <n v="2721"/>
    <n v="13172"/>
    <n v="388"/>
    <n v="3"/>
    <n v="14596"/>
    <n v="450"/>
    <n v="21"/>
    <m/>
    <m/>
  </r>
  <r>
    <x v="8"/>
    <s v="University of Southern Mississippi"/>
    <m/>
    <n v="176372"/>
    <x v="0"/>
    <n v="342644"/>
    <n v="348323"/>
    <n v="271156"/>
    <n v="274414"/>
    <n v="37295"/>
    <n v="38610"/>
    <n v="31314"/>
    <n v="317"/>
    <n v="2562"/>
    <n v="34886"/>
    <n v="413"/>
    <n v="0"/>
    <m/>
    <n v="0"/>
    <n v="59544"/>
    <n v="58574"/>
    <n v="37332"/>
    <n v="36161"/>
    <n v="5629"/>
    <n v="5089"/>
    <n v="16379"/>
    <n v="201"/>
    <n v="3"/>
    <n v="17161"/>
    <n v="157"/>
    <n v="6"/>
    <m/>
    <m/>
  </r>
  <r>
    <x v="8"/>
    <s v="Jackson State University "/>
    <m/>
    <n v="175856"/>
    <x v="1"/>
    <n v="162509.5"/>
    <n v="171406"/>
    <n v="147783.5"/>
    <n v="155157"/>
    <n v="11221"/>
    <n v="7941"/>
    <n v="3505"/>
    <m/>
    <m/>
    <n v="8308"/>
    <m/>
    <m/>
    <m/>
    <m/>
    <n v="30916.5"/>
    <n v="34161"/>
    <n v="20721.5"/>
    <n v="27375"/>
    <n v="9569"/>
    <n v="5704"/>
    <n v="626"/>
    <m/>
    <m/>
    <n v="1082"/>
    <m/>
    <m/>
    <m/>
    <m/>
  </r>
  <r>
    <x v="8"/>
    <s v="University of Mississippi"/>
    <s v="Met the criteria for Four-Year 1 in 2011-12."/>
    <n v="176017"/>
    <x v="1"/>
    <n v="414725"/>
    <n v="442900"/>
    <n v="372564"/>
    <n v="398995"/>
    <n v="24938"/>
    <n v="25715"/>
    <n v="8951"/>
    <n v="8266"/>
    <m/>
    <n v="9905"/>
    <n v="8285"/>
    <m/>
    <n v="6"/>
    <m/>
    <n v="56846"/>
    <n v="58767"/>
    <n v="51344"/>
    <n v="52323"/>
    <n v="2643"/>
    <n v="1863"/>
    <n v="1812"/>
    <n v="1044"/>
    <m/>
    <n v="2910"/>
    <n v="1671"/>
    <m/>
    <n v="3"/>
    <m/>
  </r>
  <r>
    <x v="8"/>
    <s v="Alcorn State University"/>
    <m/>
    <n v="175342"/>
    <x v="3"/>
    <n v="84461"/>
    <n v="94366"/>
    <n v="72596"/>
    <n v="77881"/>
    <m/>
    <m/>
    <n v="11651"/>
    <s v=" "/>
    <n v="192"/>
    <n v="16381"/>
    <m/>
    <n v="104"/>
    <n v="22"/>
    <n v="0"/>
    <n v="12210"/>
    <n v="12887"/>
    <n v="7084"/>
    <n v="5531"/>
    <m/>
    <m/>
    <n v="5087"/>
    <m/>
    <n v="39"/>
    <n v="7346"/>
    <m/>
    <n v="10"/>
    <m/>
    <n v="0"/>
  </r>
  <r>
    <x v="8"/>
    <s v="Delta State University"/>
    <m/>
    <n v="175616"/>
    <x v="3"/>
    <n v="77725"/>
    <n v="75114"/>
    <n v="62670.5"/>
    <n v="59051"/>
    <n v="2610"/>
    <n v="1666"/>
    <n v="12435.5"/>
    <m/>
    <m/>
    <n v="14388"/>
    <m/>
    <m/>
    <n v="9"/>
    <n v="9"/>
    <n v="19448"/>
    <n v="22851"/>
    <n v="10402"/>
    <n v="13929"/>
    <n v="291"/>
    <n v="324"/>
    <n v="8755"/>
    <m/>
    <m/>
    <n v="8598"/>
    <m/>
    <m/>
    <m/>
    <m/>
  </r>
  <r>
    <x v="8"/>
    <s v="Mississippi Valley State University"/>
    <m/>
    <n v="176044"/>
    <x v="3"/>
    <n v="66168"/>
    <n v="62282"/>
    <n v="57652"/>
    <n v="51226"/>
    <n v="2091"/>
    <n v="1338"/>
    <n v="5042"/>
    <m/>
    <n v="372"/>
    <n v="8592"/>
    <m/>
    <n v="301"/>
    <n v="1011"/>
    <n v="825"/>
    <n v="6652"/>
    <n v="10419"/>
    <n v="5006"/>
    <n v="8217"/>
    <n v="408"/>
    <n v="138"/>
    <n v="1061"/>
    <m/>
    <n v="177"/>
    <n v="1860"/>
    <m/>
    <n v="204"/>
    <m/>
    <n v="0"/>
  </r>
  <r>
    <x v="8"/>
    <s v="Mississippi University for Women"/>
    <m/>
    <n v="176035"/>
    <x v="4"/>
    <n v="63024"/>
    <n v="67624"/>
    <n v="43855"/>
    <n v="39952"/>
    <m/>
    <m/>
    <n v="19169"/>
    <m/>
    <m/>
    <n v="27672"/>
    <m/>
    <m/>
    <m/>
    <m/>
    <n v="4501"/>
    <n v="4260"/>
    <n v="2986"/>
    <n v="2743"/>
    <n v="276"/>
    <n v="328"/>
    <n v="1239"/>
    <m/>
    <m/>
    <n v="1189"/>
    <m/>
    <m/>
    <m/>
    <m/>
  </r>
  <r>
    <x v="8"/>
    <s v="Hinds Community College "/>
    <m/>
    <n v="175786"/>
    <x v="6"/>
    <n v="340377"/>
    <n v="338896"/>
    <n v="291407"/>
    <n v="287701"/>
    <m/>
    <m/>
    <n v="48970"/>
    <m/>
    <m/>
    <n v="51195"/>
    <m/>
    <m/>
    <m/>
    <m/>
    <n v="0"/>
    <n v="0"/>
    <m/>
    <m/>
    <m/>
    <m/>
    <m/>
    <m/>
    <m/>
    <m/>
    <m/>
    <m/>
    <m/>
    <m/>
  </r>
  <r>
    <x v="8"/>
    <s v="Itawamba Community College "/>
    <s v="Met criteria for Two-Year 2 2011-12."/>
    <n v="175829"/>
    <x v="6"/>
    <n v="226292"/>
    <n v="204086"/>
    <n v="138709"/>
    <n v="124506"/>
    <m/>
    <m/>
    <n v="87583"/>
    <m/>
    <m/>
    <n v="79580"/>
    <m/>
    <m/>
    <m/>
    <m/>
    <n v="0"/>
    <n v="0"/>
    <m/>
    <m/>
    <m/>
    <m/>
    <m/>
    <m/>
    <m/>
    <m/>
    <m/>
    <m/>
    <m/>
    <m/>
  </r>
  <r>
    <x v="8"/>
    <s v="Mississippi Gulf Coast Community College "/>
    <s v="Met criteria for Two-Year 2 2011-12."/>
    <n v="176071"/>
    <x v="6"/>
    <n v="260228"/>
    <n v="254461"/>
    <n v="217283"/>
    <n v="204991"/>
    <m/>
    <m/>
    <n v="42945"/>
    <m/>
    <m/>
    <n v="49470"/>
    <m/>
    <m/>
    <m/>
    <m/>
    <n v="0"/>
    <n v="0"/>
    <m/>
    <m/>
    <m/>
    <m/>
    <m/>
    <m/>
    <m/>
    <m/>
    <m/>
    <m/>
    <m/>
    <m/>
  </r>
  <r>
    <x v="8"/>
    <s v="Northwest Mississippi Community College "/>
    <s v="Met criteria for Two-Year 2 2011-12."/>
    <n v="176178"/>
    <x v="6"/>
    <n v="219847"/>
    <n v="215284"/>
    <n v="183910"/>
    <n v="178486"/>
    <m/>
    <m/>
    <n v="35937"/>
    <m/>
    <m/>
    <n v="36798"/>
    <m/>
    <m/>
    <m/>
    <m/>
    <n v="0"/>
    <n v="0"/>
    <m/>
    <m/>
    <m/>
    <m/>
    <m/>
    <m/>
    <m/>
    <m/>
    <m/>
    <m/>
    <m/>
    <m/>
  </r>
  <r>
    <x v="8"/>
    <s v="Copiah-Lincoln Community College "/>
    <s v="Met criteria for Two-Year 3 2011-12."/>
    <n v="175573"/>
    <x v="7"/>
    <n v="105575"/>
    <n v="99639"/>
    <n v="85329"/>
    <n v="78979"/>
    <m/>
    <m/>
    <n v="20246"/>
    <m/>
    <m/>
    <n v="20660"/>
    <m/>
    <m/>
    <m/>
    <m/>
    <n v="0"/>
    <n v="0"/>
    <m/>
    <m/>
    <m/>
    <m/>
    <m/>
    <m/>
    <m/>
    <m/>
    <m/>
    <m/>
    <m/>
    <m/>
  </r>
  <r>
    <x v="8"/>
    <s v="East Central Community College "/>
    <s v="Met criteria for Two-Year 3 2011-12."/>
    <n v="175643"/>
    <x v="7"/>
    <n v="72447"/>
    <n v="70659"/>
    <n v="60992"/>
    <n v="59097"/>
    <m/>
    <m/>
    <n v="11455"/>
    <m/>
    <m/>
    <n v="11562"/>
    <m/>
    <m/>
    <m/>
    <m/>
    <n v="0"/>
    <n v="0"/>
    <m/>
    <m/>
    <m/>
    <m/>
    <m/>
    <m/>
    <m/>
    <m/>
    <m/>
    <m/>
    <m/>
    <m/>
  </r>
  <r>
    <x v="8"/>
    <s v="East Mississippi Community College "/>
    <m/>
    <n v="175652"/>
    <x v="7"/>
    <n v="134386"/>
    <n v="129678"/>
    <n v="95985"/>
    <n v="87110"/>
    <m/>
    <m/>
    <n v="38401"/>
    <m/>
    <m/>
    <n v="42568"/>
    <m/>
    <m/>
    <m/>
    <m/>
    <n v="0"/>
    <n v="0"/>
    <m/>
    <m/>
    <m/>
    <m/>
    <m/>
    <m/>
    <m/>
    <m/>
    <m/>
    <m/>
    <m/>
    <m/>
  </r>
  <r>
    <x v="8"/>
    <s v="Holmes Community College "/>
    <m/>
    <n v="175810"/>
    <x v="7"/>
    <n v="161641"/>
    <n v="164122"/>
    <n v="141652"/>
    <n v="135843"/>
    <m/>
    <m/>
    <n v="19989"/>
    <m/>
    <m/>
    <n v="28279"/>
    <m/>
    <m/>
    <m/>
    <m/>
    <n v="0"/>
    <n v="0"/>
    <m/>
    <m/>
    <m/>
    <m/>
    <m/>
    <m/>
    <m/>
    <m/>
    <m/>
    <m/>
    <m/>
    <m/>
  </r>
  <r>
    <x v="8"/>
    <s v="Jones County Junior College "/>
    <m/>
    <n v="175883"/>
    <x v="7"/>
    <n v="151640"/>
    <n v="139066"/>
    <n v="125810"/>
    <n v="117067"/>
    <m/>
    <m/>
    <n v="25830"/>
    <m/>
    <m/>
    <n v="21999"/>
    <m/>
    <m/>
    <m/>
    <m/>
    <n v="0"/>
    <n v="0"/>
    <m/>
    <m/>
    <m/>
    <m/>
    <m/>
    <m/>
    <m/>
    <m/>
    <m/>
    <m/>
    <m/>
    <m/>
  </r>
  <r>
    <x v="8"/>
    <s v="Meridian Community College "/>
    <s v="Met criteria for Two-Year 3 2011-12."/>
    <n v="175935"/>
    <x v="7"/>
    <n v="102621"/>
    <n v="101121.5"/>
    <n v="88973"/>
    <n v="86567.5"/>
    <m/>
    <m/>
    <n v="13648"/>
    <m/>
    <m/>
    <n v="14554"/>
    <m/>
    <m/>
    <m/>
    <m/>
    <n v="0"/>
    <n v="0"/>
    <m/>
    <m/>
    <m/>
    <m/>
    <m/>
    <m/>
    <m/>
    <m/>
    <m/>
    <m/>
    <m/>
    <m/>
  </r>
  <r>
    <x v="8"/>
    <s v="Mississippi Delta Community College "/>
    <s v="Met criteria for Two-Year 3 2011-12."/>
    <n v="176008"/>
    <x v="7"/>
    <n v="95578"/>
    <n v="88891"/>
    <n v="80457"/>
    <n v="74233"/>
    <m/>
    <m/>
    <n v="15121"/>
    <m/>
    <m/>
    <n v="14658"/>
    <m/>
    <m/>
    <m/>
    <m/>
    <n v="0"/>
    <n v="0"/>
    <m/>
    <m/>
    <m/>
    <m/>
    <m/>
    <m/>
    <m/>
    <m/>
    <m/>
    <m/>
    <m/>
    <m/>
  </r>
  <r>
    <x v="8"/>
    <s v="Northeast Mississippi Community College "/>
    <s v="Met criteria for Two-Year 3 2011-12."/>
    <n v="176169"/>
    <x v="7"/>
    <n v="98780"/>
    <n v="98233"/>
    <n v="86696"/>
    <n v="82970"/>
    <m/>
    <m/>
    <n v="12084"/>
    <m/>
    <m/>
    <n v="15263"/>
    <m/>
    <m/>
    <m/>
    <m/>
    <n v="0"/>
    <n v="0"/>
    <m/>
    <m/>
    <m/>
    <m/>
    <m/>
    <m/>
    <m/>
    <m/>
    <m/>
    <m/>
    <m/>
    <m/>
  </r>
  <r>
    <x v="8"/>
    <s v="Pearl River Community College "/>
    <m/>
    <n v="176239"/>
    <x v="7"/>
    <n v="129439"/>
    <n v="129908"/>
    <n v="113535"/>
    <n v="110906"/>
    <m/>
    <m/>
    <n v="15904"/>
    <m/>
    <m/>
    <n v="19002"/>
    <m/>
    <m/>
    <m/>
    <m/>
    <n v="0"/>
    <n v="0"/>
    <m/>
    <m/>
    <m/>
    <m/>
    <m/>
    <m/>
    <m/>
    <m/>
    <m/>
    <m/>
    <m/>
    <m/>
  </r>
  <r>
    <x v="8"/>
    <s v="Coahoma Community College "/>
    <m/>
    <n v="175519"/>
    <x v="8"/>
    <n v="63546"/>
    <n v="72371"/>
    <n v="59568"/>
    <n v="66559"/>
    <m/>
    <m/>
    <n v="3978"/>
    <m/>
    <m/>
    <n v="5812"/>
    <m/>
    <m/>
    <m/>
    <m/>
    <n v="0"/>
    <n v="0"/>
    <m/>
    <m/>
    <m/>
    <m/>
    <m/>
    <m/>
    <m/>
    <m/>
    <m/>
    <m/>
    <m/>
    <m/>
  </r>
  <r>
    <x v="8"/>
    <s v="Southwest Mississippi Community College"/>
    <m/>
    <n v="176354"/>
    <x v="8"/>
    <n v="56549"/>
    <n v="57111"/>
    <n v="48821"/>
    <n v="47205"/>
    <m/>
    <m/>
    <n v="7728"/>
    <m/>
    <m/>
    <n v="9906"/>
    <m/>
    <m/>
    <m/>
    <m/>
    <n v="0"/>
    <n v="0"/>
    <m/>
    <m/>
    <m/>
    <m/>
    <m/>
    <m/>
    <m/>
    <m/>
    <m/>
    <m/>
    <m/>
    <m/>
  </r>
  <r>
    <x v="9"/>
    <s v="North Carolina State University "/>
    <m/>
    <n v="199193"/>
    <x v="0"/>
    <n v="725990"/>
    <n v="730688"/>
    <n v="652424"/>
    <n v="651413"/>
    <n v="2684"/>
    <n v="2287"/>
    <n v="70435"/>
    <n v="0"/>
    <n v="447"/>
    <n v="76769"/>
    <n v="0"/>
    <n v="219"/>
    <m/>
    <m/>
    <n v="134169"/>
    <n v="141726"/>
    <n v="110680"/>
    <n v="115456"/>
    <n v="6029"/>
    <n v="5786"/>
    <n v="16980"/>
    <n v="0"/>
    <n v="480"/>
    <n v="20283"/>
    <n v="0"/>
    <n v="201"/>
    <m/>
    <m/>
  </r>
  <r>
    <x v="9"/>
    <s v="University of North Carolina at Chapel Hill "/>
    <m/>
    <n v="199120"/>
    <x v="0"/>
    <n v="508742"/>
    <n v="512048"/>
    <n v="493196"/>
    <n v="497036"/>
    <n v="509"/>
    <n v="427"/>
    <n v="15037"/>
    <n v="0"/>
    <n v="0"/>
    <n v="14582"/>
    <n v="3"/>
    <n v="0"/>
    <m/>
    <m/>
    <n v="194086"/>
    <n v="187268"/>
    <n v="163862"/>
    <n v="161566"/>
    <n v="15695"/>
    <n v="14426"/>
    <n v="14092"/>
    <n v="437"/>
    <m/>
    <n v="11177"/>
    <n v="90"/>
    <n v="9"/>
    <m/>
    <m/>
  </r>
  <r>
    <x v="9"/>
    <s v="University of North Carolina at Greensboro"/>
    <s v="Reclassified: met the criteria for Four-Year 1 in 2009-10, 2010-11 and 2011-12."/>
    <n v="199148"/>
    <x v="0"/>
    <n v="414299"/>
    <n v="420880"/>
    <n v="350322"/>
    <n v="351372"/>
    <n v="336"/>
    <n v="350"/>
    <n v="63569"/>
    <n v="72"/>
    <n v="0"/>
    <n v="69074"/>
    <n v="84"/>
    <n v="0"/>
    <m/>
    <m/>
    <n v="70539"/>
    <n v="71544"/>
    <n v="55355"/>
    <n v="55256"/>
    <n v="2232"/>
    <n v="2850"/>
    <n v="12633"/>
    <n v="319"/>
    <m/>
    <n v="13159"/>
    <n v="279"/>
    <n v="0"/>
    <m/>
    <m/>
  </r>
  <r>
    <x v="9"/>
    <s v="University of North Carolina at Charlotte"/>
    <m/>
    <n v="199139"/>
    <x v="1"/>
    <n v="550912"/>
    <n v="566448"/>
    <n v="530225"/>
    <n v="543221"/>
    <n v="561"/>
    <n v="240"/>
    <n v="20126"/>
    <n v="0"/>
    <n v="0"/>
    <n v="22975"/>
    <n v="12"/>
    <n v="0"/>
    <m/>
    <m/>
    <n v="74936"/>
    <n v="71816"/>
    <n v="61026"/>
    <n v="59266"/>
    <n v="3771"/>
    <n v="2424"/>
    <n v="10115"/>
    <n v="24"/>
    <m/>
    <n v="10099"/>
    <n v="27"/>
    <n v="0"/>
    <m/>
    <m/>
  </r>
  <r>
    <x v="9"/>
    <s v="Appalachian State University "/>
    <m/>
    <n v="197869"/>
    <x v="2"/>
    <n v="453030"/>
    <n v="465831"/>
    <n v="435465"/>
    <n v="447444"/>
    <n v="9418"/>
    <n v="8773"/>
    <n v="8147"/>
    <n v="0"/>
    <n v="0"/>
    <n v="9614"/>
    <n v="0"/>
    <n v="0"/>
    <m/>
    <m/>
    <n v="38084"/>
    <n v="37025"/>
    <n v="22203"/>
    <n v="22532"/>
    <n v="11882"/>
    <n v="9215"/>
    <n v="3999"/>
    <n v="0"/>
    <m/>
    <n v="5278"/>
    <n v="0"/>
    <n v="0"/>
    <m/>
    <m/>
  </r>
  <r>
    <x v="9"/>
    <s v="East Carolina University "/>
    <s v="Met the criteria for Four-Year 2 in 2010-11 and 2011-12."/>
    <n v="198464"/>
    <x v="2"/>
    <n v="595157"/>
    <n v="597340"/>
    <n v="504109"/>
    <n v="502635"/>
    <n v="11952"/>
    <n v="7662"/>
    <n v="79096"/>
    <n v="0"/>
    <n v="0"/>
    <n v="87043"/>
    <n v="0"/>
    <n v="0"/>
    <m/>
    <m/>
    <n v="108620"/>
    <n v="103726"/>
    <n v="55748"/>
    <n v="54865"/>
    <n v="8351"/>
    <n v="7099"/>
    <n v="44521"/>
    <n v="0"/>
    <m/>
    <n v="41762"/>
    <n v="0"/>
    <n v="0"/>
    <m/>
    <m/>
  </r>
  <r>
    <x v="9"/>
    <s v="North Carolina A&amp;T State University"/>
    <m/>
    <n v="199102"/>
    <x v="2"/>
    <n v="270371"/>
    <n v="269574"/>
    <n v="248969"/>
    <n v="246539"/>
    <n v="2167"/>
    <n v="1866"/>
    <n v="19235"/>
    <n v="0"/>
    <n v="0"/>
    <n v="21065"/>
    <n v="104"/>
    <n v="0"/>
    <m/>
    <m/>
    <n v="33492"/>
    <n v="32637"/>
    <n v="24393"/>
    <n v="23326"/>
    <n v="1932"/>
    <n v="2553"/>
    <n v="7167"/>
    <n v="0"/>
    <m/>
    <n v="6758"/>
    <n v="0"/>
    <n v="0"/>
    <m/>
    <m/>
  </r>
  <r>
    <x v="9"/>
    <s v="North Carolina Central University "/>
    <m/>
    <n v="199157"/>
    <x v="2"/>
    <n v="192314"/>
    <n v="191123"/>
    <n v="179702"/>
    <n v="170621"/>
    <n v="195"/>
    <n v="165"/>
    <n v="12417"/>
    <n v="0"/>
    <n v="0"/>
    <n v="20337"/>
    <n v="0"/>
    <n v="0"/>
    <m/>
    <m/>
    <n v="43255"/>
    <n v="41457"/>
    <n v="34879"/>
    <n v="33173"/>
    <n v="1433"/>
    <n v="1059"/>
    <n v="6943"/>
    <n v="0"/>
    <m/>
    <n v="7225"/>
    <n v="0"/>
    <n v="0"/>
    <m/>
    <m/>
  </r>
  <r>
    <x v="9"/>
    <s v="University of North Carolina at Wilmington"/>
    <m/>
    <n v="199218"/>
    <x v="2"/>
    <n v="343061"/>
    <n v="349604"/>
    <n v="311729"/>
    <n v="316370"/>
    <n v="4085"/>
    <n v="11371"/>
    <n v="27157"/>
    <n v="90"/>
    <n v="0"/>
    <n v="21466"/>
    <n v="42"/>
    <n v="355"/>
    <m/>
    <m/>
    <n v="21548"/>
    <n v="20233"/>
    <n v="17764"/>
    <n v="16250"/>
    <n v="441"/>
    <n v="1181"/>
    <n v="3157"/>
    <n v="186"/>
    <m/>
    <n v="2662"/>
    <n v="105"/>
    <n v="35"/>
    <m/>
    <m/>
  </r>
  <r>
    <x v="9"/>
    <s v="Western Carolina University "/>
    <m/>
    <n v="200004"/>
    <x v="2"/>
    <n v="210642"/>
    <n v="215841"/>
    <n v="187349"/>
    <n v="192524"/>
    <n v="4540"/>
    <n v="2882"/>
    <n v="18597"/>
    <n v="156"/>
    <n v="0"/>
    <n v="20423"/>
    <n v="12"/>
    <n v="0"/>
    <m/>
    <m/>
    <n v="33816"/>
    <n v="31213"/>
    <n v="18560"/>
    <n v="17721"/>
    <n v="860"/>
    <n v="644"/>
    <n v="14066"/>
    <n v="330"/>
    <m/>
    <n v="12740"/>
    <n v="108"/>
    <n v="0"/>
    <m/>
    <m/>
  </r>
  <r>
    <x v="9"/>
    <s v="Fayetteville State University "/>
    <m/>
    <n v="198543"/>
    <x v="3"/>
    <n v="144829"/>
    <n v="148382"/>
    <n v="119447"/>
    <n v="121779"/>
    <n v="3310"/>
    <n v="2976"/>
    <n v="21922"/>
    <n v="150"/>
    <n v="0"/>
    <n v="23525"/>
    <n v="99"/>
    <n v="3"/>
    <m/>
    <m/>
    <n v="9471"/>
    <n v="10848"/>
    <n v="5492"/>
    <n v="6176"/>
    <n v="1681"/>
    <n v="1996"/>
    <n v="2298"/>
    <n v="0"/>
    <m/>
    <n v="2676"/>
    <n v="0"/>
    <n v="0"/>
    <m/>
    <m/>
  </r>
  <r>
    <x v="9"/>
    <s v="University of North Carolina at Pembroke"/>
    <m/>
    <n v="199281"/>
    <x v="4"/>
    <n v="169136"/>
    <n v="158452"/>
    <n v="131400"/>
    <n v="121438"/>
    <n v="4021"/>
    <n v="4301"/>
    <n v="33015"/>
    <n v="700"/>
    <n v="0"/>
    <n v="32199"/>
    <n v="514"/>
    <n v="0"/>
    <m/>
    <m/>
    <n v="11092"/>
    <n v="11674"/>
    <n v="4830"/>
    <n v="3950"/>
    <n v="859"/>
    <n v="1325"/>
    <n v="5349"/>
    <n v="54"/>
    <m/>
    <n v="6222"/>
    <n v="177"/>
    <n v="0"/>
    <m/>
    <m/>
  </r>
  <r>
    <x v="9"/>
    <s v="Winston-Salem State University "/>
    <m/>
    <n v="199999"/>
    <x v="4"/>
    <n v="173712"/>
    <n v="170464"/>
    <n v="140047"/>
    <n v="137482"/>
    <n v="15543"/>
    <n v="12639"/>
    <n v="18122"/>
    <n v="0"/>
    <n v="0"/>
    <n v="20343"/>
    <n v="0"/>
    <n v="0"/>
    <m/>
    <m/>
    <n v="10784"/>
    <n v="11354"/>
    <n v="9159"/>
    <n v="9579"/>
    <n v="483"/>
    <n v="235"/>
    <n v="1058"/>
    <n v="84"/>
    <m/>
    <n v="1534"/>
    <n v="6"/>
    <n v="0"/>
    <m/>
    <m/>
  </r>
  <r>
    <x v="9"/>
    <s v="Elizabeth City State University "/>
    <m/>
    <n v="198507"/>
    <x v="5"/>
    <n v="100051"/>
    <n v="95275"/>
    <n v="83505"/>
    <n v="76745"/>
    <n v="1500"/>
    <n v="1580"/>
    <n v="15046"/>
    <n v="0"/>
    <n v="0"/>
    <n v="16950"/>
    <n v="0"/>
    <n v="0"/>
    <m/>
    <m/>
    <n v="1076"/>
    <n v="1530"/>
    <n v="629"/>
    <n v="815"/>
    <n v="82"/>
    <n v="33"/>
    <n v="365"/>
    <n v="0"/>
    <m/>
    <n v="682"/>
    <n v="0"/>
    <n v="0"/>
    <m/>
    <m/>
  </r>
  <r>
    <x v="9"/>
    <s v="University of North Carolina at Asheville"/>
    <m/>
    <n v="199111"/>
    <x v="5"/>
    <n v="102465"/>
    <n v="101367"/>
    <n v="100823"/>
    <n v="99229"/>
    <n v="1642"/>
    <n v="1566"/>
    <n v="0"/>
    <n v="0"/>
    <n v="0"/>
    <n v="102"/>
    <n v="470"/>
    <n v="0"/>
    <m/>
    <m/>
    <n v="443"/>
    <n v="542"/>
    <n v="398"/>
    <n v="479"/>
    <n v="45"/>
    <n v="63"/>
    <n v="0"/>
    <n v="0"/>
    <m/>
    <n v="0"/>
    <n v="0"/>
    <n v="0"/>
    <m/>
    <m/>
  </r>
  <r>
    <x v="9"/>
    <s v="Asheville-Buncombe Technical Community College"/>
    <m/>
    <n v="197887"/>
    <x v="6"/>
    <n v="159416"/>
    <n v="168292"/>
    <n v="124856"/>
    <n v="110114"/>
    <n v="10150"/>
    <n v="9320"/>
    <n v="24410"/>
    <n v="0"/>
    <n v="0"/>
    <n v="48858"/>
    <n v="0"/>
    <n v="0"/>
    <m/>
    <m/>
    <n v="0"/>
    <n v="0"/>
    <m/>
    <m/>
    <m/>
    <m/>
    <m/>
    <m/>
    <m/>
    <m/>
    <m/>
    <m/>
    <m/>
    <m/>
  </r>
  <r>
    <x v="9"/>
    <s v="Cape Fear Community College"/>
    <m/>
    <n v="198154"/>
    <x v="6"/>
    <n v="212549"/>
    <n v="218565"/>
    <n v="175771"/>
    <n v="156583"/>
    <n v="3277"/>
    <n v="2755"/>
    <n v="33501"/>
    <n v="0"/>
    <n v="0"/>
    <n v="59227"/>
    <n v="0"/>
    <n v="0"/>
    <m/>
    <m/>
    <n v="0"/>
    <n v="0"/>
    <m/>
    <m/>
    <m/>
    <m/>
    <m/>
    <m/>
    <m/>
    <m/>
    <m/>
    <m/>
    <m/>
    <m/>
  </r>
  <r>
    <x v="9"/>
    <s v="Central Piedmont Community College "/>
    <m/>
    <n v="198260"/>
    <x v="6"/>
    <n v="409543"/>
    <n v="422728"/>
    <n v="302706"/>
    <n v="299626"/>
    <n v="15033"/>
    <n v="2879"/>
    <n v="87274"/>
    <n v="0"/>
    <n v="4530"/>
    <n v="116007"/>
    <n v="0"/>
    <n v="4216"/>
    <m/>
    <m/>
    <n v="0"/>
    <n v="0"/>
    <m/>
    <m/>
    <m/>
    <m/>
    <m/>
    <m/>
    <m/>
    <m/>
    <m/>
    <m/>
    <m/>
    <m/>
  </r>
  <r>
    <x v="9"/>
    <s v="Fayetteville Technical Community College"/>
    <m/>
    <n v="198534"/>
    <x v="6"/>
    <n v="242342"/>
    <n v="238322"/>
    <n v="151556"/>
    <n v="139964"/>
    <n v="5748"/>
    <n v="4393"/>
    <n v="83874"/>
    <n v="1164"/>
    <n v="0"/>
    <n v="92827"/>
    <n v="1138"/>
    <n v="0"/>
    <m/>
    <m/>
    <n v="0"/>
    <n v="0"/>
    <m/>
    <m/>
    <m/>
    <m/>
    <m/>
    <m/>
    <m/>
    <m/>
    <m/>
    <m/>
    <m/>
    <m/>
  </r>
  <r>
    <x v="9"/>
    <s v="Forsyth Technical Community College"/>
    <m/>
    <n v="198552"/>
    <x v="6"/>
    <n v="215071"/>
    <n v="224439"/>
    <n v="150541"/>
    <n v="138959"/>
    <n v="12413"/>
    <n v="12256"/>
    <n v="50600"/>
    <n v="1517"/>
    <n v="0"/>
    <n v="72493"/>
    <n v="731"/>
    <n v="0"/>
    <m/>
    <m/>
    <n v="0"/>
    <n v="0"/>
    <m/>
    <m/>
    <m/>
    <m/>
    <m/>
    <m/>
    <m/>
    <m/>
    <m/>
    <m/>
    <m/>
    <m/>
  </r>
  <r>
    <x v="9"/>
    <s v="Gaston College "/>
    <s v="Met criteria for Two-Year 2 in 2011-12."/>
    <n v="198570"/>
    <x v="6"/>
    <n v="151327"/>
    <n v="139553"/>
    <n v="110795"/>
    <n v="89820"/>
    <n v="5218"/>
    <n v="4600"/>
    <n v="34114"/>
    <n v="1200"/>
    <n v="0"/>
    <n v="44287"/>
    <n v="846"/>
    <n v="0"/>
    <m/>
    <m/>
    <n v="0"/>
    <n v="0"/>
    <m/>
    <m/>
    <m/>
    <m/>
    <m/>
    <m/>
    <m/>
    <m/>
    <m/>
    <m/>
    <m/>
    <m/>
  </r>
  <r>
    <x v="9"/>
    <s v="Guilford Technical Community College"/>
    <m/>
    <n v="198622"/>
    <x v="6"/>
    <n v="333447"/>
    <n v="357323"/>
    <n v="282592"/>
    <n v="234950"/>
    <n v="2805"/>
    <n v="2744"/>
    <n v="48050"/>
    <n v="0"/>
    <n v="0"/>
    <n v="119629"/>
    <n v="0"/>
    <n v="0"/>
    <m/>
    <m/>
    <n v="0"/>
    <n v="0"/>
    <m/>
    <m/>
    <m/>
    <m/>
    <m/>
    <m/>
    <m/>
    <m/>
    <m/>
    <m/>
    <m/>
    <m/>
  </r>
  <r>
    <x v="9"/>
    <s v="Pitt Community College"/>
    <m/>
    <n v="199333"/>
    <x v="6"/>
    <n v="188059"/>
    <n v="198801"/>
    <n v="136184"/>
    <n v="120569"/>
    <n v="8983"/>
    <n v="8948"/>
    <n v="42892"/>
    <n v="0"/>
    <n v="0"/>
    <n v="69284"/>
    <n v="0"/>
    <n v="0"/>
    <m/>
    <m/>
    <n v="0"/>
    <n v="0"/>
    <m/>
    <m/>
    <m/>
    <m/>
    <m/>
    <m/>
    <m/>
    <m/>
    <m/>
    <m/>
    <m/>
    <m/>
  </r>
  <r>
    <x v="9"/>
    <s v="Rowan-Cabarrus Community College"/>
    <m/>
    <n v="199494"/>
    <x v="6"/>
    <n v="166263"/>
    <n v="161032"/>
    <n v="132266"/>
    <n v="119812"/>
    <n v="3687"/>
    <n v="4957"/>
    <n v="27427"/>
    <n v="756"/>
    <n v="2127"/>
    <n v="35129"/>
    <n v="0"/>
    <n v="1134"/>
    <m/>
    <m/>
    <n v="0"/>
    <n v="0"/>
    <m/>
    <m/>
    <m/>
    <m/>
    <m/>
    <m/>
    <m/>
    <m/>
    <m/>
    <m/>
    <m/>
    <m/>
  </r>
  <r>
    <x v="9"/>
    <s v="Wake Technical Community College"/>
    <m/>
    <n v="199856"/>
    <x v="6"/>
    <n v="348159"/>
    <n v="382605"/>
    <n v="269320"/>
    <n v="272150"/>
    <n v="6433"/>
    <n v="5318"/>
    <n v="72406"/>
    <n v="0"/>
    <n v="0"/>
    <n v="105032"/>
    <n v="105"/>
    <n v="0"/>
    <m/>
    <m/>
    <n v="0"/>
    <n v="0"/>
    <m/>
    <m/>
    <m/>
    <m/>
    <m/>
    <m/>
    <m/>
    <m/>
    <m/>
    <m/>
    <m/>
    <m/>
  </r>
  <r>
    <x v="9"/>
    <s v="Alamance Community College"/>
    <m/>
    <n v="199786"/>
    <x v="7"/>
    <n v="117494"/>
    <n v="112301"/>
    <n v="99284"/>
    <n v="87417"/>
    <n v="5672"/>
    <n v="5115"/>
    <n v="12538"/>
    <n v="0"/>
    <n v="0"/>
    <n v="19769"/>
    <n v="0"/>
    <n v="0"/>
    <m/>
    <m/>
    <n v="0"/>
    <n v="0"/>
    <m/>
    <m/>
    <m/>
    <m/>
    <m/>
    <m/>
    <m/>
    <m/>
    <m/>
    <m/>
    <m/>
    <m/>
  </r>
  <r>
    <x v="9"/>
    <s v="Caldwell Community College &amp; Technical Institute"/>
    <m/>
    <n v="198118"/>
    <x v="7"/>
    <n v="107584"/>
    <n v="106665"/>
    <n v="79669"/>
    <n v="62627"/>
    <n v="7532"/>
    <n v="5073"/>
    <n v="16853"/>
    <n v="3205"/>
    <n v="325"/>
    <n v="34199"/>
    <n v="4685"/>
    <n v="81"/>
    <m/>
    <m/>
    <n v="0"/>
    <n v="0"/>
    <m/>
    <m/>
    <m/>
    <m/>
    <m/>
    <m/>
    <m/>
    <m/>
    <m/>
    <m/>
    <m/>
    <m/>
  </r>
  <r>
    <x v="9"/>
    <s v="Catawba Valley Community College"/>
    <m/>
    <n v="198233"/>
    <x v="7"/>
    <n v="125873"/>
    <n v="118488"/>
    <n v="92143"/>
    <n v="74240"/>
    <n v="4186"/>
    <n v="3252"/>
    <n v="28694"/>
    <n v="123"/>
    <n v="727"/>
    <n v="40117"/>
    <n v="0"/>
    <n v="879"/>
    <m/>
    <m/>
    <n v="0"/>
    <n v="0"/>
    <m/>
    <m/>
    <m/>
    <m/>
    <m/>
    <m/>
    <m/>
    <m/>
    <m/>
    <m/>
    <m/>
    <m/>
  </r>
  <r>
    <x v="9"/>
    <s v="Central Carolina Commuity College"/>
    <m/>
    <n v="198251"/>
    <x v="7"/>
    <n v="104167"/>
    <n v="96500"/>
    <n v="65438"/>
    <n v="55626"/>
    <n v="10252"/>
    <n v="7243"/>
    <n v="27852"/>
    <n v="0"/>
    <n v="625"/>
    <n v="33631"/>
    <n v="0"/>
    <n v="0"/>
    <m/>
    <m/>
    <n v="0"/>
    <n v="0"/>
    <m/>
    <m/>
    <m/>
    <m/>
    <m/>
    <m/>
    <m/>
    <m/>
    <m/>
    <m/>
    <m/>
    <m/>
  </r>
  <r>
    <x v="9"/>
    <s v="Cleveland Community College"/>
    <m/>
    <n v="198321"/>
    <x v="7"/>
    <n v="93159"/>
    <n v="78197"/>
    <n v="60360"/>
    <n v="41524"/>
    <n v="11099"/>
    <n v="6675"/>
    <n v="21445"/>
    <n v="225"/>
    <n v="30"/>
    <n v="29868"/>
    <n v="130"/>
    <n v="0"/>
    <m/>
    <m/>
    <n v="0"/>
    <n v="0"/>
    <m/>
    <m/>
    <m/>
    <m/>
    <m/>
    <m/>
    <m/>
    <m/>
    <m/>
    <m/>
    <m/>
    <m/>
  </r>
  <r>
    <x v="9"/>
    <s v="Coastal Carolina Community College "/>
    <m/>
    <n v="198330"/>
    <x v="7"/>
    <n v="115927"/>
    <n v="109745"/>
    <n v="80478"/>
    <n v="75833"/>
    <n v="10109"/>
    <n v="8990"/>
    <n v="25340"/>
    <n v="0"/>
    <n v="0"/>
    <n v="24922"/>
    <n v="0"/>
    <n v="0"/>
    <m/>
    <m/>
    <n v="0"/>
    <n v="0"/>
    <m/>
    <m/>
    <m/>
    <m/>
    <m/>
    <m/>
    <m/>
    <m/>
    <m/>
    <m/>
    <m/>
    <m/>
  </r>
  <r>
    <x v="9"/>
    <s v="Craven Community College "/>
    <m/>
    <n v="198367"/>
    <x v="7"/>
    <n v="78830"/>
    <n v="78714"/>
    <n v="51547"/>
    <n v="43141"/>
    <n v="704"/>
    <n v="886"/>
    <n v="25751"/>
    <n v="0"/>
    <n v="828"/>
    <n v="34585"/>
    <n v="0"/>
    <n v="102"/>
    <m/>
    <m/>
    <n v="0"/>
    <n v="0"/>
    <m/>
    <m/>
    <m/>
    <m/>
    <m/>
    <m/>
    <m/>
    <m/>
    <m/>
    <m/>
    <m/>
    <m/>
  </r>
  <r>
    <x v="9"/>
    <s v="Davidson County Community College "/>
    <m/>
    <n v="198376"/>
    <x v="7"/>
    <n v="96011"/>
    <n v="97150"/>
    <n v="72398"/>
    <n v="41428"/>
    <n v="22"/>
    <n v="38"/>
    <n v="22204"/>
    <n v="1387"/>
    <n v="0"/>
    <n v="54518"/>
    <n v="1166"/>
    <n v="0"/>
    <m/>
    <m/>
    <n v="0"/>
    <n v="0"/>
    <m/>
    <m/>
    <m/>
    <m/>
    <m/>
    <m/>
    <m/>
    <m/>
    <m/>
    <m/>
    <m/>
    <m/>
  </r>
  <r>
    <x v="9"/>
    <s v="Durham Technical Community College"/>
    <m/>
    <n v="198455"/>
    <x v="7"/>
    <n v="105294"/>
    <n v="105233"/>
    <n v="88388"/>
    <n v="82479"/>
    <n v="3297"/>
    <n v="2056"/>
    <n v="13609"/>
    <n v="0"/>
    <n v="0"/>
    <n v="20698"/>
    <n v="0"/>
    <n v="0"/>
    <m/>
    <m/>
    <n v="0"/>
    <n v="0"/>
    <m/>
    <m/>
    <m/>
    <m/>
    <m/>
    <m/>
    <m/>
    <m/>
    <m/>
    <m/>
    <m/>
    <m/>
  </r>
  <r>
    <x v="9"/>
    <s v="Edgecombe Community College"/>
    <m/>
    <n v="198491"/>
    <x v="7"/>
    <n v="75491"/>
    <n v="73933"/>
    <n v="52105"/>
    <n v="42766"/>
    <n v="1891"/>
    <n v="1681"/>
    <n v="21495"/>
    <n v="0"/>
    <n v="0"/>
    <n v="29486"/>
    <n v="0"/>
    <n v="0"/>
    <m/>
    <m/>
    <n v="0"/>
    <n v="0"/>
    <m/>
    <m/>
    <m/>
    <m/>
    <m/>
    <m/>
    <m/>
    <m/>
    <m/>
    <m/>
    <m/>
    <m/>
  </r>
  <r>
    <x v="9"/>
    <s v="Haywood Community College"/>
    <s v="Met criteria for Two-Year 3 in 2011-12."/>
    <n v="198668"/>
    <x v="7"/>
    <n v="49510"/>
    <n v="48368"/>
    <n v="29794"/>
    <n v="24779"/>
    <n v="2345"/>
    <n v="2496"/>
    <n v="17263"/>
    <n v="108"/>
    <n v="0"/>
    <n v="21042"/>
    <n v="51"/>
    <n v="0"/>
    <m/>
    <m/>
    <n v="0"/>
    <n v="0"/>
    <m/>
    <m/>
    <m/>
    <m/>
    <m/>
    <m/>
    <m/>
    <m/>
    <m/>
    <m/>
    <m/>
    <m/>
  </r>
  <r>
    <x v="9"/>
    <s v="Isothermal Community College "/>
    <m/>
    <n v="198710"/>
    <x v="7"/>
    <n v="66414"/>
    <n v="60564"/>
    <n v="50927"/>
    <n v="41423"/>
    <n v="3626"/>
    <n v="3570"/>
    <n v="11846"/>
    <n v="15"/>
    <n v="0"/>
    <n v="15571"/>
    <n v="0"/>
    <n v="0"/>
    <m/>
    <m/>
    <n v="0"/>
    <n v="0"/>
    <m/>
    <m/>
    <m/>
    <m/>
    <m/>
    <m/>
    <m/>
    <m/>
    <m/>
    <m/>
    <m/>
    <m/>
  </r>
  <r>
    <x v="9"/>
    <s v="Johnston Community College"/>
    <m/>
    <n v="198774"/>
    <x v="7"/>
    <n v="92041"/>
    <n v="92584"/>
    <n v="61527"/>
    <n v="60532"/>
    <n v="7635"/>
    <n v="2802"/>
    <n v="22423"/>
    <n v="186"/>
    <n v="270"/>
    <n v="28940"/>
    <n v="310"/>
    <n v="0"/>
    <m/>
    <m/>
    <n v="0"/>
    <n v="0"/>
    <m/>
    <m/>
    <m/>
    <m/>
    <m/>
    <m/>
    <m/>
    <m/>
    <m/>
    <m/>
    <m/>
    <m/>
  </r>
  <r>
    <x v="9"/>
    <s v="Lenoir Community College "/>
    <m/>
    <n v="198817"/>
    <x v="7"/>
    <n v="81761"/>
    <n v="77239"/>
    <n v="49592"/>
    <n v="40899"/>
    <n v="3223"/>
    <n v="2317"/>
    <n v="28946"/>
    <n v="0"/>
    <n v="0"/>
    <n v="33999"/>
    <n v="24"/>
    <n v="0"/>
    <m/>
    <m/>
    <n v="0"/>
    <n v="0"/>
    <m/>
    <m/>
    <m/>
    <m/>
    <m/>
    <m/>
    <m/>
    <m/>
    <m/>
    <m/>
    <m/>
    <m/>
  </r>
  <r>
    <x v="9"/>
    <s v="Mitchell Community College "/>
    <m/>
    <n v="198987"/>
    <x v="7"/>
    <n v="76056"/>
    <n v="78564"/>
    <n v="61231"/>
    <n v="50617"/>
    <n v="2971"/>
    <n v="1745"/>
    <n v="11854"/>
    <n v="0"/>
    <n v="0"/>
    <n v="26196"/>
    <n v="6"/>
    <n v="0"/>
    <m/>
    <m/>
    <n v="0"/>
    <n v="0"/>
    <m/>
    <m/>
    <m/>
    <m/>
    <m/>
    <m/>
    <m/>
    <m/>
    <m/>
    <m/>
    <m/>
    <m/>
  </r>
  <r>
    <x v="9"/>
    <s v="Nash Community College"/>
    <m/>
    <n v="199087"/>
    <x v="7"/>
    <n v="61946"/>
    <n v="64698"/>
    <n v="49717"/>
    <n v="47265"/>
    <n v="2690"/>
    <n v="2282"/>
    <n v="9302"/>
    <n v="237"/>
    <n v="0"/>
    <n v="14803"/>
    <n v="330"/>
    <n v="18"/>
    <m/>
    <m/>
    <n v="0"/>
    <n v="0"/>
    <m/>
    <m/>
    <m/>
    <m/>
    <m/>
    <m/>
    <m/>
    <m/>
    <m/>
    <m/>
    <m/>
    <m/>
  </r>
  <r>
    <x v="9"/>
    <s v="Randolph Community College"/>
    <m/>
    <n v="199421"/>
    <x v="7"/>
    <n v="63901"/>
    <n v="63481"/>
    <n v="45587"/>
    <n v="45122"/>
    <n v="3474"/>
    <n v="2078"/>
    <n v="12979"/>
    <n v="1475"/>
    <n v="386"/>
    <n v="15402"/>
    <n v="573"/>
    <n v="306"/>
    <m/>
    <m/>
    <n v="0"/>
    <n v="0"/>
    <m/>
    <m/>
    <m/>
    <m/>
    <m/>
    <m/>
    <m/>
    <m/>
    <m/>
    <m/>
    <m/>
    <m/>
  </r>
  <r>
    <x v="9"/>
    <s v="Robeson Community College"/>
    <m/>
    <n v="199476"/>
    <x v="7"/>
    <n v="62535"/>
    <n v="63554"/>
    <n v="49529"/>
    <n v="50254"/>
    <n v="2788"/>
    <n v="1384"/>
    <n v="10218"/>
    <n v="0"/>
    <n v="0"/>
    <n v="11907"/>
    <n v="9"/>
    <n v="0"/>
    <m/>
    <m/>
    <n v="0"/>
    <n v="0"/>
    <m/>
    <m/>
    <m/>
    <m/>
    <m/>
    <m/>
    <m/>
    <m/>
    <m/>
    <m/>
    <m/>
    <m/>
  </r>
  <r>
    <x v="9"/>
    <s v="Sandhills Community College "/>
    <m/>
    <n v="199634"/>
    <x v="7"/>
    <n v="89719"/>
    <n v="91407"/>
    <n v="69781"/>
    <n v="56430"/>
    <n v="1517"/>
    <n v="1453"/>
    <n v="18421"/>
    <n v="0"/>
    <n v="0"/>
    <n v="33470"/>
    <n v="0"/>
    <n v="54"/>
    <m/>
    <m/>
    <n v="0"/>
    <n v="0"/>
    <m/>
    <m/>
    <m/>
    <m/>
    <m/>
    <m/>
    <m/>
    <m/>
    <m/>
    <m/>
    <m/>
    <m/>
  </r>
  <r>
    <x v="9"/>
    <s v="Stanly Community College"/>
    <m/>
    <n v="199740"/>
    <x v="7"/>
    <n v="69443"/>
    <n v="69019"/>
    <n v="30382"/>
    <n v="24510"/>
    <n v="3903"/>
    <n v="2011"/>
    <n v="32392"/>
    <n v="2766"/>
    <n v="0"/>
    <n v="40861"/>
    <n v="1637"/>
    <n v="0"/>
    <m/>
    <m/>
    <n v="0"/>
    <n v="0"/>
    <m/>
    <m/>
    <m/>
    <m/>
    <m/>
    <m/>
    <m/>
    <m/>
    <m/>
    <m/>
    <m/>
    <m/>
  </r>
  <r>
    <x v="9"/>
    <s v="Surry Community College "/>
    <m/>
    <n v="199768"/>
    <x v="7"/>
    <n v="76882"/>
    <n v="74394"/>
    <n v="58143"/>
    <n v="51507"/>
    <n v="150"/>
    <n v="543"/>
    <n v="17523"/>
    <n v="1066"/>
    <n v="0"/>
    <n v="21022"/>
    <n v="1322"/>
    <n v="0"/>
    <m/>
    <m/>
    <n v="0"/>
    <n v="0"/>
    <m/>
    <m/>
    <m/>
    <m/>
    <m/>
    <m/>
    <m/>
    <m/>
    <m/>
    <m/>
    <m/>
    <m/>
  </r>
  <r>
    <x v="9"/>
    <s v="Vance-Granville Community College "/>
    <m/>
    <n v="199838"/>
    <x v="7"/>
    <n v="87227"/>
    <n v="83738"/>
    <n v="59223"/>
    <n v="52336"/>
    <n v="6129"/>
    <n v="2082"/>
    <n v="20533"/>
    <n v="1342"/>
    <n v="0"/>
    <n v="27490"/>
    <n v="1830"/>
    <n v="0"/>
    <m/>
    <m/>
    <n v="0"/>
    <n v="0"/>
    <m/>
    <m/>
    <m/>
    <m/>
    <m/>
    <m/>
    <m/>
    <m/>
    <m/>
    <m/>
    <m/>
    <m/>
  </r>
  <r>
    <x v="9"/>
    <s v="Wayne Community College"/>
    <m/>
    <n v="199892"/>
    <x v="7"/>
    <n v="83747"/>
    <n v="84341"/>
    <n v="58184"/>
    <n v="44373"/>
    <n v="3936"/>
    <n v="3198"/>
    <n v="21492"/>
    <n v="0"/>
    <n v="135"/>
    <n v="36605"/>
    <n v="0"/>
    <n v="165"/>
    <m/>
    <m/>
    <n v="0"/>
    <n v="0"/>
    <m/>
    <m/>
    <m/>
    <m/>
    <m/>
    <m/>
    <m/>
    <m/>
    <m/>
    <m/>
    <m/>
    <m/>
  </r>
  <r>
    <x v="9"/>
    <s v="Western Piedmont Community College "/>
    <m/>
    <n v="199908"/>
    <x v="7"/>
    <n v="81492"/>
    <n v="76240"/>
    <n v="59509"/>
    <n v="45622"/>
    <n v="2812"/>
    <n v="424"/>
    <n v="19171"/>
    <n v="0"/>
    <n v="0"/>
    <n v="30194"/>
    <n v="0"/>
    <n v="0"/>
    <m/>
    <m/>
    <n v="0"/>
    <n v="0"/>
    <m/>
    <m/>
    <m/>
    <m/>
    <m/>
    <m/>
    <m/>
    <m/>
    <m/>
    <m/>
    <m/>
    <m/>
  </r>
  <r>
    <x v="9"/>
    <s v="Wilkes Community College "/>
    <m/>
    <n v="199926"/>
    <x v="7"/>
    <n v="65818"/>
    <n v="62280"/>
    <n v="52622"/>
    <n v="44679"/>
    <n v="644"/>
    <n v="731"/>
    <n v="8618"/>
    <n v="3934"/>
    <n v="0"/>
    <n v="14409"/>
    <n v="2461"/>
    <n v="0"/>
    <m/>
    <m/>
    <n v="0"/>
    <n v="0"/>
    <m/>
    <m/>
    <m/>
    <m/>
    <m/>
    <m/>
    <m/>
    <m/>
    <m/>
    <m/>
    <m/>
    <m/>
  </r>
  <r>
    <x v="9"/>
    <s v="Beaufort County Community College "/>
    <m/>
    <n v="197966"/>
    <x v="8"/>
    <n v="40002"/>
    <n v="40315"/>
    <n v="30884"/>
    <n v="23585"/>
    <n v="1987"/>
    <n v="1153"/>
    <n v="6788"/>
    <n v="0"/>
    <n v="343"/>
    <n v="15081"/>
    <n v="0"/>
    <n v="496"/>
    <m/>
    <m/>
    <n v="0"/>
    <n v="0"/>
    <m/>
    <m/>
    <m/>
    <m/>
    <m/>
    <m/>
    <m/>
    <m/>
    <m/>
    <m/>
    <m/>
    <m/>
  </r>
  <r>
    <x v="9"/>
    <s v="Bladen Community College"/>
    <m/>
    <n v="198011"/>
    <x v="8"/>
    <n v="42382"/>
    <n v="38059"/>
    <n v="24167"/>
    <n v="20151"/>
    <n v="511"/>
    <n v="149"/>
    <n v="12674"/>
    <n v="2495"/>
    <n v="2535"/>
    <n v="13465"/>
    <n v="2174"/>
    <n v="2120"/>
    <m/>
    <m/>
    <n v="0"/>
    <n v="0"/>
    <m/>
    <m/>
    <m/>
    <m/>
    <m/>
    <m/>
    <m/>
    <m/>
    <m/>
    <m/>
    <m/>
    <m/>
  </r>
  <r>
    <x v="9"/>
    <s v="Blue Ridge Community College"/>
    <m/>
    <n v="198039"/>
    <x v="8"/>
    <n v="50471"/>
    <n v="49694"/>
    <n v="39555"/>
    <n v="32692"/>
    <n v="1239"/>
    <n v="1120"/>
    <n v="7826"/>
    <n v="173"/>
    <n v="1678"/>
    <n v="15655"/>
    <n v="173"/>
    <n v="54"/>
    <m/>
    <m/>
    <n v="0"/>
    <n v="0"/>
    <m/>
    <m/>
    <m/>
    <m/>
    <m/>
    <m/>
    <m/>
    <m/>
    <m/>
    <m/>
    <m/>
    <m/>
  </r>
  <r>
    <x v="9"/>
    <s v="Brunswick Community College"/>
    <m/>
    <n v="198084"/>
    <x v="8"/>
    <n v="30834"/>
    <n v="33061"/>
    <n v="24442"/>
    <n v="21365"/>
    <n v="108"/>
    <n v="159"/>
    <n v="6131"/>
    <n v="153"/>
    <n v="0"/>
    <n v="11389"/>
    <n v="148"/>
    <n v="0"/>
    <m/>
    <m/>
    <n v="0"/>
    <n v="0"/>
    <m/>
    <m/>
    <m/>
    <m/>
    <m/>
    <m/>
    <m/>
    <m/>
    <m/>
    <m/>
    <m/>
    <m/>
  </r>
  <r>
    <x v="9"/>
    <s v="Carteret Community College"/>
    <m/>
    <n v="198206"/>
    <x v="8"/>
    <n v="39825"/>
    <n v="39517"/>
    <n v="28394"/>
    <n v="22831"/>
    <n v="1273"/>
    <n v="1432"/>
    <n v="10158"/>
    <n v="0"/>
    <n v="0"/>
    <n v="15254"/>
    <n v="0"/>
    <n v="0"/>
    <m/>
    <m/>
    <n v="0"/>
    <n v="0"/>
    <m/>
    <m/>
    <m/>
    <m/>
    <m/>
    <m/>
    <m/>
    <m/>
    <m/>
    <m/>
    <m/>
    <m/>
  </r>
  <r>
    <x v="9"/>
    <s v="College of the Albemarle"/>
    <m/>
    <n v="197814"/>
    <x v="8"/>
    <n v="53862"/>
    <n v="56421"/>
    <n v="32302"/>
    <n v="31812"/>
    <n v="3647"/>
    <n v="1254"/>
    <n v="17862"/>
    <n v="51"/>
    <n v="0"/>
    <n v="23295"/>
    <n v="60"/>
    <n v="0"/>
    <m/>
    <m/>
    <n v="0"/>
    <n v="0"/>
    <m/>
    <m/>
    <m/>
    <m/>
    <m/>
    <m/>
    <m/>
    <m/>
    <m/>
    <m/>
    <m/>
    <m/>
  </r>
  <r>
    <x v="9"/>
    <s v="Halifax Community College "/>
    <m/>
    <n v="198640"/>
    <x v="8"/>
    <n v="40188"/>
    <n v="37285"/>
    <n v="28115"/>
    <n v="22449"/>
    <n v="3750"/>
    <n v="1957"/>
    <n v="7897"/>
    <n v="426"/>
    <n v="0"/>
    <n v="12696"/>
    <n v="183"/>
    <n v="0"/>
    <m/>
    <m/>
    <n v="0"/>
    <n v="0"/>
    <m/>
    <m/>
    <m/>
    <m/>
    <m/>
    <m/>
    <m/>
    <m/>
    <m/>
    <m/>
    <m/>
    <m/>
  </r>
  <r>
    <x v="9"/>
    <s v="James Sprunt Community College"/>
    <m/>
    <n v="198729"/>
    <x v="8"/>
    <n v="32854"/>
    <n v="32371"/>
    <n v="23526"/>
    <n v="21547"/>
    <n v="2277"/>
    <n v="1337"/>
    <n v="6502"/>
    <n v="549"/>
    <n v="0"/>
    <n v="8671"/>
    <n v="816"/>
    <n v="0"/>
    <m/>
    <m/>
    <n v="0"/>
    <n v="0"/>
    <m/>
    <m/>
    <m/>
    <m/>
    <m/>
    <m/>
    <m/>
    <m/>
    <m/>
    <m/>
    <m/>
    <m/>
  </r>
  <r>
    <x v="9"/>
    <s v="Martin Community College "/>
    <m/>
    <n v="198905"/>
    <x v="8"/>
    <n v="16268"/>
    <n v="17085"/>
    <n v="12016"/>
    <n v="7935"/>
    <n v="725"/>
    <n v="550"/>
    <n v="3395"/>
    <n v="132"/>
    <n v="0"/>
    <n v="8435"/>
    <n v="165"/>
    <n v="0"/>
    <m/>
    <m/>
    <n v="0"/>
    <n v="0"/>
    <m/>
    <m/>
    <m/>
    <m/>
    <m/>
    <m/>
    <m/>
    <m/>
    <m/>
    <m/>
    <m/>
    <m/>
  </r>
  <r>
    <x v="9"/>
    <s v="Mayland Community College"/>
    <m/>
    <n v="198914"/>
    <x v="8"/>
    <n v="28835"/>
    <n v="21968"/>
    <n v="17890"/>
    <n v="14707"/>
    <n v="7548"/>
    <n v="3645"/>
    <n v="3234"/>
    <n v="163"/>
    <n v="0"/>
    <n v="3616"/>
    <n v="0"/>
    <n v="0"/>
    <m/>
    <m/>
    <n v="0"/>
    <n v="0"/>
    <m/>
    <m/>
    <m/>
    <m/>
    <m/>
    <m/>
    <m/>
    <m/>
    <m/>
    <m/>
    <m/>
    <m/>
  </r>
  <r>
    <x v="9"/>
    <s v="McDowell Technical Community College"/>
    <m/>
    <n v="198923"/>
    <x v="8"/>
    <n v="36927"/>
    <n v="30880"/>
    <n v="31461"/>
    <n v="23708"/>
    <n v="1841"/>
    <n v="979"/>
    <n v="3262"/>
    <n v="105"/>
    <n v="258"/>
    <n v="6019"/>
    <n v="117"/>
    <n v="57"/>
    <m/>
    <m/>
    <n v="0"/>
    <n v="0"/>
    <m/>
    <m/>
    <m/>
    <m/>
    <m/>
    <m/>
    <m/>
    <m/>
    <m/>
    <m/>
    <m/>
    <m/>
  </r>
  <r>
    <x v="9"/>
    <s v="Montgomery Community College"/>
    <m/>
    <n v="199023"/>
    <x v="8"/>
    <n v="19795"/>
    <n v="18505"/>
    <n v="12895"/>
    <n v="10507"/>
    <n v="1514"/>
    <n v="779"/>
    <n v="5053"/>
    <n v="333"/>
    <n v="0"/>
    <n v="7138"/>
    <n v="81"/>
    <n v="0"/>
    <m/>
    <m/>
    <n v="0"/>
    <n v="0"/>
    <m/>
    <m/>
    <m/>
    <m/>
    <m/>
    <m/>
    <m/>
    <m/>
    <m/>
    <m/>
    <m/>
    <m/>
  </r>
  <r>
    <x v="9"/>
    <s v="Pamlico Community College"/>
    <m/>
    <n v="199263"/>
    <x v="8"/>
    <n v="12703"/>
    <n v="11223"/>
    <n v="4921"/>
    <n v="3768"/>
    <n v="2957"/>
    <n v="1639"/>
    <n v="4780"/>
    <n v="33"/>
    <n v="12"/>
    <n v="5771"/>
    <n v="45"/>
    <n v="0"/>
    <m/>
    <m/>
    <n v="0"/>
    <n v="0"/>
    <m/>
    <m/>
    <m/>
    <m/>
    <m/>
    <m/>
    <m/>
    <m/>
    <m/>
    <m/>
    <m/>
    <m/>
  </r>
  <r>
    <x v="9"/>
    <s v="Piedmont Community College"/>
    <m/>
    <n v="199324"/>
    <x v="8"/>
    <n v="55522"/>
    <n v="45986"/>
    <n v="35368"/>
    <n v="26779"/>
    <n v="4487"/>
    <n v="1536"/>
    <n v="12729"/>
    <n v="2908"/>
    <n v="30"/>
    <n v="14677"/>
    <n v="2994"/>
    <n v="0"/>
    <m/>
    <m/>
    <n v="0"/>
    <n v="0"/>
    <m/>
    <m/>
    <m/>
    <m/>
    <m/>
    <m/>
    <m/>
    <m/>
    <m/>
    <m/>
    <m/>
    <m/>
  </r>
  <r>
    <x v="9"/>
    <s v="Richmond Community College"/>
    <m/>
    <n v="199449"/>
    <x v="8"/>
    <n v="40043"/>
    <n v="51284"/>
    <n v="34416"/>
    <n v="37511"/>
    <n v="527"/>
    <n v="1340"/>
    <n v="5049"/>
    <n v="51"/>
    <n v="0"/>
    <n v="12433"/>
    <n v="0"/>
    <n v="0"/>
    <m/>
    <m/>
    <n v="0"/>
    <n v="0"/>
    <m/>
    <m/>
    <m/>
    <m/>
    <m/>
    <m/>
    <m/>
    <m/>
    <m/>
    <m/>
    <m/>
    <m/>
  </r>
  <r>
    <x v="9"/>
    <s v="Roanoke-Chowan Community College"/>
    <m/>
    <n v="199467"/>
    <x v="8"/>
    <n v="17878"/>
    <n v="18730"/>
    <n v="12966"/>
    <n v="12581"/>
    <n v="1544"/>
    <n v="715"/>
    <n v="3290"/>
    <n v="78"/>
    <n v="0"/>
    <n v="5344"/>
    <n v="90"/>
    <n v="0"/>
    <m/>
    <m/>
    <n v="0"/>
    <n v="0"/>
    <m/>
    <m/>
    <m/>
    <m/>
    <m/>
    <m/>
    <m/>
    <m/>
    <m/>
    <m/>
    <m/>
    <m/>
  </r>
  <r>
    <x v="9"/>
    <s v="Rockingham Community College "/>
    <m/>
    <n v="199485"/>
    <x v="8"/>
    <n v="53407"/>
    <n v="51175"/>
    <n v="48837"/>
    <n v="40964"/>
    <n v="0"/>
    <n v="0"/>
    <n v="4441"/>
    <n v="60"/>
    <n v="69"/>
    <n v="10052"/>
    <n v="111"/>
    <n v="48"/>
    <m/>
    <m/>
    <n v="0"/>
    <n v="0"/>
    <m/>
    <m/>
    <m/>
    <m/>
    <m/>
    <m/>
    <m/>
    <m/>
    <m/>
    <m/>
    <m/>
    <m/>
  </r>
  <r>
    <x v="9"/>
    <s v="Sampson Community College"/>
    <m/>
    <n v="199625"/>
    <x v="8"/>
    <n v="33561"/>
    <n v="32146"/>
    <n v="29268"/>
    <n v="25333"/>
    <n v="599"/>
    <n v="433"/>
    <n v="3043"/>
    <n v="651"/>
    <n v="0"/>
    <n v="5673"/>
    <n v="707"/>
    <n v="0"/>
    <m/>
    <m/>
    <n v="0"/>
    <n v="0"/>
    <m/>
    <m/>
    <m/>
    <m/>
    <m/>
    <m/>
    <m/>
    <m/>
    <m/>
    <m/>
    <m/>
    <m/>
  </r>
  <r>
    <x v="9"/>
    <s v="South Piedmont Community College"/>
    <m/>
    <n v="197850"/>
    <x v="8"/>
    <n v="53273"/>
    <n v="48972"/>
    <n v="31275"/>
    <n v="25398"/>
    <n v="2967"/>
    <n v="1999"/>
    <n v="18532"/>
    <n v="499"/>
    <n v="0"/>
    <n v="21224"/>
    <n v="351"/>
    <n v="0"/>
    <m/>
    <m/>
    <n v="0"/>
    <n v="0"/>
    <m/>
    <m/>
    <m/>
    <m/>
    <m/>
    <m/>
    <m/>
    <m/>
    <m/>
    <m/>
    <m/>
    <m/>
  </r>
  <r>
    <x v="9"/>
    <s v="Southeastern Community College "/>
    <m/>
    <n v="199722"/>
    <x v="8"/>
    <n v="49508"/>
    <n v="46421"/>
    <n v="31608"/>
    <n v="29510"/>
    <n v="720"/>
    <n v="763"/>
    <n v="16788"/>
    <n v="392"/>
    <n v="0"/>
    <n v="15806"/>
    <n v="342"/>
    <n v="0"/>
    <m/>
    <m/>
    <n v="0"/>
    <n v="0"/>
    <m/>
    <m/>
    <m/>
    <m/>
    <m/>
    <m/>
    <m/>
    <m/>
    <m/>
    <m/>
    <m/>
    <m/>
  </r>
  <r>
    <x v="9"/>
    <s v="Southwestern Community College "/>
    <m/>
    <n v="199731"/>
    <x v="8"/>
    <n v="55269"/>
    <n v="54032"/>
    <n v="35483"/>
    <n v="27254"/>
    <n v="3177"/>
    <n v="2940"/>
    <n v="14435"/>
    <n v="2174"/>
    <n v="0"/>
    <n v="21948"/>
    <n v="1890"/>
    <n v="0"/>
    <m/>
    <m/>
    <n v="0"/>
    <n v="0"/>
    <m/>
    <m/>
    <m/>
    <m/>
    <m/>
    <m/>
    <m/>
    <m/>
    <m/>
    <m/>
    <m/>
    <m/>
  </r>
  <r>
    <x v="9"/>
    <s v="Tri-County Community College "/>
    <m/>
    <n v="199795"/>
    <x v="8"/>
    <n v="29859"/>
    <n v="29974"/>
    <n v="18499"/>
    <n v="13360"/>
    <n v="1081"/>
    <n v="755"/>
    <n v="9760"/>
    <n v="519"/>
    <n v="0"/>
    <n v="15287"/>
    <n v="572"/>
    <n v="0"/>
    <m/>
    <m/>
    <n v="0"/>
    <n v="0"/>
    <m/>
    <m/>
    <m/>
    <m/>
    <m/>
    <m/>
    <m/>
    <m/>
    <m/>
    <m/>
    <m/>
    <m/>
  </r>
  <r>
    <x v="9"/>
    <s v="Wilson Community College"/>
    <m/>
    <n v="199953"/>
    <x v="8"/>
    <n v="51984"/>
    <n v="47421"/>
    <n v="33436"/>
    <n v="22913"/>
    <n v="1400"/>
    <n v="705"/>
    <n v="14148"/>
    <n v="0"/>
    <n v="3000"/>
    <n v="20949"/>
    <n v="0"/>
    <n v="2854"/>
    <m/>
    <m/>
    <n v="0"/>
    <n v="0"/>
    <m/>
    <m/>
    <m/>
    <m/>
    <m/>
    <m/>
    <m/>
    <m/>
    <m/>
    <m/>
    <m/>
    <m/>
  </r>
  <r>
    <x v="10"/>
    <s v="University of Oklahoma Norman Campus"/>
    <m/>
    <n v="207500"/>
    <x v="0"/>
    <n v="527383"/>
    <n v="542963"/>
    <n v="473507"/>
    <n v="474471"/>
    <n v="2987"/>
    <n v="6059"/>
    <n v="50077"/>
    <n v="156"/>
    <n v="656"/>
    <n v="60898"/>
    <n v="316"/>
    <n v="656"/>
    <m/>
    <n v="563"/>
    <n v="92405"/>
    <n v="94236"/>
    <n v="68036"/>
    <n v="57912"/>
    <n v="12572"/>
    <n v="19766"/>
    <n v="10279"/>
    <n v="225"/>
    <n v="1276"/>
    <n v="13679"/>
    <n v="570"/>
    <n v="2309"/>
    <n v="17"/>
    <m/>
  </r>
  <r>
    <x v="10"/>
    <s v="Northeastern State University"/>
    <m/>
    <n v="207263"/>
    <x v="2"/>
    <n v="209439"/>
    <n v="207096"/>
    <n v="179652"/>
    <n v="172794"/>
    <m/>
    <m/>
    <n v="28881"/>
    <n v="906"/>
    <m/>
    <n v="33255"/>
    <n v="1047"/>
    <m/>
    <m/>
    <m/>
    <n v="20480"/>
    <n v="20260"/>
    <n v="18998"/>
    <n v="18033"/>
    <m/>
    <m/>
    <n v="914"/>
    <n v="568"/>
    <m/>
    <n v="1831"/>
    <n v="396"/>
    <m/>
    <m/>
    <m/>
  </r>
  <r>
    <x v="10"/>
    <s v="University of Central Oklahoma"/>
    <m/>
    <n v="206941"/>
    <x v="2"/>
    <n v="361155"/>
    <n v="373521"/>
    <n v="342653"/>
    <n v="336270"/>
    <n v="1931"/>
    <n v="4355"/>
    <n v="14554"/>
    <n v="219"/>
    <n v="1798"/>
    <n v="29082"/>
    <n v="150"/>
    <n v="3664"/>
    <m/>
    <m/>
    <n v="27571"/>
    <n v="28239"/>
    <n v="23434"/>
    <n v="24735"/>
    <n v="1942"/>
    <n v="71"/>
    <n v="1002"/>
    <n v="104"/>
    <n v="1089"/>
    <n v="1391"/>
    <n v="90"/>
    <n v="1952"/>
    <m/>
    <m/>
  </r>
  <r>
    <x v="10"/>
    <s v="Cameron University "/>
    <m/>
    <n v="206914"/>
    <x v="4"/>
    <n v="138667"/>
    <n v="139044"/>
    <n v="110587"/>
    <n v="107420"/>
    <n v="1603"/>
    <n v="2911"/>
    <n v="17009"/>
    <n v="9468"/>
    <m/>
    <n v="19017"/>
    <n v="9696"/>
    <m/>
    <m/>
    <m/>
    <n v="6920"/>
    <n v="7449"/>
    <n v="3224"/>
    <n v="3567"/>
    <m/>
    <m/>
    <n v="2406"/>
    <n v="1290"/>
    <m/>
    <n v="2508"/>
    <n v="1374"/>
    <m/>
    <m/>
    <m/>
  </r>
  <r>
    <x v="10"/>
    <s v="East Central University "/>
    <m/>
    <n v="207041"/>
    <x v="4"/>
    <n v="106266"/>
    <n v="106761"/>
    <n v="89628"/>
    <n v="89844"/>
    <n v="71"/>
    <n v="426"/>
    <n v="7854"/>
    <n v="3563"/>
    <n v="5150"/>
    <n v="8521"/>
    <n v="3560"/>
    <n v="4410"/>
    <m/>
    <m/>
    <n v="15849"/>
    <n v="15756"/>
    <n v="5596"/>
    <n v="5779"/>
    <n v="504"/>
    <n v="462"/>
    <n v="7742"/>
    <n v="1410"/>
    <n v="597"/>
    <n v="7160"/>
    <n v="1641"/>
    <n v="714"/>
    <m/>
    <m/>
  </r>
  <r>
    <x v="10"/>
    <s v="Langston University"/>
    <m/>
    <n v="207209"/>
    <x v="4"/>
    <n v="62125"/>
    <n v="62132"/>
    <n v="61293"/>
    <n v="61185"/>
    <m/>
    <n v="162"/>
    <n v="322"/>
    <n v="510"/>
    <m/>
    <n v="520"/>
    <n v="265"/>
    <m/>
    <m/>
    <m/>
    <n v="8632"/>
    <n v="9995"/>
    <n v="7696"/>
    <n v="9032"/>
    <m/>
    <m/>
    <n v="786"/>
    <n v="150"/>
    <m/>
    <n v="882"/>
    <n v="81"/>
    <m/>
    <m/>
    <m/>
  </r>
  <r>
    <x v="10"/>
    <s v="Northwestern Oklahoma State University "/>
    <m/>
    <n v="207306"/>
    <x v="4"/>
    <n v="53520"/>
    <n v="52469"/>
    <n v="38882"/>
    <n v="39001"/>
    <n v="162"/>
    <n v="138"/>
    <n v="4947"/>
    <n v="9124"/>
    <n v="405"/>
    <n v="5053"/>
    <n v="8277"/>
    <m/>
    <m/>
    <m/>
    <n v="2648"/>
    <n v="2309"/>
    <n v="1443"/>
    <n v="1303"/>
    <n v="5"/>
    <n v="2"/>
    <n v="204"/>
    <n v="996"/>
    <m/>
    <n v="206"/>
    <n v="798"/>
    <m/>
    <m/>
    <m/>
  </r>
  <r>
    <x v="10"/>
    <s v="Southeastern Oklahoma State University "/>
    <s v="Met the criteria for Four-Year 4 in 2010-11 and 2011-12."/>
    <n v="207847"/>
    <x v="4"/>
    <n v="99728"/>
    <n v="97592"/>
    <n v="71663"/>
    <n v="67649"/>
    <n v="792"/>
    <m/>
    <n v="22514"/>
    <n v="1831"/>
    <n v="2928"/>
    <n v="24179"/>
    <n v="5764"/>
    <m/>
    <m/>
    <m/>
    <n v="5841"/>
    <n v="6177"/>
    <n v="3549"/>
    <n v="4550"/>
    <n v="219"/>
    <m/>
    <n v="1452"/>
    <n v="285"/>
    <n v="336"/>
    <n v="1390"/>
    <n v="237"/>
    <m/>
    <m/>
    <m/>
  </r>
  <r>
    <x v="10"/>
    <s v="Southwestern Oklahoma State University"/>
    <m/>
    <n v="207865"/>
    <x v="4"/>
    <n v="124302"/>
    <n v="124777"/>
    <n v="112608"/>
    <n v="110061"/>
    <n v="1283"/>
    <n v="1566"/>
    <n v="7054"/>
    <n v="1788"/>
    <n v="1569"/>
    <n v="10192"/>
    <n v="1707"/>
    <n v="1251"/>
    <m/>
    <m/>
    <n v="13777"/>
    <n v="14178"/>
    <n v="8852"/>
    <n v="8985"/>
    <m/>
    <n v="10"/>
    <n v="1415"/>
    <n v="3510"/>
    <m/>
    <n v="1292"/>
    <n v="3891"/>
    <m/>
    <m/>
    <m/>
  </r>
  <r>
    <x v="10"/>
    <s v="Oklahoma Panhandle State University "/>
    <m/>
    <n v="207351"/>
    <x v="5"/>
    <n v="37412"/>
    <n v="39218"/>
    <n v="31053"/>
    <n v="34003"/>
    <m/>
    <m/>
    <n v="6131"/>
    <n v="228"/>
    <m/>
    <n v="5050"/>
    <n v="165"/>
    <m/>
    <m/>
    <m/>
    <n v="0"/>
    <n v="0"/>
    <m/>
    <m/>
    <m/>
    <m/>
    <m/>
    <m/>
    <m/>
    <m/>
    <m/>
    <m/>
    <m/>
    <m/>
  </r>
  <r>
    <x v="10"/>
    <s v="Rogers State University"/>
    <m/>
    <n v="207661"/>
    <x v="5"/>
    <n v="100335"/>
    <n v="104846"/>
    <n v="68677"/>
    <n v="72813"/>
    <n v="2541"/>
    <n v="2951"/>
    <n v="26138"/>
    <n v="2979"/>
    <m/>
    <n v="26519"/>
    <n v="2563"/>
    <m/>
    <m/>
    <m/>
    <n v="0"/>
    <n v="0"/>
    <m/>
    <m/>
    <m/>
    <m/>
    <m/>
    <m/>
    <m/>
    <m/>
    <m/>
    <m/>
    <m/>
    <m/>
  </r>
  <r>
    <x v="10"/>
    <s v="University of Science and Arts of Oklahoma"/>
    <m/>
    <n v="207722"/>
    <x v="5"/>
    <n v="31198"/>
    <n v="30810"/>
    <n v="31086"/>
    <n v="30690"/>
    <n v="112"/>
    <n v="120"/>
    <m/>
    <m/>
    <m/>
    <m/>
    <m/>
    <m/>
    <m/>
    <m/>
    <n v="0"/>
    <n v="0"/>
    <m/>
    <m/>
    <m/>
    <m/>
    <m/>
    <m/>
    <m/>
    <m/>
    <m/>
    <m/>
    <m/>
    <m/>
  </r>
  <r>
    <x v="10"/>
    <s v="Oklahoma State University Technical Branch-Okmulgee "/>
    <m/>
    <n v="207564"/>
    <x v="11"/>
    <n v="96782"/>
    <n v="95815"/>
    <n v="78449"/>
    <n v="75353"/>
    <n v="12372"/>
    <n v="10254"/>
    <n v="5961"/>
    <m/>
    <m/>
    <n v="10208"/>
    <m/>
    <m/>
    <m/>
    <m/>
    <n v="0"/>
    <n v="0"/>
    <m/>
    <m/>
    <m/>
    <m/>
    <m/>
    <m/>
    <m/>
    <m/>
    <m/>
    <m/>
    <m/>
    <m/>
  </r>
  <r>
    <x v="10"/>
    <s v="Oklahoma State University-Oklahoma City "/>
    <s v="Reclassified: Met criteria for Two-Year with Bachelor's in 2009-10, 2010-11, and 2011-12."/>
    <n v="207397"/>
    <x v="11"/>
    <n v="159604"/>
    <n v="169257"/>
    <n v="108255"/>
    <n v="111532"/>
    <n v="1945"/>
    <n v="5012"/>
    <n v="43192"/>
    <n v="3256"/>
    <n v="2956"/>
    <n v="47470"/>
    <n v="5170"/>
    <m/>
    <m/>
    <n v="73"/>
    <n v="0"/>
    <n v="0"/>
    <m/>
    <m/>
    <m/>
    <m/>
    <m/>
    <m/>
    <m/>
    <m/>
    <m/>
    <m/>
    <m/>
    <m/>
  </r>
  <r>
    <x v="10"/>
    <s v="Oklahoma City Community College "/>
    <m/>
    <n v="207449"/>
    <x v="6"/>
    <n v="291030"/>
    <n v="323628"/>
    <n v="213599"/>
    <n v="189505"/>
    <n v="19210"/>
    <n v="20424"/>
    <n v="42507"/>
    <m/>
    <n v="96"/>
    <n v="52316"/>
    <m/>
    <n v="60962"/>
    <n v="15618"/>
    <n v="421"/>
    <n v="0"/>
    <n v="0"/>
    <m/>
    <m/>
    <m/>
    <m/>
    <m/>
    <m/>
    <m/>
    <m/>
    <m/>
    <m/>
    <m/>
    <m/>
  </r>
  <r>
    <x v="10"/>
    <s v="Rose State College "/>
    <s v="Reclassified: Met the criteria for Two-Year 1 institution in 2009-10, 2010-11, and 2011-12."/>
    <n v="207670"/>
    <x v="6"/>
    <n v="167587"/>
    <n v="162006"/>
    <n v="124708"/>
    <n v="121773"/>
    <n v="9862"/>
    <n v="5722"/>
    <n v="29544"/>
    <n v="404"/>
    <n v="3069"/>
    <n v="31677"/>
    <n v="169"/>
    <n v="2665"/>
    <m/>
    <m/>
    <n v="0"/>
    <n v="0"/>
    <m/>
    <m/>
    <m/>
    <m/>
    <m/>
    <m/>
    <m/>
    <m/>
    <m/>
    <m/>
    <m/>
    <m/>
  </r>
  <r>
    <x v="10"/>
    <s v="Tulsa Community College "/>
    <m/>
    <n v="207935"/>
    <x v="6"/>
    <n v="355979"/>
    <n v="397010"/>
    <n v="275136"/>
    <n v="290409"/>
    <n v="11756"/>
    <n v="18548"/>
    <n v="69087"/>
    <m/>
    <m/>
    <n v="88053"/>
    <m/>
    <m/>
    <m/>
    <m/>
    <n v="0"/>
    <n v="0"/>
    <m/>
    <m/>
    <m/>
    <m/>
    <m/>
    <m/>
    <m/>
    <m/>
    <m/>
    <m/>
    <m/>
    <m/>
  </r>
  <r>
    <x v="10"/>
    <s v="Northern Oklahoma College "/>
    <m/>
    <n v="207281"/>
    <x v="7"/>
    <n v="112504"/>
    <n v="120330"/>
    <n v="78870"/>
    <n v="82422"/>
    <n v="9044"/>
    <n v="9788"/>
    <n v="8935"/>
    <n v="15208"/>
    <n v="363"/>
    <n v="12089"/>
    <n v="15674"/>
    <n v="357"/>
    <n v="84"/>
    <m/>
    <n v="0"/>
    <n v="0"/>
    <m/>
    <m/>
    <m/>
    <m/>
    <m/>
    <m/>
    <m/>
    <m/>
    <m/>
    <m/>
    <m/>
    <m/>
  </r>
  <r>
    <x v="10"/>
    <s v="Carl Albert State College"/>
    <s v="Met the criteria for Two-Year 2 institution in 2010-11 and 2011-12."/>
    <n v="206923"/>
    <x v="8"/>
    <n v="65407"/>
    <n v="63341"/>
    <n v="25901"/>
    <n v="23647"/>
    <n v="31"/>
    <m/>
    <n v="14695"/>
    <n v="423"/>
    <n v="24357"/>
    <n v="14516"/>
    <n v="177"/>
    <n v="25001"/>
    <m/>
    <m/>
    <n v="0"/>
    <n v="0"/>
    <m/>
    <m/>
    <m/>
    <m/>
    <m/>
    <m/>
    <m/>
    <m/>
    <m/>
    <m/>
    <m/>
    <m/>
  </r>
  <r>
    <x v="10"/>
    <s v="Connors State College "/>
    <m/>
    <n v="206996"/>
    <x v="8"/>
    <n v="57524"/>
    <n v="58495"/>
    <n v="38883"/>
    <n v="37804"/>
    <n v="8563"/>
    <n v="9473"/>
    <n v="4308"/>
    <n v="5770"/>
    <m/>
    <n v="4895"/>
    <n v="6323"/>
    <m/>
    <m/>
    <m/>
    <n v="0"/>
    <n v="0"/>
    <m/>
    <m/>
    <m/>
    <m/>
    <m/>
    <m/>
    <m/>
    <m/>
    <m/>
    <m/>
    <m/>
    <m/>
  </r>
  <r>
    <x v="10"/>
    <s v="Eastern Oklahoma State College "/>
    <m/>
    <n v="207050"/>
    <x v="8"/>
    <n v="46267"/>
    <n v="45357"/>
    <n v="33941"/>
    <n v="33741"/>
    <n v="3516"/>
    <n v="2461"/>
    <n v="5352"/>
    <n v="3458"/>
    <m/>
    <n v="6102"/>
    <n v="3053"/>
    <m/>
    <m/>
    <m/>
    <n v="0"/>
    <n v="0"/>
    <m/>
    <m/>
    <m/>
    <m/>
    <m/>
    <m/>
    <m/>
    <m/>
    <m/>
    <m/>
    <m/>
    <m/>
  </r>
  <r>
    <x v="10"/>
    <s v="Murray State College "/>
    <m/>
    <n v="207236"/>
    <x v="8"/>
    <n v="60760"/>
    <n v="59204"/>
    <n v="40625"/>
    <n v="37440"/>
    <n v="2380"/>
    <n v="2772"/>
    <n v="10403"/>
    <n v="7352"/>
    <m/>
    <n v="11207"/>
    <n v="7749"/>
    <n v="36"/>
    <m/>
    <m/>
    <n v="0"/>
    <n v="0"/>
    <m/>
    <m/>
    <m/>
    <m/>
    <m/>
    <m/>
    <m/>
    <m/>
    <m/>
    <m/>
    <m/>
    <m/>
  </r>
  <r>
    <x v="10"/>
    <s v="Northeastern Oklahoma A &amp; M College "/>
    <s v="Met the criteria for Two-Year 2 institution in 2010-11 and 2011-12."/>
    <n v="207290"/>
    <x v="8"/>
    <n v="58870"/>
    <n v="63634"/>
    <n v="47185"/>
    <n v="49728"/>
    <n v="1383"/>
    <n v="1586"/>
    <n v="8689"/>
    <n v="1613"/>
    <m/>
    <n v="10937"/>
    <n v="1383"/>
    <m/>
    <m/>
    <m/>
    <n v="0"/>
    <n v="0"/>
    <m/>
    <m/>
    <m/>
    <m/>
    <m/>
    <m/>
    <m/>
    <m/>
    <m/>
    <m/>
    <m/>
    <m/>
  </r>
  <r>
    <x v="10"/>
    <s v="Redlands Community College"/>
    <m/>
    <n v="207069"/>
    <x v="8"/>
    <n v="49593"/>
    <n v="49031"/>
    <n v="27215"/>
    <n v="25983"/>
    <n v="7084"/>
    <n v="6878"/>
    <n v="13440"/>
    <n v="1854"/>
    <m/>
    <n v="14415"/>
    <n v="1755"/>
    <m/>
    <m/>
    <m/>
    <n v="0"/>
    <n v="0"/>
    <m/>
    <m/>
    <m/>
    <m/>
    <m/>
    <m/>
    <m/>
    <m/>
    <m/>
    <m/>
    <m/>
    <m/>
  </r>
  <r>
    <x v="10"/>
    <s v="Seminole State College "/>
    <m/>
    <n v="207740"/>
    <x v="8"/>
    <n v="48732"/>
    <n v="45684"/>
    <n v="34361"/>
    <n v="29558"/>
    <n v="7030"/>
    <n v="7727"/>
    <n v="7221"/>
    <n v="120"/>
    <m/>
    <n v="8288"/>
    <n v="111"/>
    <m/>
    <m/>
    <m/>
    <n v="0"/>
    <n v="0"/>
    <m/>
    <m/>
    <m/>
    <m/>
    <m/>
    <m/>
    <m/>
    <m/>
    <m/>
    <m/>
    <m/>
    <m/>
  </r>
  <r>
    <x v="10"/>
    <s v="Western Oklahoma State College "/>
    <s v="Met the criteria for Two-Year 2 institution in 2011-12."/>
    <n v="208035"/>
    <x v="8"/>
    <n v="58587"/>
    <n v="63048"/>
    <n v="21974"/>
    <n v="20713"/>
    <n v="5525"/>
    <n v="6022"/>
    <n v="28667"/>
    <n v="1911"/>
    <n v="510"/>
    <n v="34238"/>
    <n v="1715"/>
    <n v="360"/>
    <m/>
    <m/>
    <n v="0"/>
    <n v="0"/>
    <m/>
    <m/>
    <m/>
    <m/>
    <m/>
    <m/>
    <m/>
    <m/>
    <m/>
    <m/>
    <m/>
    <m/>
  </r>
  <r>
    <x v="11"/>
    <s v="Clemson University"/>
    <m/>
    <n v="217882"/>
    <x v="0"/>
    <n v="467392"/>
    <n v="491334"/>
    <n v="434260"/>
    <n v="451941"/>
    <n v="5322"/>
    <n v="15418"/>
    <n v="27810"/>
    <m/>
    <m/>
    <n v="23975"/>
    <m/>
    <m/>
    <m/>
    <m/>
    <n v="73789"/>
    <n v="77271"/>
    <n v="57420"/>
    <n v="57340"/>
    <n v="11411"/>
    <n v="15684"/>
    <n v="4958"/>
    <m/>
    <m/>
    <n v="4247"/>
    <m/>
    <m/>
    <m/>
    <m/>
  </r>
  <r>
    <x v="11"/>
    <s v="University of South Carolina-Columbia"/>
    <m/>
    <n v="218663"/>
    <x v="0"/>
    <n v="628870"/>
    <n v="674943"/>
    <n v="596746"/>
    <n v="637395"/>
    <n v="17350"/>
    <n v="15367"/>
    <n v="10183"/>
    <n v="3506"/>
    <n v="1085"/>
    <n v="17159"/>
    <n v="3833"/>
    <n v="1189"/>
    <m/>
    <m/>
    <n v="116559"/>
    <n v="118222"/>
    <n v="74601"/>
    <n v="73946"/>
    <n v="9276"/>
    <n v="9895"/>
    <n v="29956"/>
    <n v="474"/>
    <n v="2252"/>
    <n v="32293"/>
    <n v="174"/>
    <n v="1914"/>
    <m/>
    <m/>
  </r>
  <r>
    <x v="11"/>
    <s v="College of Charleston"/>
    <m/>
    <n v="217819"/>
    <x v="2"/>
    <n v="294793"/>
    <n v="302217"/>
    <n v="294499"/>
    <n v="299380"/>
    <n v="294"/>
    <n v="1795"/>
    <m/>
    <m/>
    <m/>
    <n v="1042"/>
    <m/>
    <m/>
    <m/>
    <m/>
    <n v="18228"/>
    <n v="19054"/>
    <n v="13057"/>
    <n v="10693"/>
    <n v="4911"/>
    <n v="7511"/>
    <n v="122"/>
    <m/>
    <n v="138"/>
    <n v="766"/>
    <m/>
    <n v="84"/>
    <m/>
    <m/>
  </r>
  <r>
    <x v="11"/>
    <s v="Winthrop University "/>
    <m/>
    <n v="218964"/>
    <x v="2"/>
    <n v="143274.5"/>
    <n v="143669"/>
    <n v="142629.5"/>
    <n v="139272"/>
    <n v="645"/>
    <n v="1273"/>
    <m/>
    <m/>
    <m/>
    <n v="3124"/>
    <m/>
    <m/>
    <m/>
    <m/>
    <n v="18159"/>
    <n v="18582"/>
    <n v="15896"/>
    <n v="14482"/>
    <n v="2032"/>
    <n v="2381"/>
    <n v="231"/>
    <m/>
    <m/>
    <n v="1719"/>
    <m/>
    <m/>
    <m/>
    <m/>
  </r>
  <r>
    <x v="11"/>
    <s v="The Citadel, the Military College of South Carolina "/>
    <s v="Met the criteria for Four-Year 3 in 2011-12."/>
    <n v="217864"/>
    <x v="3"/>
    <n v="85876"/>
    <n v="87469"/>
    <n v="85420"/>
    <n v="86618"/>
    <n v="237"/>
    <n v="231"/>
    <n v="219"/>
    <m/>
    <m/>
    <n v="620"/>
    <m/>
    <m/>
    <m/>
    <m/>
    <n v="15502"/>
    <n v="16062"/>
    <n v="14686"/>
    <n v="12780"/>
    <n v="579"/>
    <n v="1752"/>
    <n v="237"/>
    <m/>
    <m/>
    <n v="1530"/>
    <m/>
    <m/>
    <m/>
    <m/>
  </r>
  <r>
    <x v="11"/>
    <s v="Coastal Carolina University"/>
    <m/>
    <n v="218724"/>
    <x v="4"/>
    <n v="236506"/>
    <n v="249232"/>
    <n v="225585"/>
    <n v="233193"/>
    <n v="2531"/>
    <n v="1928"/>
    <n v="8390"/>
    <m/>
    <m/>
    <n v="14111"/>
    <m/>
    <m/>
    <m/>
    <m/>
    <n v="9490"/>
    <n v="9268"/>
    <n v="4434"/>
    <n v="5224"/>
    <n v="2725"/>
    <n v="1810"/>
    <n v="2331"/>
    <m/>
    <m/>
    <n v="2234"/>
    <m/>
    <m/>
    <m/>
    <m/>
  </r>
  <r>
    <x v="11"/>
    <s v="Francis Marion University "/>
    <m/>
    <n v="218061"/>
    <x v="4"/>
    <n v="103303"/>
    <n v="105516"/>
    <n v="103157"/>
    <n v="104723"/>
    <n v="140"/>
    <n v="517"/>
    <n v="6"/>
    <m/>
    <m/>
    <n v="276"/>
    <m/>
    <m/>
    <m/>
    <m/>
    <n v="4469"/>
    <n v="4967"/>
    <n v="2897"/>
    <n v="3461"/>
    <n v="1563"/>
    <n v="1425"/>
    <n v="9"/>
    <m/>
    <m/>
    <n v="81"/>
    <m/>
    <m/>
    <m/>
    <m/>
  </r>
  <r>
    <x v="11"/>
    <s v="South Carolina State University "/>
    <m/>
    <n v="218733"/>
    <x v="4"/>
    <n v="115174"/>
    <n v="112443"/>
    <n v="113401.53"/>
    <n v="108344"/>
    <n v="0"/>
    <n v="0"/>
    <n v="1483.47"/>
    <m/>
    <n v="289"/>
    <n v="3286"/>
    <m/>
    <n v="813"/>
    <m/>
    <m/>
    <n v="11075"/>
    <n v="10494"/>
    <n v="10358"/>
    <n v="8973"/>
    <m/>
    <m/>
    <n v="717"/>
    <m/>
    <m/>
    <n v="1359"/>
    <m/>
    <n v="162"/>
    <m/>
    <m/>
  </r>
  <r>
    <x v="11"/>
    <s v="Lander University"/>
    <m/>
    <n v="218229"/>
    <x v="5"/>
    <n v="82796.5"/>
    <n v="86311"/>
    <n v="77111.5"/>
    <n v="79212"/>
    <n v="310"/>
    <n v="906"/>
    <n v="5224"/>
    <n v="151"/>
    <m/>
    <n v="6133"/>
    <n v="60"/>
    <m/>
    <m/>
    <m/>
    <n v="1854"/>
    <n v="1674"/>
    <n v="1077"/>
    <n v="1137"/>
    <n v="306"/>
    <n v="255"/>
    <n v="471"/>
    <m/>
    <m/>
    <n v="282"/>
    <m/>
    <m/>
    <m/>
    <m/>
  </r>
  <r>
    <x v="11"/>
    <s v="University of South Carolina-Aiken"/>
    <m/>
    <n v="218645"/>
    <x v="5"/>
    <n v="84564"/>
    <n v="90109"/>
    <n v="77348"/>
    <n v="82281"/>
    <n v="3831"/>
    <n v="5702"/>
    <n v="3385"/>
    <m/>
    <m/>
    <n v="2126"/>
    <m/>
    <m/>
    <m/>
    <m/>
    <n v="1192"/>
    <n v="1222"/>
    <n v="565"/>
    <n v="602"/>
    <n v="198"/>
    <n v="272"/>
    <n v="429"/>
    <m/>
    <m/>
    <n v="348"/>
    <m/>
    <m/>
    <m/>
    <m/>
  </r>
  <r>
    <x v="11"/>
    <s v="University of South Carolina-Beaufort"/>
    <m/>
    <n v="218654"/>
    <x v="5"/>
    <n v="45714"/>
    <n v="53991"/>
    <n v="39739"/>
    <n v="48167"/>
    <n v="5975"/>
    <n v="5824"/>
    <m/>
    <m/>
    <m/>
    <m/>
    <m/>
    <m/>
    <m/>
    <m/>
    <n v="0"/>
    <n v="0"/>
    <m/>
    <m/>
    <m/>
    <m/>
    <m/>
    <m/>
    <m/>
    <m/>
    <m/>
    <m/>
    <m/>
    <m/>
  </r>
  <r>
    <x v="11"/>
    <s v="University of South Carolina-Upstate"/>
    <m/>
    <n v="218742"/>
    <x v="5"/>
    <n v="148590"/>
    <n v="161721"/>
    <n v="123088"/>
    <n v="134150"/>
    <n v="12990"/>
    <n v="11924"/>
    <n v="12344"/>
    <m/>
    <n v="168"/>
    <n v="15524"/>
    <n v="33"/>
    <n v="90"/>
    <m/>
    <m/>
    <n v="1351"/>
    <n v="1357"/>
    <n v="481"/>
    <n v="448"/>
    <n v="312"/>
    <n v="327"/>
    <n v="495"/>
    <n v="9"/>
    <n v="54"/>
    <n v="576"/>
    <m/>
    <n v="6"/>
    <m/>
    <m/>
  </r>
  <r>
    <x v="11"/>
    <s v="Greenville Technical College "/>
    <m/>
    <n v="218113"/>
    <x v="6"/>
    <n v="344968"/>
    <n v="374512.12"/>
    <n v="243786"/>
    <n v="282519.12"/>
    <n v="17540"/>
    <n v="16745"/>
    <n v="82412"/>
    <n v="660"/>
    <n v="570"/>
    <n v="75248"/>
    <m/>
    <m/>
    <m/>
    <m/>
    <n v="0"/>
    <n v="0"/>
    <m/>
    <m/>
    <m/>
    <m/>
    <m/>
    <m/>
    <m/>
    <m/>
    <m/>
    <m/>
    <m/>
    <m/>
  </r>
  <r>
    <x v="11"/>
    <s v="Horry-Georgetown Technical College "/>
    <s v="Reclassified: Met the criteria for Two-year 1 in 2009-10, 2010-11, and 2011-12."/>
    <n v="218140"/>
    <x v="6"/>
    <n v="173200"/>
    <n v="185537.02000000002"/>
    <n v="144519"/>
    <n v="152615.02000000002"/>
    <n v="6896"/>
    <n v="7547"/>
    <n v="21785"/>
    <m/>
    <m/>
    <n v="25375"/>
    <m/>
    <m/>
    <m/>
    <m/>
    <n v="0"/>
    <n v="0"/>
    <m/>
    <m/>
    <m/>
    <m/>
    <m/>
    <m/>
    <m/>
    <m/>
    <m/>
    <m/>
    <m/>
    <m/>
  </r>
  <r>
    <x v="11"/>
    <s v="Midlands Technical College "/>
    <m/>
    <n v="218353"/>
    <x v="6"/>
    <n v="281859"/>
    <n v="271208.90000000002"/>
    <n v="215337"/>
    <n v="219434.90000000002"/>
    <n v="16951"/>
    <n v="13433"/>
    <n v="49571"/>
    <m/>
    <m/>
    <n v="38341"/>
    <m/>
    <m/>
    <m/>
    <m/>
    <n v="0"/>
    <n v="0"/>
    <m/>
    <m/>
    <m/>
    <m/>
    <m/>
    <m/>
    <m/>
    <m/>
    <m/>
    <m/>
    <m/>
    <m/>
  </r>
  <r>
    <x v="11"/>
    <s v="Tri-County Technical College "/>
    <s v="Reclassified: Met the criteria for Two-year 1 in 2009-10, 2010-11, and 2011-12."/>
    <n v="218885"/>
    <x v="6"/>
    <n v="171851"/>
    <n v="185910.28"/>
    <n v="134614"/>
    <n v="146653.28"/>
    <n v="4608"/>
    <n v="3549"/>
    <n v="32629"/>
    <m/>
    <m/>
    <n v="35708"/>
    <m/>
    <m/>
    <m/>
    <m/>
    <n v="0"/>
    <n v="0"/>
    <m/>
    <m/>
    <m/>
    <m/>
    <m/>
    <m/>
    <m/>
    <m/>
    <m/>
    <m/>
    <m/>
    <m/>
  </r>
  <r>
    <x v="11"/>
    <s v="Trident Technical College "/>
    <m/>
    <n v="218894"/>
    <x v="6"/>
    <n v="357179"/>
    <n v="408457.47"/>
    <n v="264813"/>
    <n v="306852.46999999997"/>
    <n v="11457"/>
    <n v="12324"/>
    <n v="80909"/>
    <m/>
    <m/>
    <n v="89281"/>
    <m/>
    <m/>
    <m/>
    <m/>
    <n v="0"/>
    <n v="0"/>
    <m/>
    <m/>
    <m/>
    <m/>
    <m/>
    <m/>
    <m/>
    <m/>
    <m/>
    <m/>
    <m/>
    <m/>
  </r>
  <r>
    <x v="11"/>
    <s v="Aiken Technical College "/>
    <m/>
    <n v="217615"/>
    <x v="7"/>
    <n v="75200"/>
    <n v="83052.09"/>
    <n v="58693"/>
    <n v="67322.09"/>
    <n v="4571"/>
    <n v="4535"/>
    <n v="11936"/>
    <m/>
    <m/>
    <n v="11195"/>
    <m/>
    <m/>
    <m/>
    <m/>
    <n v="0"/>
    <n v="0"/>
    <m/>
    <m/>
    <m/>
    <m/>
    <m/>
    <m/>
    <m/>
    <m/>
    <m/>
    <m/>
    <m/>
    <m/>
  </r>
  <r>
    <x v="11"/>
    <s v="Central Carolina Technical College "/>
    <m/>
    <n v="218858"/>
    <x v="7"/>
    <n v="93068"/>
    <n v="106029.22"/>
    <n v="68067"/>
    <n v="80725.22"/>
    <n v="9497"/>
    <n v="9420"/>
    <n v="15504"/>
    <m/>
    <m/>
    <n v="15884"/>
    <m/>
    <m/>
    <m/>
    <m/>
    <n v="0"/>
    <n v="0"/>
    <m/>
    <m/>
    <m/>
    <m/>
    <m/>
    <m/>
    <m/>
    <m/>
    <m/>
    <m/>
    <m/>
    <m/>
  </r>
  <r>
    <x v="11"/>
    <s v="Florence-Darlington Technical College "/>
    <s v="Met the criteria for Two-year 1 in 2010-11 and 2011-12."/>
    <n v="218025"/>
    <x v="7"/>
    <n v="141993"/>
    <n v="165741.02000000002"/>
    <n v="98830"/>
    <n v="118345.02000000002"/>
    <n v="10162"/>
    <n v="10551"/>
    <n v="26610"/>
    <n v="6391"/>
    <m/>
    <n v="30519"/>
    <n v="6326"/>
    <m/>
    <m/>
    <m/>
    <n v="0"/>
    <n v="0"/>
    <m/>
    <m/>
    <m/>
    <m/>
    <m/>
    <m/>
    <m/>
    <m/>
    <m/>
    <m/>
    <m/>
    <m/>
  </r>
  <r>
    <x v="11"/>
    <s v="Orangeburg-Calhoun Technical College "/>
    <m/>
    <n v="218487"/>
    <x v="7"/>
    <n v="72998"/>
    <n v="79795.86"/>
    <n v="55716"/>
    <n v="64238.86"/>
    <n v="8717"/>
    <n v="8403"/>
    <n v="8565"/>
    <m/>
    <m/>
    <n v="7154"/>
    <m/>
    <m/>
    <m/>
    <m/>
    <n v="0"/>
    <n v="0"/>
    <m/>
    <m/>
    <m/>
    <m/>
    <m/>
    <m/>
    <m/>
    <m/>
    <m/>
    <m/>
    <m/>
    <m/>
  </r>
  <r>
    <x v="11"/>
    <s v="Piedmont Technical College "/>
    <s v="Met the criteria for Two-year 1 in 2010-11 and 2011-12."/>
    <n v="218520"/>
    <x v="7"/>
    <n v="138959"/>
    <n v="168991.87"/>
    <n v="71712"/>
    <n v="99839.87"/>
    <n v="15257"/>
    <n v="17335"/>
    <n v="36827"/>
    <n v="15163"/>
    <m/>
    <n v="39953"/>
    <n v="11864"/>
    <m/>
    <m/>
    <m/>
    <n v="0"/>
    <n v="0"/>
    <m/>
    <m/>
    <m/>
    <m/>
    <m/>
    <m/>
    <m/>
    <m/>
    <m/>
    <m/>
    <m/>
    <m/>
  </r>
  <r>
    <x v="11"/>
    <s v="Spartanburg Community College "/>
    <m/>
    <n v="218830"/>
    <x v="7"/>
    <n v="140025"/>
    <n v="152161.12"/>
    <n v="114546"/>
    <n v="122516.12"/>
    <n v="5936"/>
    <n v="6791"/>
    <n v="19534"/>
    <n v="9"/>
    <m/>
    <n v="22854"/>
    <m/>
    <m/>
    <m/>
    <m/>
    <n v="0"/>
    <n v="0"/>
    <m/>
    <m/>
    <m/>
    <m/>
    <m/>
    <m/>
    <m/>
    <m/>
    <m/>
    <m/>
    <m/>
    <m/>
  </r>
  <r>
    <x v="11"/>
    <s v="York Technical College "/>
    <m/>
    <n v="218991"/>
    <x v="7"/>
    <n v="140960"/>
    <n v="151048.74"/>
    <n v="89627"/>
    <n v="107025.73999999999"/>
    <n v="10099"/>
    <n v="8725"/>
    <n v="32197"/>
    <n v="8657"/>
    <n v="380"/>
    <n v="28140"/>
    <n v="7152"/>
    <n v="6"/>
    <m/>
    <m/>
    <n v="0"/>
    <n v="0"/>
    <m/>
    <m/>
    <m/>
    <m/>
    <m/>
    <m/>
    <m/>
    <m/>
    <m/>
    <m/>
    <m/>
    <m/>
  </r>
  <r>
    <x v="11"/>
    <s v="Denmark Technical College "/>
    <m/>
    <n v="217989"/>
    <x v="8"/>
    <n v="32782"/>
    <n v="38934.33"/>
    <n v="26294"/>
    <n v="34670.33"/>
    <n v="186"/>
    <n v="711"/>
    <n v="6302"/>
    <m/>
    <m/>
    <n v="3553"/>
    <m/>
    <m/>
    <m/>
    <m/>
    <n v="0"/>
    <n v="0"/>
    <m/>
    <m/>
    <m/>
    <m/>
    <m/>
    <m/>
    <m/>
    <m/>
    <m/>
    <m/>
    <m/>
    <m/>
  </r>
  <r>
    <x v="11"/>
    <s v="Northeastern Technical College "/>
    <m/>
    <n v="217837"/>
    <x v="8"/>
    <n v="29287"/>
    <n v="34578.79"/>
    <n v="21072"/>
    <n v="24247.79"/>
    <n v="672"/>
    <n v="385"/>
    <n v="3705"/>
    <n v="3838"/>
    <m/>
    <n v="4923"/>
    <n v="5023"/>
    <m/>
    <m/>
    <m/>
    <n v="0"/>
    <n v="0"/>
    <m/>
    <m/>
    <m/>
    <m/>
    <m/>
    <m/>
    <m/>
    <m/>
    <m/>
    <m/>
    <m/>
    <m/>
  </r>
  <r>
    <x v="11"/>
    <s v="Technical College of the Lowcountry"/>
    <s v="Met the criteria for Two-Year 2 in 2011-12."/>
    <n v="217712"/>
    <x v="8"/>
    <n v="60944"/>
    <n v="65141.969999999994"/>
    <n v="44542"/>
    <n v="51761.969999999994"/>
    <n v="346"/>
    <n v="1632"/>
    <n v="12243"/>
    <n v="3813"/>
    <m/>
    <n v="11748"/>
    <m/>
    <m/>
    <m/>
    <m/>
    <n v="0"/>
    <n v="0"/>
    <m/>
    <m/>
    <m/>
    <m/>
    <m/>
    <m/>
    <m/>
    <m/>
    <m/>
    <m/>
    <m/>
    <m/>
  </r>
  <r>
    <x v="11"/>
    <s v="University of South Carolina-Lancaster"/>
    <m/>
    <n v="218672"/>
    <x v="8"/>
    <n v="34947"/>
    <n v="37044"/>
    <n v="34646"/>
    <n v="36185"/>
    <n v="301"/>
    <n v="505"/>
    <n v="0"/>
    <m/>
    <m/>
    <n v="354"/>
    <m/>
    <m/>
    <m/>
    <m/>
    <n v="0"/>
    <n v="0"/>
    <m/>
    <m/>
    <m/>
    <m/>
    <m/>
    <m/>
    <m/>
    <m/>
    <m/>
    <m/>
    <m/>
    <m/>
  </r>
  <r>
    <x v="11"/>
    <s v="University of South Carolina-Salkehatchie"/>
    <m/>
    <n v="218681"/>
    <x v="8"/>
    <n v="21981"/>
    <n v="24064"/>
    <n v="21981"/>
    <n v="24064"/>
    <n v="0"/>
    <n v="0"/>
    <n v="0"/>
    <m/>
    <m/>
    <m/>
    <m/>
    <m/>
    <m/>
    <m/>
    <n v="0"/>
    <n v="0"/>
    <m/>
    <m/>
    <m/>
    <m/>
    <m/>
    <m/>
    <m/>
    <m/>
    <m/>
    <m/>
    <m/>
    <m/>
  </r>
  <r>
    <x v="11"/>
    <s v="University of South Carolina-Sumter"/>
    <m/>
    <n v="218690"/>
    <x v="8"/>
    <n v="26375"/>
    <n v="28405"/>
    <n v="22605"/>
    <n v="24391"/>
    <n v="3500"/>
    <n v="3777"/>
    <n v="270"/>
    <m/>
    <m/>
    <n v="237"/>
    <m/>
    <m/>
    <m/>
    <m/>
    <n v="0"/>
    <n v="0"/>
    <m/>
    <m/>
    <m/>
    <m/>
    <m/>
    <m/>
    <m/>
    <m/>
    <m/>
    <m/>
    <m/>
    <m/>
  </r>
  <r>
    <x v="11"/>
    <s v="University of South Carolina-Union"/>
    <m/>
    <n v="218706"/>
    <x v="8"/>
    <n v="10674"/>
    <n v="14034"/>
    <n v="9332"/>
    <n v="11533"/>
    <n v="1342"/>
    <n v="2501"/>
    <n v="0"/>
    <m/>
    <m/>
    <m/>
    <m/>
    <m/>
    <m/>
    <m/>
    <n v="0"/>
    <n v="0"/>
    <m/>
    <m/>
    <m/>
    <m/>
    <m/>
    <m/>
    <m/>
    <m/>
    <m/>
    <m/>
    <m/>
    <m/>
  </r>
  <r>
    <x v="11"/>
    <s v="Willamsburg Technical College "/>
    <m/>
    <n v="218955"/>
    <x v="8"/>
    <n v="18866"/>
    <n v="16747.490000000002"/>
    <n v="18524"/>
    <n v="16267.490000000002"/>
    <n v="220"/>
    <n v="348"/>
    <n v="122"/>
    <m/>
    <m/>
    <n v="132"/>
    <m/>
    <m/>
    <m/>
    <m/>
    <n v="0"/>
    <n v="0"/>
    <m/>
    <m/>
    <m/>
    <m/>
    <m/>
    <m/>
    <m/>
    <m/>
    <m/>
    <m/>
    <m/>
    <m/>
  </r>
  <r>
    <x v="12"/>
    <s v="University of Memphis"/>
    <m/>
    <n v="220862"/>
    <x v="0"/>
    <n v="422576"/>
    <n v="436950"/>
    <n v="351866"/>
    <n v="342254"/>
    <n v="7800"/>
    <n v="18793"/>
    <n v="42851"/>
    <n v="368"/>
    <n v="16665"/>
    <n v="53887"/>
    <n v="150"/>
    <n v="18709"/>
    <n v="3026"/>
    <n v="3157"/>
    <n v="83230"/>
    <n v="75706"/>
    <n v="55321"/>
    <n v="46191"/>
    <n v="10152"/>
    <n v="842"/>
    <n v="10405"/>
    <n v="51"/>
    <n v="1662"/>
    <n v="18120"/>
    <n v="132"/>
    <n v="4094"/>
    <n v="5639"/>
    <n v="6327"/>
  </r>
  <r>
    <x v="12"/>
    <s v="University of Tennessee, Knoxville"/>
    <m/>
    <n v="221759"/>
    <x v="0"/>
    <n v="567964"/>
    <n v="661664"/>
    <n v="487661"/>
    <n v="572222"/>
    <n v="969"/>
    <n v="24"/>
    <n v="72"/>
    <n v="792"/>
    <n v="78219"/>
    <n v="1920"/>
    <n v="0"/>
    <n v="83546"/>
    <n v="251"/>
    <n v="3952"/>
    <n v="129650"/>
    <n v="92816.900000000009"/>
    <n v="109147"/>
    <n v="78665.600000000006"/>
    <n v="1267"/>
    <n v="353"/>
    <n v="6803"/>
    <n v="75"/>
    <n v="11855"/>
    <n v="9244"/>
    <n v="0"/>
    <n v="1893.3"/>
    <n v="503"/>
    <n v="2661"/>
  </r>
  <r>
    <x v="12"/>
    <s v="Tennessee State University "/>
    <s v="Reclassified: Met the criteria for Four-Year 2 in 2009-10, 2010-11, and 2011-12."/>
    <n v="221838"/>
    <x v="1"/>
    <n v="182408"/>
    <n v="183269"/>
    <n v="154263"/>
    <n v="143834"/>
    <n v="14260"/>
    <n v="24389"/>
    <n v="12537"/>
    <n v="171"/>
    <n v="671"/>
    <n v="13721"/>
    <n v="0"/>
    <n v="926"/>
    <n v="506"/>
    <n v="399"/>
    <n v="32856"/>
    <n v="30967"/>
    <n v="26392"/>
    <n v="15785"/>
    <n v="1487"/>
    <n v="9246"/>
    <n v="1835"/>
    <n v="0"/>
    <n v="140"/>
    <n v="4974"/>
    <n v="0"/>
    <n v="279"/>
    <n v="3002"/>
    <n v="683"/>
  </r>
  <r>
    <x v="12"/>
    <s v="Austin Peay State University "/>
    <m/>
    <n v="219602"/>
    <x v="2"/>
    <n v="231958"/>
    <n v="240204"/>
    <n v="154611"/>
    <n v="161169"/>
    <n v="15145"/>
    <n v="14314"/>
    <n v="59191"/>
    <n v="0"/>
    <n v="2411"/>
    <n v="61326"/>
    <n v="0"/>
    <n v="2877"/>
    <n v="600"/>
    <n v="518"/>
    <n v="13956"/>
    <n v="14309"/>
    <n v="6356"/>
    <n v="5362"/>
    <n v="496"/>
    <n v="330"/>
    <n v="6932"/>
    <n v="0"/>
    <n v="55"/>
    <n v="8046"/>
    <n v="0"/>
    <n v="359"/>
    <n v="117"/>
    <n v="212"/>
  </r>
  <r>
    <x v="12"/>
    <s v="East Tennessee State University "/>
    <m/>
    <n v="220075"/>
    <x v="2"/>
    <n v="315496"/>
    <n v="323990"/>
    <n v="239142"/>
    <n v="239606"/>
    <n v="9334"/>
    <n v="8300"/>
    <n v="40456"/>
    <n v="9831"/>
    <n v="14290"/>
    <n v="45642"/>
    <n v="8559"/>
    <n v="19323"/>
    <n v="2443"/>
    <n v="2560"/>
    <n v="41178"/>
    <n v="35731"/>
    <n v="24434"/>
    <n v="19506"/>
    <n v="5183"/>
    <n v="958"/>
    <n v="8135"/>
    <n v="102"/>
    <n v="1622"/>
    <n v="11005"/>
    <n v="354"/>
    <n v="1846"/>
    <n v="1702"/>
    <n v="2062"/>
  </r>
  <r>
    <x v="12"/>
    <s v="Middle Tennessee State University "/>
    <m/>
    <n v="220978"/>
    <x v="2"/>
    <n v="618769"/>
    <n v="615412"/>
    <n v="530431"/>
    <n v="529290"/>
    <n v="10051"/>
    <n v="200"/>
    <n v="48763"/>
    <n v="2748"/>
    <n v="22415"/>
    <n v="58547"/>
    <n v="237"/>
    <n v="22585"/>
    <n v="4361"/>
    <n v="4553"/>
    <n v="41595"/>
    <n v="45612"/>
    <n v="28178"/>
    <n v="27998"/>
    <n v="2342"/>
    <n v="4436"/>
    <n v="5425"/>
    <n v="379"/>
    <n v="2190"/>
    <n v="9689"/>
    <n v="261"/>
    <n v="1192"/>
    <n v="3081"/>
    <n v="2036"/>
  </r>
  <r>
    <x v="12"/>
    <s v="Tennessee Technological University "/>
    <m/>
    <n v="221847"/>
    <x v="2"/>
    <n v="260418"/>
    <n v="214326"/>
    <n v="219607"/>
    <n v="177351"/>
    <n v="14260"/>
    <n v="7171"/>
    <n v="15262"/>
    <m/>
    <n v="8189"/>
    <n v="18429"/>
    <n v="0"/>
    <n v="7424"/>
    <n v="3100"/>
    <n v="3951"/>
    <n v="30181"/>
    <n v="18144"/>
    <n v="18854"/>
    <n v="6516"/>
    <n v="2014"/>
    <n v="1463"/>
    <n v="5845"/>
    <n v="42"/>
    <n v="467"/>
    <n v="6488"/>
    <n v="0"/>
    <n v="2048"/>
    <n v="2959"/>
    <n v="1629"/>
  </r>
  <r>
    <x v="12"/>
    <s v="University of Tennessee at Chattanooga"/>
    <m/>
    <n v="221740"/>
    <x v="2"/>
    <n v="241728"/>
    <n v="251180.3"/>
    <n v="234753"/>
    <n v="234245"/>
    <n v="1096"/>
    <n v="4434"/>
    <n v="4710"/>
    <n v="0"/>
    <n v="0"/>
    <n v="10464"/>
    <n v="0"/>
    <n v="920"/>
    <n v="1169"/>
    <n v="1117.3"/>
    <n v="25246"/>
    <n v="26225"/>
    <n v="19214"/>
    <n v="20337"/>
    <n v="2173"/>
    <n v="49"/>
    <n v="2317"/>
    <n v="318"/>
    <n v="0"/>
    <n v="3687"/>
    <n v="1158"/>
    <n v="393"/>
    <n v="1224"/>
    <n v="601"/>
  </r>
  <r>
    <x v="12"/>
    <s v="University of Tennessee at Martin"/>
    <s v="Met the criteria for Four-Year 4 in 2011-12."/>
    <n v="221768"/>
    <x v="4"/>
    <n v="189533"/>
    <n v="204980"/>
    <n v="176444"/>
    <n v="168049"/>
    <n v="1324"/>
    <n v="20985"/>
    <n v="8351"/>
    <n v="3191"/>
    <n v="51"/>
    <n v="13869"/>
    <n v="1758"/>
    <n v="93"/>
    <n v="172"/>
    <n v="226"/>
    <n v="6675"/>
    <n v="7227"/>
    <n v="2726"/>
    <n v="2164"/>
    <n v="53"/>
    <n v="15"/>
    <n v="3337"/>
    <n v="559"/>
    <n v="0"/>
    <n v="5015"/>
    <n v="33"/>
    <m/>
    <n v="0"/>
    <m/>
  </r>
  <r>
    <x v="12"/>
    <s v="Chattanooga State Technical Community College "/>
    <m/>
    <n v="219824"/>
    <x v="6"/>
    <n v="206006"/>
    <n v="212732"/>
    <n v="126190"/>
    <n v="117490"/>
    <n v="9093"/>
    <n v="17000"/>
    <n v="40317"/>
    <n v="0"/>
    <n v="30134"/>
    <n v="42832"/>
    <m/>
    <n v="34763"/>
    <n v="272"/>
    <n v="647"/>
    <n v="0"/>
    <n v="0"/>
    <m/>
    <m/>
    <m/>
    <m/>
    <m/>
    <m/>
    <m/>
    <m/>
    <m/>
    <m/>
    <m/>
    <m/>
  </r>
  <r>
    <x v="12"/>
    <s v="Nashville State Technical Community College"/>
    <s v="Reclassified: Met the criteria for Two-year 1 in 2009-10, 2010-11, and 2011-12."/>
    <n v="221184"/>
    <x v="6"/>
    <n v="188287"/>
    <n v="195813.5"/>
    <n v="136317"/>
    <n v="110553.5"/>
    <n v="9434"/>
    <n v="39276"/>
    <n v="38987"/>
    <n v="0"/>
    <n v="3447"/>
    <n v="40886"/>
    <n v="0"/>
    <n v="4958"/>
    <n v="102"/>
    <n v="140"/>
    <n v="0"/>
    <n v="0"/>
    <m/>
    <m/>
    <m/>
    <m/>
    <m/>
    <m/>
    <m/>
    <m/>
    <m/>
    <m/>
    <m/>
    <m/>
  </r>
  <r>
    <x v="12"/>
    <s v="Pellissippi State Technical Community College"/>
    <m/>
    <n v="221643"/>
    <x v="6"/>
    <n v="226193"/>
    <n v="235683"/>
    <n v="164209"/>
    <n v="148976"/>
    <n v="28803"/>
    <n v="52538"/>
    <n v="27318"/>
    <n v="1367"/>
    <n v="4323"/>
    <n v="28832"/>
    <n v="1323"/>
    <n v="3779"/>
    <n v="173"/>
    <n v="235"/>
    <n v="0"/>
    <n v="0"/>
    <m/>
    <m/>
    <m/>
    <m/>
    <m/>
    <m/>
    <m/>
    <m/>
    <m/>
    <m/>
    <m/>
    <m/>
  </r>
  <r>
    <x v="12"/>
    <s v="Southwest Tennessee Community College"/>
    <m/>
    <n v="221485"/>
    <x v="6"/>
    <n v="285586"/>
    <n v="282378"/>
    <n v="235"/>
    <n v="490"/>
    <n v="241596"/>
    <n v="242139"/>
    <n v="27381"/>
    <n v="3855"/>
    <n v="12415"/>
    <n v="30085"/>
    <n v="1734"/>
    <n v="7888"/>
    <n v="104"/>
    <n v="42"/>
    <n v="0"/>
    <n v="0"/>
    <m/>
    <m/>
    <m/>
    <m/>
    <m/>
    <m/>
    <m/>
    <m/>
    <m/>
    <m/>
    <m/>
    <m/>
  </r>
  <r>
    <x v="12"/>
    <s v="Volunteer State Community College "/>
    <s v="Reclassified: Met the criteria for Two-year 1 in 2009-10, 2010-11, and 2011-12."/>
    <n v="222053"/>
    <x v="6"/>
    <n v="177755"/>
    <n v="172295"/>
    <n v="124494"/>
    <n v="99124"/>
    <n v="4641"/>
    <n v="23836"/>
    <n v="39394"/>
    <n v="343"/>
    <n v="8452"/>
    <n v="40994"/>
    <n v="288"/>
    <n v="7473"/>
    <n v="431"/>
    <n v="580"/>
    <n v="0"/>
    <n v="0"/>
    <m/>
    <m/>
    <m/>
    <m/>
    <m/>
    <m/>
    <m/>
    <m/>
    <m/>
    <m/>
    <m/>
    <m/>
  </r>
  <r>
    <x v="12"/>
    <s v="Cleveland State Community College "/>
    <m/>
    <n v="219879"/>
    <x v="7"/>
    <n v="77183"/>
    <n v="79753"/>
    <n v="53523"/>
    <n v="45868"/>
    <n v="6649"/>
    <n v="10230"/>
    <n v="10044"/>
    <n v="957"/>
    <n v="4650"/>
    <n v="10832"/>
    <n v="309"/>
    <n v="10992"/>
    <n v="1360"/>
    <n v="1522"/>
    <n v="0"/>
    <n v="0"/>
    <m/>
    <m/>
    <m/>
    <m/>
    <m/>
    <m/>
    <m/>
    <m/>
    <m/>
    <m/>
    <m/>
    <m/>
  </r>
  <r>
    <x v="12"/>
    <s v="Columbia State Community College "/>
    <m/>
    <n v="219888"/>
    <x v="7"/>
    <n v="112558"/>
    <n v="110306"/>
    <n v="75972"/>
    <n v="45404"/>
    <n v="7395"/>
    <n v="36640"/>
    <n v="15625"/>
    <n v="6441"/>
    <n v="7018"/>
    <n v="16570"/>
    <n v="5886"/>
    <n v="5733"/>
    <n v="107"/>
    <n v="73"/>
    <n v="0"/>
    <n v="0"/>
    <m/>
    <m/>
    <m/>
    <m/>
    <m/>
    <m/>
    <m/>
    <m/>
    <m/>
    <m/>
    <m/>
    <m/>
  </r>
  <r>
    <x v="12"/>
    <s v="Dyersburg State Community College "/>
    <s v="Reclassified: Met the criteria for Two-year 2 in 2009-10, 2010-11, and 2011-12."/>
    <n v="220057"/>
    <x v="7"/>
    <n v="72924"/>
    <n v="71139"/>
    <n v="47414"/>
    <n v="26289"/>
    <n v="8655"/>
    <n v="28464"/>
    <n v="7543"/>
    <n v="961"/>
    <n v="8061"/>
    <n v="9731"/>
    <n v="2514"/>
    <n v="3796"/>
    <n v="290"/>
    <n v="345"/>
    <n v="0"/>
    <n v="0"/>
    <m/>
    <m/>
    <m/>
    <m/>
    <m/>
    <m/>
    <m/>
    <m/>
    <m/>
    <m/>
    <m/>
    <m/>
  </r>
  <r>
    <x v="12"/>
    <s v="Jackson State Community College "/>
    <m/>
    <n v="220400"/>
    <x v="7"/>
    <n v="109536"/>
    <n v="104120"/>
    <n v="62450"/>
    <n v="50431"/>
    <n v="1232"/>
    <n v="10511"/>
    <n v="28762"/>
    <n v="4114"/>
    <n v="12771"/>
    <n v="26776"/>
    <n v="4026"/>
    <n v="12219"/>
    <n v="207"/>
    <n v="157"/>
    <n v="0"/>
    <n v="0"/>
    <m/>
    <m/>
    <m/>
    <m/>
    <m/>
    <m/>
    <m/>
    <m/>
    <m/>
    <m/>
    <m/>
    <m/>
  </r>
  <r>
    <x v="12"/>
    <s v="Motlow State Community College "/>
    <m/>
    <n v="221096"/>
    <x v="7"/>
    <n v="105975"/>
    <n v="99616"/>
    <n v="31854"/>
    <n v="29535"/>
    <n v="53563"/>
    <n v="49512"/>
    <n v="14923"/>
    <n v="5478"/>
    <n v="0"/>
    <n v="14891"/>
    <n v="5380"/>
    <n v="48"/>
    <n v="157"/>
    <n v="250"/>
    <n v="0"/>
    <n v="0"/>
    <m/>
    <m/>
    <m/>
    <m/>
    <m/>
    <m/>
    <m/>
    <m/>
    <m/>
    <m/>
    <m/>
    <m/>
  </r>
  <r>
    <x v="12"/>
    <s v="Northeast State Technical Community College"/>
    <m/>
    <n v="221908"/>
    <x v="7"/>
    <n v="141525"/>
    <n v="142268"/>
    <n v="108718"/>
    <n v="88386"/>
    <n v="9828"/>
    <n v="31025"/>
    <n v="7172"/>
    <n v="3606"/>
    <n v="12137"/>
    <n v="8778"/>
    <n v="3610"/>
    <n v="10433"/>
    <n v="64"/>
    <n v="36"/>
    <n v="0"/>
    <n v="0"/>
    <m/>
    <m/>
    <m/>
    <m/>
    <m/>
    <m/>
    <m/>
    <m/>
    <m/>
    <m/>
    <m/>
    <m/>
  </r>
  <r>
    <x v="12"/>
    <s v="Roane State Community College "/>
    <m/>
    <n v="221397"/>
    <x v="7"/>
    <n v="135128"/>
    <n v="134423"/>
    <n v="23396"/>
    <n v="22110"/>
    <n v="73521"/>
    <n v="71576"/>
    <n v="24860"/>
    <n v="8852"/>
    <n v="4397"/>
    <n v="27435"/>
    <n v="7929"/>
    <n v="5285"/>
    <n v="102"/>
    <n v="88"/>
    <n v="0"/>
    <n v="0"/>
    <m/>
    <m/>
    <m/>
    <m/>
    <m/>
    <m/>
    <m/>
    <m/>
    <m/>
    <m/>
    <m/>
    <m/>
  </r>
  <r>
    <x v="12"/>
    <s v="Walters State Community College "/>
    <m/>
    <n v="222062"/>
    <x v="7"/>
    <n v="147715"/>
    <n v="144311"/>
    <n v="107742"/>
    <n v="65267"/>
    <n v="8269"/>
    <n v="51290"/>
    <n v="16078"/>
    <n v="4026"/>
    <n v="11586"/>
    <n v="15353"/>
    <n v="3314"/>
    <n v="9072"/>
    <n v="14"/>
    <n v="15"/>
    <n v="0"/>
    <n v="0"/>
    <m/>
    <m/>
    <m/>
    <m/>
    <m/>
    <m/>
    <m/>
    <m/>
    <m/>
    <m/>
    <m/>
    <m/>
  </r>
  <r>
    <x v="12"/>
    <s v="Tennessee Technology Center at Athens"/>
    <m/>
    <n v="219596"/>
    <x v="10"/>
    <n v="0"/>
    <n v="0"/>
    <m/>
    <m/>
    <m/>
    <m/>
    <m/>
    <m/>
    <m/>
    <m/>
    <m/>
    <m/>
    <m/>
    <m/>
    <n v="0"/>
    <n v="0"/>
    <m/>
    <m/>
    <m/>
    <m/>
    <m/>
    <m/>
    <m/>
    <m/>
    <m/>
    <m/>
    <m/>
    <m/>
  </r>
  <r>
    <x v="12"/>
    <s v="Tennessee Technology Center at Chattanooga"/>
    <s v="Met the criteria for Technical Institute or College 1 in 2010-11 and 2011-12."/>
    <s v="219824B"/>
    <x v="10"/>
    <n v="0"/>
    <n v="0"/>
    <m/>
    <m/>
    <m/>
    <m/>
    <m/>
    <m/>
    <m/>
    <m/>
    <m/>
    <m/>
    <m/>
    <m/>
    <n v="0"/>
    <n v="0"/>
    <m/>
    <m/>
    <m/>
    <m/>
    <m/>
    <m/>
    <m/>
    <m/>
    <m/>
    <m/>
    <m/>
    <m/>
  </r>
  <r>
    <x v="12"/>
    <s v="Tennessee Technology Center at Covington"/>
    <m/>
    <n v="219921"/>
    <x v="10"/>
    <n v="0"/>
    <n v="0"/>
    <m/>
    <m/>
    <m/>
    <m/>
    <m/>
    <m/>
    <m/>
    <m/>
    <m/>
    <m/>
    <m/>
    <m/>
    <n v="0"/>
    <n v="0"/>
    <m/>
    <m/>
    <m/>
    <m/>
    <m/>
    <m/>
    <m/>
    <m/>
    <m/>
    <m/>
    <m/>
    <m/>
  </r>
  <r>
    <x v="12"/>
    <s v="Tennessee Technology Center at Crossville"/>
    <m/>
    <n v="221591"/>
    <x v="10"/>
    <n v="0"/>
    <n v="0"/>
    <m/>
    <m/>
    <m/>
    <m/>
    <m/>
    <m/>
    <m/>
    <m/>
    <m/>
    <m/>
    <m/>
    <m/>
    <n v="0"/>
    <n v="0"/>
    <m/>
    <m/>
    <m/>
    <m/>
    <m/>
    <m/>
    <m/>
    <m/>
    <m/>
    <m/>
    <m/>
    <m/>
  </r>
  <r>
    <x v="12"/>
    <s v="Tennessee Technology Center at Crump"/>
    <m/>
    <n v="221430"/>
    <x v="10"/>
    <n v="0"/>
    <n v="0"/>
    <m/>
    <m/>
    <m/>
    <m/>
    <m/>
    <m/>
    <m/>
    <m/>
    <m/>
    <m/>
    <m/>
    <m/>
    <n v="0"/>
    <n v="0"/>
    <m/>
    <m/>
    <m/>
    <m/>
    <m/>
    <m/>
    <m/>
    <m/>
    <m/>
    <m/>
    <m/>
    <m/>
  </r>
  <r>
    <x v="12"/>
    <s v="Tennessee Technology Center at Dickson"/>
    <m/>
    <n v="219994"/>
    <x v="10"/>
    <n v="0"/>
    <n v="0"/>
    <m/>
    <m/>
    <m/>
    <m/>
    <m/>
    <m/>
    <m/>
    <m/>
    <m/>
    <m/>
    <m/>
    <m/>
    <n v="0"/>
    <n v="0"/>
    <m/>
    <m/>
    <m/>
    <m/>
    <m/>
    <m/>
    <m/>
    <m/>
    <m/>
    <m/>
    <m/>
    <m/>
  </r>
  <r>
    <x v="12"/>
    <s v="Tennessee Technology Center at Elizabethton"/>
    <m/>
    <n v="220127"/>
    <x v="10"/>
    <n v="0"/>
    <n v="0"/>
    <m/>
    <m/>
    <m/>
    <m/>
    <m/>
    <m/>
    <m/>
    <m/>
    <m/>
    <m/>
    <m/>
    <m/>
    <n v="0"/>
    <n v="0"/>
    <m/>
    <m/>
    <m/>
    <m/>
    <m/>
    <m/>
    <m/>
    <m/>
    <m/>
    <m/>
    <m/>
    <m/>
  </r>
  <r>
    <x v="12"/>
    <s v="Tennessee Technology Center at Harriman"/>
    <m/>
    <n v="220251"/>
    <x v="10"/>
    <n v="0"/>
    <n v="0"/>
    <m/>
    <m/>
    <m/>
    <m/>
    <m/>
    <m/>
    <m/>
    <m/>
    <m/>
    <m/>
    <m/>
    <m/>
    <n v="0"/>
    <n v="0"/>
    <m/>
    <m/>
    <m/>
    <m/>
    <m/>
    <m/>
    <m/>
    <m/>
    <m/>
    <m/>
    <m/>
    <m/>
  </r>
  <r>
    <x v="12"/>
    <s v="Tennessee Technology Center at Hartsville"/>
    <m/>
    <n v="220279"/>
    <x v="10"/>
    <n v="0"/>
    <n v="0"/>
    <m/>
    <m/>
    <m/>
    <m/>
    <m/>
    <m/>
    <m/>
    <m/>
    <m/>
    <m/>
    <m/>
    <m/>
    <n v="0"/>
    <n v="0"/>
    <m/>
    <m/>
    <m/>
    <m/>
    <m/>
    <m/>
    <m/>
    <m/>
    <m/>
    <m/>
    <m/>
    <m/>
  </r>
  <r>
    <x v="12"/>
    <s v="Tennessee Technology Center at Hohenwald"/>
    <m/>
    <n v="220321"/>
    <x v="10"/>
    <n v="0"/>
    <n v="0"/>
    <m/>
    <m/>
    <m/>
    <m/>
    <m/>
    <m/>
    <m/>
    <m/>
    <m/>
    <m/>
    <m/>
    <m/>
    <n v="0"/>
    <n v="0"/>
    <m/>
    <m/>
    <m/>
    <m/>
    <m/>
    <m/>
    <m/>
    <m/>
    <m/>
    <m/>
    <m/>
    <m/>
  </r>
  <r>
    <x v="12"/>
    <s v="Tennessee Technology Center at Jacksboro"/>
    <m/>
    <n v="220394"/>
    <x v="10"/>
    <n v="0"/>
    <n v="0"/>
    <m/>
    <m/>
    <m/>
    <m/>
    <m/>
    <m/>
    <m/>
    <m/>
    <m/>
    <m/>
    <m/>
    <m/>
    <n v="0"/>
    <n v="0"/>
    <m/>
    <m/>
    <m/>
    <m/>
    <m/>
    <m/>
    <m/>
    <m/>
    <m/>
    <m/>
    <m/>
    <m/>
  </r>
  <r>
    <x v="12"/>
    <s v="Tennessee Technology Center at Jackson"/>
    <m/>
    <n v="221616"/>
    <x v="10"/>
    <n v="0"/>
    <n v="0"/>
    <m/>
    <m/>
    <m/>
    <m/>
    <m/>
    <m/>
    <m/>
    <m/>
    <m/>
    <m/>
    <m/>
    <m/>
    <n v="0"/>
    <n v="0"/>
    <m/>
    <m/>
    <m/>
    <m/>
    <m/>
    <m/>
    <m/>
    <m/>
    <m/>
    <m/>
    <m/>
    <m/>
  </r>
  <r>
    <x v="12"/>
    <s v="Tennessee Technology Center at Knoxville"/>
    <m/>
    <n v="221625"/>
    <x v="10"/>
    <n v="0"/>
    <n v="0"/>
    <m/>
    <m/>
    <m/>
    <m/>
    <m/>
    <m/>
    <m/>
    <m/>
    <m/>
    <m/>
    <m/>
    <m/>
    <n v="0"/>
    <n v="0"/>
    <m/>
    <m/>
    <m/>
    <m/>
    <m/>
    <m/>
    <m/>
    <m/>
    <m/>
    <m/>
    <m/>
    <m/>
  </r>
  <r>
    <x v="12"/>
    <s v="Tennessee Technology Center at Livingston"/>
    <m/>
    <n v="220640"/>
    <x v="10"/>
    <n v="0"/>
    <n v="0"/>
    <m/>
    <m/>
    <m/>
    <m/>
    <m/>
    <m/>
    <m/>
    <m/>
    <m/>
    <m/>
    <m/>
    <m/>
    <n v="0"/>
    <n v="0"/>
    <m/>
    <m/>
    <m/>
    <m/>
    <m/>
    <m/>
    <m/>
    <m/>
    <m/>
    <m/>
    <m/>
    <m/>
  </r>
  <r>
    <x v="12"/>
    <s v="Tennessee Technology Center at McKenzie"/>
    <m/>
    <n v="220756"/>
    <x v="10"/>
    <n v="0"/>
    <n v="0"/>
    <m/>
    <m/>
    <m/>
    <m/>
    <m/>
    <m/>
    <m/>
    <m/>
    <m/>
    <m/>
    <m/>
    <m/>
    <n v="0"/>
    <n v="0"/>
    <m/>
    <m/>
    <m/>
    <m/>
    <m/>
    <m/>
    <m/>
    <m/>
    <m/>
    <m/>
    <m/>
    <m/>
  </r>
  <r>
    <x v="12"/>
    <s v="Tennessee Technology Center at McMinnville"/>
    <m/>
    <n v="221607"/>
    <x v="10"/>
    <n v="0"/>
    <n v="0"/>
    <m/>
    <m/>
    <m/>
    <m/>
    <m/>
    <m/>
    <m/>
    <m/>
    <m/>
    <m/>
    <m/>
    <m/>
    <n v="0"/>
    <n v="0"/>
    <m/>
    <m/>
    <m/>
    <m/>
    <m/>
    <m/>
    <m/>
    <m/>
    <m/>
    <m/>
    <m/>
    <m/>
  </r>
  <r>
    <x v="12"/>
    <s v="Tennessee Technology Center at Memphis"/>
    <s v="Met the criteria for Technical Institute or College 1 in 2011-12."/>
    <n v="220853"/>
    <x v="10"/>
    <n v="0"/>
    <n v="0"/>
    <m/>
    <m/>
    <m/>
    <m/>
    <m/>
    <m/>
    <m/>
    <m/>
    <m/>
    <m/>
    <m/>
    <m/>
    <n v="0"/>
    <n v="0"/>
    <m/>
    <m/>
    <m/>
    <m/>
    <m/>
    <m/>
    <m/>
    <m/>
    <m/>
    <m/>
    <m/>
    <m/>
  </r>
  <r>
    <x v="12"/>
    <s v="Tennessee Technology Center at Morristown"/>
    <m/>
    <n v="221050"/>
    <x v="10"/>
    <n v="0"/>
    <n v="0"/>
    <m/>
    <m/>
    <m/>
    <m/>
    <m/>
    <m/>
    <m/>
    <m/>
    <m/>
    <m/>
    <m/>
    <m/>
    <n v="0"/>
    <n v="0"/>
    <m/>
    <m/>
    <m/>
    <m/>
    <m/>
    <m/>
    <m/>
    <m/>
    <m/>
    <m/>
    <m/>
    <m/>
  </r>
  <r>
    <x v="12"/>
    <s v="Tennessee Technology Center at Murfreesboro"/>
    <m/>
    <n v="221102"/>
    <x v="10"/>
    <n v="0"/>
    <n v="0"/>
    <m/>
    <m/>
    <m/>
    <m/>
    <m/>
    <m/>
    <m/>
    <m/>
    <m/>
    <m/>
    <m/>
    <m/>
    <n v="0"/>
    <n v="0"/>
    <m/>
    <m/>
    <m/>
    <m/>
    <m/>
    <m/>
    <m/>
    <m/>
    <m/>
    <m/>
    <m/>
    <m/>
  </r>
  <r>
    <x v="12"/>
    <s v="Tennessee Technology Center at Nashville"/>
    <s v="Met the criteria for Technical Institute or College 1 in 2011-12."/>
    <n v="248925"/>
    <x v="10"/>
    <n v="0"/>
    <n v="0"/>
    <m/>
    <m/>
    <m/>
    <m/>
    <m/>
    <m/>
    <m/>
    <m/>
    <m/>
    <m/>
    <m/>
    <m/>
    <n v="0"/>
    <n v="0"/>
    <m/>
    <m/>
    <m/>
    <m/>
    <m/>
    <m/>
    <m/>
    <m/>
    <m/>
    <m/>
    <m/>
    <m/>
  </r>
  <r>
    <x v="12"/>
    <s v="Tennessee Technology Center at Newbern"/>
    <m/>
    <n v="221236"/>
    <x v="10"/>
    <n v="0"/>
    <n v="0"/>
    <m/>
    <m/>
    <m/>
    <m/>
    <m/>
    <m/>
    <m/>
    <m/>
    <m/>
    <m/>
    <m/>
    <m/>
    <n v="0"/>
    <n v="0"/>
    <m/>
    <m/>
    <m/>
    <m/>
    <m/>
    <m/>
    <m/>
    <m/>
    <m/>
    <m/>
    <m/>
    <m/>
  </r>
  <r>
    <x v="12"/>
    <s v="Tennessee Technology Center at Oneida"/>
    <m/>
    <n v="221582"/>
    <x v="10"/>
    <n v="0"/>
    <n v="0"/>
    <m/>
    <m/>
    <m/>
    <m/>
    <m/>
    <m/>
    <m/>
    <m/>
    <m/>
    <m/>
    <m/>
    <m/>
    <n v="0"/>
    <n v="0"/>
    <m/>
    <m/>
    <m/>
    <m/>
    <m/>
    <m/>
    <m/>
    <m/>
    <m/>
    <m/>
    <m/>
    <m/>
  </r>
  <r>
    <x v="12"/>
    <s v="Tennessee Technology Center at Paris"/>
    <m/>
    <n v="221281"/>
    <x v="10"/>
    <n v="0"/>
    <n v="0"/>
    <m/>
    <m/>
    <m/>
    <m/>
    <m/>
    <m/>
    <m/>
    <m/>
    <m/>
    <m/>
    <m/>
    <m/>
    <n v="0"/>
    <n v="0"/>
    <m/>
    <m/>
    <m/>
    <m/>
    <m/>
    <m/>
    <m/>
    <m/>
    <m/>
    <m/>
    <m/>
    <m/>
  </r>
  <r>
    <x v="12"/>
    <s v="Tennessee Technology Center at Pulaski"/>
    <m/>
    <n v="221333"/>
    <x v="10"/>
    <n v="0"/>
    <n v="0"/>
    <m/>
    <m/>
    <m/>
    <m/>
    <m/>
    <m/>
    <m/>
    <m/>
    <m/>
    <m/>
    <m/>
    <m/>
    <n v="0"/>
    <n v="0"/>
    <m/>
    <m/>
    <m/>
    <m/>
    <m/>
    <m/>
    <m/>
    <m/>
    <m/>
    <m/>
    <m/>
    <m/>
  </r>
  <r>
    <x v="12"/>
    <s v="Tennessee Technology Center at Ripley"/>
    <m/>
    <n v="221388"/>
    <x v="10"/>
    <n v="0"/>
    <n v="0"/>
    <m/>
    <m/>
    <m/>
    <m/>
    <m/>
    <m/>
    <m/>
    <m/>
    <m/>
    <m/>
    <m/>
    <m/>
    <n v="0"/>
    <n v="0"/>
    <m/>
    <m/>
    <m/>
    <m/>
    <m/>
    <m/>
    <m/>
    <m/>
    <m/>
    <m/>
    <m/>
    <m/>
  </r>
  <r>
    <x v="12"/>
    <s v="Tennessee Technology Center at Shelbyville"/>
    <m/>
    <n v="221494"/>
    <x v="10"/>
    <n v="0"/>
    <n v="0"/>
    <m/>
    <m/>
    <m/>
    <m/>
    <m/>
    <m/>
    <m/>
    <m/>
    <m/>
    <m/>
    <m/>
    <m/>
    <n v="0"/>
    <n v="0"/>
    <m/>
    <m/>
    <m/>
    <m/>
    <m/>
    <m/>
    <m/>
    <m/>
    <m/>
    <m/>
    <m/>
    <m/>
  </r>
  <r>
    <x v="12"/>
    <s v="Tennessee Technology Center at Whiteville"/>
    <m/>
    <n v="221634"/>
    <x v="10"/>
    <n v="0"/>
    <n v="0"/>
    <m/>
    <m/>
    <m/>
    <m/>
    <m/>
    <m/>
    <m/>
    <m/>
    <m/>
    <m/>
    <m/>
    <m/>
    <n v="0"/>
    <n v="0"/>
    <m/>
    <m/>
    <m/>
    <m/>
    <m/>
    <m/>
    <m/>
    <m/>
    <m/>
    <m/>
    <m/>
    <m/>
  </r>
  <r>
    <x v="13"/>
    <s v="Texas A &amp; M University "/>
    <m/>
    <n v="228723"/>
    <x v="0"/>
    <n v="1063598"/>
    <n v="1078649"/>
    <n v="1015216"/>
    <n v="1025835"/>
    <n v="6032"/>
    <n v="5542"/>
    <n v="37071"/>
    <n v="20"/>
    <n v="5259"/>
    <n v="38262"/>
    <n v="6"/>
    <n v="9004"/>
    <m/>
    <m/>
    <n v="177489"/>
    <n v="176496"/>
    <n v="156968"/>
    <n v="155812"/>
    <n v="2970"/>
    <n v="3130"/>
    <n v="12682"/>
    <n v="254"/>
    <n v="4615"/>
    <n v="13443"/>
    <n v="90"/>
    <n v="4021"/>
    <m/>
    <m/>
  </r>
  <r>
    <x v="13"/>
    <s v="Texas Tech University "/>
    <m/>
    <n v="229115"/>
    <x v="0"/>
    <n v="689132"/>
    <n v="703553"/>
    <n v="660748"/>
    <n v="661186"/>
    <n v="7960"/>
    <n v="7078"/>
    <n v="20409"/>
    <n v="0"/>
    <n v="15"/>
    <n v="35289"/>
    <n v="0"/>
    <n v="0"/>
    <m/>
    <m/>
    <n v="118242"/>
    <n v="120413"/>
    <n v="100163"/>
    <n v="101055"/>
    <n v="2011"/>
    <n v="895"/>
    <n v="16033"/>
    <n v="0"/>
    <n v="35"/>
    <n v="18460"/>
    <n v="3"/>
    <n v="0"/>
    <m/>
    <m/>
  </r>
  <r>
    <x v="13"/>
    <s v="University of Houston"/>
    <m/>
    <n v="225511"/>
    <x v="0"/>
    <n v="741538"/>
    <n v="772875"/>
    <n v="599157"/>
    <n v="618211"/>
    <n v="4531"/>
    <n v="5414"/>
    <n v="116691"/>
    <n v="162"/>
    <n v="20997"/>
    <n v="149187"/>
    <n v="63"/>
    <n v="0"/>
    <m/>
    <m/>
    <n v="179542"/>
    <n v="179826"/>
    <n v="167445"/>
    <n v="166963"/>
    <n v="2727"/>
    <n v="2502"/>
    <n v="8511"/>
    <n v="69"/>
    <n v="790"/>
    <n v="10328"/>
    <n v="33"/>
    <n v="0"/>
    <m/>
    <m/>
  </r>
  <r>
    <x v="13"/>
    <s v="University of North Texas"/>
    <m/>
    <n v="227216"/>
    <x v="0"/>
    <n v="745337"/>
    <n v="749078"/>
    <n v="667691"/>
    <n v="667307"/>
    <n v="3640"/>
    <n v="2708"/>
    <n v="73940"/>
    <n v="12"/>
    <n v="54"/>
    <n v="78991"/>
    <n v="21"/>
    <n v="51"/>
    <m/>
    <m/>
    <n v="111147"/>
    <n v="110081"/>
    <n v="73085"/>
    <n v="73532"/>
    <n v="2617"/>
    <n v="2649"/>
    <n v="35250"/>
    <n v="168"/>
    <n v="27"/>
    <n v="33750"/>
    <n v="150"/>
    <n v="0"/>
    <m/>
    <m/>
  </r>
  <r>
    <x v="13"/>
    <s v="University of Texas at Arlington"/>
    <m/>
    <n v="228769"/>
    <x v="0"/>
    <n v="576495"/>
    <n v="635226"/>
    <n v="484110"/>
    <n v="494907"/>
    <n v="2509"/>
    <n v="1206"/>
    <n v="86162"/>
    <n v="273"/>
    <n v="3441"/>
    <n v="136397"/>
    <n v="0"/>
    <n v="2716"/>
    <m/>
    <m/>
    <n v="123024"/>
    <n v="141161"/>
    <n v="85072"/>
    <n v="84194"/>
    <n v="12060"/>
    <n v="13086"/>
    <n v="25089"/>
    <n v="108"/>
    <n v="695"/>
    <n v="43141"/>
    <n v="6"/>
    <n v="734"/>
    <m/>
    <m/>
  </r>
  <r>
    <x v="13"/>
    <s v="University of Texas at Austin"/>
    <m/>
    <n v="228778"/>
    <x v="0"/>
    <n v="1037705"/>
    <n v="1044081"/>
    <n v="1032585"/>
    <n v="1038847"/>
    <n v="5120"/>
    <n v="5234"/>
    <n v="0"/>
    <n v="0"/>
    <n v="0"/>
    <n v="0"/>
    <n v="0"/>
    <n v="0"/>
    <m/>
    <m/>
    <n v="268580"/>
    <n v="268775"/>
    <n v="268094"/>
    <n v="268587"/>
    <n v="486"/>
    <n v="188"/>
    <n v="0"/>
    <n v="0"/>
    <n v="0"/>
    <n v="0"/>
    <n v="0"/>
    <n v="0"/>
    <m/>
    <m/>
  </r>
  <r>
    <x v="13"/>
    <s v="University of Texas at Dallas"/>
    <m/>
    <n v="228787"/>
    <x v="0"/>
    <n v="268230"/>
    <n v="293125"/>
    <n v="261382"/>
    <n v="279940"/>
    <n v="1221"/>
    <n v="1613"/>
    <n v="5606"/>
    <n v="21"/>
    <n v="0"/>
    <n v="11569"/>
    <n v="3"/>
    <n v="0"/>
    <m/>
    <m/>
    <n v="114444"/>
    <n v="120080"/>
    <n v="99432"/>
    <n v="105652"/>
    <n v="468"/>
    <n v="90"/>
    <n v="14544"/>
    <n v="0"/>
    <n v="0"/>
    <n v="14338"/>
    <n v="0"/>
    <n v="0"/>
    <m/>
    <m/>
  </r>
  <r>
    <x v="13"/>
    <s v="Texas Woman's University"/>
    <s v="Met the criteria for Four-Year 1 in 2010-11 and 2011-12."/>
    <n v="229179"/>
    <x v="1"/>
    <n v="207868"/>
    <n v="221575"/>
    <n v="154155"/>
    <n v="163845"/>
    <n v="2978"/>
    <n v="2569"/>
    <n v="50615"/>
    <n v="60"/>
    <n v="60"/>
    <n v="55101"/>
    <n v="0"/>
    <n v="60"/>
    <m/>
    <m/>
    <n v="99837"/>
    <n v="101023"/>
    <n v="48747"/>
    <n v="50672"/>
    <n v="1944"/>
    <n v="549"/>
    <n v="48680"/>
    <n v="466"/>
    <n v="0"/>
    <n v="49414"/>
    <n v="388"/>
    <n v="0"/>
    <m/>
    <m/>
  </r>
  <r>
    <x v="13"/>
    <s v="University of Texas at El Paso"/>
    <m/>
    <n v="228796"/>
    <x v="1"/>
    <n v="435923"/>
    <n v="458406"/>
    <n v="409500"/>
    <n v="411558"/>
    <n v="5130"/>
    <n v="5619"/>
    <n v="21293"/>
    <n v="0"/>
    <n v="0"/>
    <n v="41229"/>
    <n v="0"/>
    <n v="0"/>
    <m/>
    <m/>
    <n v="60139"/>
    <n v="60922"/>
    <n v="45393"/>
    <n v="41754"/>
    <n v="3106"/>
    <n v="4181"/>
    <n v="11640"/>
    <n v="0"/>
    <n v="0"/>
    <n v="14987"/>
    <n v="0"/>
    <n v="0"/>
    <m/>
    <m/>
  </r>
  <r>
    <x v="13"/>
    <s v="University of Texas at San Antonio"/>
    <m/>
    <n v="229027"/>
    <x v="1"/>
    <n v="631779"/>
    <n v="652638"/>
    <n v="612260"/>
    <n v="625696"/>
    <n v="2580"/>
    <n v="1740"/>
    <n v="11230"/>
    <n v="5709"/>
    <n v="0"/>
    <n v="19223"/>
    <n v="5979"/>
    <n v="0"/>
    <m/>
    <m/>
    <n v="63158"/>
    <n v="69896"/>
    <n v="61073"/>
    <n v="65474"/>
    <n v="720"/>
    <n v="825"/>
    <n v="1212"/>
    <n v="153"/>
    <n v="0"/>
    <n v="3495"/>
    <n v="102"/>
    <n v="0"/>
    <m/>
    <m/>
  </r>
  <r>
    <x v="13"/>
    <s v="Angelo State University"/>
    <m/>
    <n v="222831"/>
    <x v="2"/>
    <n v="150284"/>
    <n v="152059"/>
    <n v="139059"/>
    <n v="137821"/>
    <n v="0"/>
    <n v="0"/>
    <n v="11225"/>
    <n v="0"/>
    <n v="0"/>
    <n v="14238"/>
    <n v="0"/>
    <n v="0"/>
    <m/>
    <m/>
    <n v="11853"/>
    <n v="14688"/>
    <n v="5210"/>
    <n v="5944"/>
    <n v="0"/>
    <n v="0"/>
    <n v="6643"/>
    <n v="0"/>
    <n v="0"/>
    <n v="8744"/>
    <n v="0"/>
    <n v="0"/>
    <m/>
    <m/>
  </r>
  <r>
    <x v="13"/>
    <s v="Lamar University"/>
    <m/>
    <n v="226091"/>
    <x v="2"/>
    <n v="232181"/>
    <n v="239775"/>
    <n v="197967"/>
    <n v="197132"/>
    <n v="4041"/>
    <n v="4174"/>
    <n v="27213"/>
    <n v="2669"/>
    <n v="291"/>
    <n v="37026"/>
    <n v="1443"/>
    <n v="0"/>
    <m/>
    <m/>
    <n v="98151"/>
    <n v="78787"/>
    <n v="22898"/>
    <n v="21774"/>
    <n v="0"/>
    <n v="0"/>
    <n v="28495"/>
    <n v="330"/>
    <n v="46428"/>
    <n v="57013"/>
    <n v="0"/>
    <n v="0"/>
    <m/>
    <m/>
  </r>
  <r>
    <x v="13"/>
    <s v="Midwestern State University"/>
    <m/>
    <n v="226833"/>
    <x v="2"/>
    <n v="141792"/>
    <n v="138852"/>
    <n v="123522"/>
    <n v="119912"/>
    <n v="2623"/>
    <n v="1433"/>
    <n v="15647"/>
    <n v="0"/>
    <n v="0"/>
    <n v="17507"/>
    <n v="0"/>
    <n v="0"/>
    <m/>
    <m/>
    <n v="8356"/>
    <n v="8449"/>
    <n v="5894"/>
    <n v="5017"/>
    <n v="108"/>
    <n v="45"/>
    <n v="2312"/>
    <n v="42"/>
    <n v="0"/>
    <n v="3366"/>
    <n v="21"/>
    <n v="0"/>
    <m/>
    <m/>
  </r>
  <r>
    <x v="13"/>
    <s v="Prairie View A &amp; M University"/>
    <m/>
    <n v="227526"/>
    <x v="2"/>
    <n v="182890"/>
    <n v="180915"/>
    <n v="176738"/>
    <n v="179475"/>
    <n v="5360"/>
    <n v="12"/>
    <n v="792"/>
    <n v="0"/>
    <n v="0"/>
    <n v="1428"/>
    <n v="0"/>
    <n v="0"/>
    <m/>
    <m/>
    <n v="32482"/>
    <n v="28054"/>
    <n v="26648"/>
    <n v="20806"/>
    <n v="2042"/>
    <n v="2877"/>
    <n v="3792"/>
    <n v="0"/>
    <n v="0"/>
    <n v="4371"/>
    <n v="0"/>
    <n v="0"/>
    <m/>
    <m/>
  </r>
  <r>
    <x v="13"/>
    <s v="Sam Houston State University "/>
    <m/>
    <n v="227881"/>
    <x v="2"/>
    <n v="401035"/>
    <n v="403910"/>
    <n v="365223"/>
    <n v="360327"/>
    <n v="20939"/>
    <n v="11983"/>
    <n v="14873"/>
    <n v="0"/>
    <n v="0"/>
    <n v="31600"/>
    <n v="0"/>
    <n v="0"/>
    <m/>
    <m/>
    <n v="41725"/>
    <n v="43473"/>
    <n v="16059"/>
    <n v="17604"/>
    <n v="7237"/>
    <n v="2529"/>
    <n v="18357"/>
    <n v="72"/>
    <n v="0"/>
    <n v="23139"/>
    <n v="171"/>
    <n v="30"/>
    <m/>
    <m/>
  </r>
  <r>
    <x v="13"/>
    <s v="Stephen F. Austin State University"/>
    <m/>
    <n v="228431"/>
    <x v="2"/>
    <n v="304689"/>
    <n v="302536"/>
    <n v="265392"/>
    <n v="260416"/>
    <n v="3705"/>
    <n v="1054"/>
    <n v="32900"/>
    <n v="249"/>
    <n v="2443"/>
    <n v="36107"/>
    <n v="201"/>
    <n v="4758"/>
    <m/>
    <m/>
    <n v="27713"/>
    <n v="24250"/>
    <n v="16426"/>
    <n v="14908"/>
    <n v="1248"/>
    <n v="531"/>
    <n v="9395"/>
    <n v="217"/>
    <n v="427"/>
    <n v="7681"/>
    <n v="217"/>
    <n v="913"/>
    <m/>
    <m/>
  </r>
  <r>
    <x v="13"/>
    <s v="Sul Ross State University "/>
    <m/>
    <n v="228501"/>
    <x v="2"/>
    <n v="36926"/>
    <n v="37837"/>
    <n v="32570"/>
    <n v="32459"/>
    <n v="53"/>
    <n v="3"/>
    <n v="3438"/>
    <n v="865"/>
    <n v="0"/>
    <n v="4587"/>
    <n v="788"/>
    <n v="0"/>
    <m/>
    <m/>
    <n v="9264"/>
    <n v="8987"/>
    <n v="3889"/>
    <n v="3227"/>
    <n v="572"/>
    <n v="219"/>
    <n v="4155"/>
    <n v="648"/>
    <n v="0"/>
    <n v="5112"/>
    <n v="429"/>
    <n v="0"/>
    <m/>
    <m/>
  </r>
  <r>
    <x v="13"/>
    <s v="Tarleton State University"/>
    <m/>
    <n v="228529"/>
    <x v="2"/>
    <n v="196208"/>
    <n v="211207"/>
    <n v="156242"/>
    <n v="161134"/>
    <n v="15185"/>
    <n v="17911"/>
    <n v="24091"/>
    <n v="690"/>
    <n v="0"/>
    <n v="31670"/>
    <n v="492"/>
    <n v="0"/>
    <m/>
    <m/>
    <n v="21239"/>
    <n v="22440"/>
    <n v="5253"/>
    <n v="5089"/>
    <n v="8113"/>
    <n v="7802"/>
    <n v="7765"/>
    <n v="108"/>
    <n v="0"/>
    <n v="9529"/>
    <n v="20"/>
    <n v="0"/>
    <m/>
    <m/>
  </r>
  <r>
    <x v="13"/>
    <s v="Texas A &amp; M International University"/>
    <m/>
    <n v="226152"/>
    <x v="2"/>
    <n v="133036"/>
    <n v="140861"/>
    <n v="126419"/>
    <n v="132551"/>
    <n v="0"/>
    <n v="2516"/>
    <n v="6617"/>
    <n v="0"/>
    <n v="0"/>
    <n v="5716"/>
    <n v="78"/>
    <n v="0"/>
    <m/>
    <m/>
    <n v="14220"/>
    <n v="12661"/>
    <n v="10989"/>
    <n v="9547"/>
    <n v="0"/>
    <n v="18"/>
    <n v="3060"/>
    <n v="171"/>
    <n v="0"/>
    <n v="3009"/>
    <n v="87"/>
    <n v="0"/>
    <m/>
    <m/>
  </r>
  <r>
    <x v="13"/>
    <s v="Texas A &amp; M University - Commerce"/>
    <m/>
    <n v="224554"/>
    <x v="2"/>
    <n v="149128"/>
    <n v="164243"/>
    <n v="98196"/>
    <n v="103847"/>
    <n v="14970"/>
    <n v="16428"/>
    <n v="35659"/>
    <n v="303"/>
    <n v="0"/>
    <n v="43545"/>
    <n v="423"/>
    <n v="0"/>
    <m/>
    <m/>
    <n v="64200"/>
    <n v="70252"/>
    <n v="17488"/>
    <n v="18731"/>
    <n v="16093"/>
    <n v="15180"/>
    <n v="30190"/>
    <n v="429"/>
    <n v="0"/>
    <n v="35921"/>
    <n v="420"/>
    <n v="0"/>
    <m/>
    <m/>
  </r>
  <r>
    <x v="13"/>
    <s v="Texas A &amp; M University-Corpus Christi "/>
    <m/>
    <n v="224147"/>
    <x v="2"/>
    <n v="210868"/>
    <n v="219390"/>
    <n v="203818"/>
    <n v="211253"/>
    <n v="0"/>
    <n v="0"/>
    <n v="7050"/>
    <n v="0"/>
    <n v="0"/>
    <n v="8137"/>
    <n v="0"/>
    <n v="0"/>
    <m/>
    <m/>
    <n v="31031"/>
    <n v="30694"/>
    <n v="24486"/>
    <n v="23586"/>
    <n v="0"/>
    <n v="0"/>
    <n v="6545"/>
    <n v="0"/>
    <n v="0"/>
    <n v="7108"/>
    <n v="0"/>
    <n v="0"/>
    <m/>
    <m/>
  </r>
  <r>
    <x v="13"/>
    <s v="Texas A &amp; M University-Kingsville"/>
    <m/>
    <n v="228705"/>
    <x v="2"/>
    <n v="131247"/>
    <n v="140055"/>
    <n v="127316"/>
    <n v="134040"/>
    <n v="947"/>
    <n v="1101"/>
    <n v="2640"/>
    <n v="344"/>
    <n v="0"/>
    <n v="4608"/>
    <n v="306"/>
    <n v="0"/>
    <m/>
    <m/>
    <n v="21491"/>
    <n v="21495"/>
    <n v="16976"/>
    <n v="17613"/>
    <n v="0"/>
    <n v="12"/>
    <n v="4416"/>
    <n v="99"/>
    <n v="0"/>
    <n v="3708"/>
    <n v="162"/>
    <n v="0"/>
    <m/>
    <m/>
  </r>
  <r>
    <x v="13"/>
    <s v="Texas Southern University "/>
    <m/>
    <n v="229063"/>
    <x v="2"/>
    <n v="188315"/>
    <n v="181105"/>
    <n v="184649"/>
    <n v="177441"/>
    <n v="90"/>
    <n v="88"/>
    <n v="1227"/>
    <n v="0"/>
    <n v="2349"/>
    <n v="0"/>
    <n v="0"/>
    <n v="3576"/>
    <m/>
    <m/>
    <n v="53606"/>
    <n v="59197"/>
    <n v="48809"/>
    <n v="51346"/>
    <n v="369"/>
    <n v="360"/>
    <n v="2619"/>
    <n v="0"/>
    <n v="1809"/>
    <n v="0"/>
    <n v="0"/>
    <n v="7491"/>
    <m/>
    <m/>
  </r>
  <r>
    <x v="13"/>
    <s v="Texas State University - San Marcos "/>
    <m/>
    <n v="228459"/>
    <x v="2"/>
    <n v="711892"/>
    <n v="748416"/>
    <n v="672208"/>
    <n v="702029"/>
    <n v="28613"/>
    <n v="31364"/>
    <n v="10578"/>
    <n v="217"/>
    <n v="276"/>
    <n v="14486"/>
    <n v="156"/>
    <n v="381"/>
    <m/>
    <m/>
    <n v="78046"/>
    <n v="79610"/>
    <n v="60760"/>
    <n v="61890"/>
    <n v="10625"/>
    <n v="10394"/>
    <n v="6040"/>
    <n v="573"/>
    <n v="48"/>
    <n v="6648"/>
    <n v="603"/>
    <n v="75"/>
    <m/>
    <m/>
  </r>
  <r>
    <x v="13"/>
    <s v="University of Houston-Clear Lake "/>
    <m/>
    <n v="225414"/>
    <x v="2"/>
    <n v="103500"/>
    <n v="106310"/>
    <n v="80826"/>
    <n v="76747"/>
    <n v="6642"/>
    <n v="8657"/>
    <n v="16032"/>
    <n v="0"/>
    <n v="0"/>
    <n v="20906"/>
    <n v="0"/>
    <n v="0"/>
    <m/>
    <m/>
    <n v="53447"/>
    <n v="53804"/>
    <n v="33248"/>
    <n v="32520"/>
    <n v="6044"/>
    <n v="6250"/>
    <n v="14155"/>
    <n v="0"/>
    <n v="0"/>
    <n v="15034"/>
    <n v="0"/>
    <n v="0"/>
    <m/>
    <m/>
  </r>
  <r>
    <x v="13"/>
    <s v="University of Texas at Brownsville"/>
    <m/>
    <n v="227377"/>
    <x v="2"/>
    <n v="96681"/>
    <n v="102704"/>
    <n v="80727"/>
    <n v="84689"/>
    <n v="0"/>
    <n v="0"/>
    <n v="15954"/>
    <n v="0"/>
    <n v="0"/>
    <n v="18015"/>
    <n v="0"/>
    <n v="0"/>
    <m/>
    <m/>
    <n v="12357"/>
    <n v="13683"/>
    <n v="9949"/>
    <n v="9867"/>
    <n v="0"/>
    <n v="0"/>
    <n v="2408"/>
    <n v="0"/>
    <n v="0"/>
    <n v="3816"/>
    <n v="0"/>
    <n v="0"/>
    <m/>
    <m/>
  </r>
  <r>
    <x v="13"/>
    <s v="University of Texas at Tyler"/>
    <m/>
    <n v="228802"/>
    <x v="2"/>
    <n v="125035"/>
    <n v="126526"/>
    <n v="112529"/>
    <n v="104995"/>
    <n v="1643"/>
    <n v="1294"/>
    <n v="5936"/>
    <n v="4927"/>
    <n v="0"/>
    <n v="15001"/>
    <n v="5233"/>
    <n v="3"/>
    <m/>
    <m/>
    <n v="19100"/>
    <n v="23461"/>
    <n v="9974"/>
    <n v="9199"/>
    <n v="84"/>
    <n v="36"/>
    <n v="8679"/>
    <n v="363"/>
    <n v="0"/>
    <n v="14070"/>
    <n v="126"/>
    <n v="30"/>
    <m/>
    <m/>
  </r>
  <r>
    <x v="13"/>
    <s v="University of Texas of the Permian Basin"/>
    <s v="Reclassified: Met the criteria for Four-Year 3 in 2009-10, 2010-11 and 2011-12."/>
    <n v="229018"/>
    <x v="2"/>
    <n v="74012"/>
    <n v="76144"/>
    <n v="59299"/>
    <n v="58219"/>
    <n v="622"/>
    <n v="4"/>
    <n v="14079"/>
    <n v="12"/>
    <n v="0"/>
    <n v="17918"/>
    <n v="3"/>
    <n v="0"/>
    <m/>
    <m/>
    <n v="10029"/>
    <n v="8911"/>
    <n v="5712"/>
    <n v="4825"/>
    <n v="33"/>
    <n v="0"/>
    <n v="4284"/>
    <n v="0"/>
    <n v="0"/>
    <n v="4086"/>
    <n v="0"/>
    <n v="0"/>
    <m/>
    <m/>
  </r>
  <r>
    <x v="13"/>
    <s v="University of Texas-Pan American"/>
    <m/>
    <n v="227368"/>
    <x v="2"/>
    <n v="432823"/>
    <n v="434759"/>
    <n v="402907"/>
    <n v="394909"/>
    <n v="3261"/>
    <n v="1473"/>
    <n v="26085"/>
    <n v="570"/>
    <n v="0"/>
    <n v="38107"/>
    <n v="270"/>
    <n v="0"/>
    <m/>
    <m/>
    <n v="43229"/>
    <n v="42868"/>
    <n v="37173"/>
    <n v="32660"/>
    <n v="2703"/>
    <n v="2172"/>
    <n v="3353"/>
    <n v="0"/>
    <n v="0"/>
    <n v="7901"/>
    <n v="135"/>
    <n v="0"/>
    <m/>
    <m/>
  </r>
  <r>
    <x v="13"/>
    <s v="West Texas A &amp; M University"/>
    <m/>
    <n v="229814"/>
    <x v="2"/>
    <n v="167750"/>
    <n v="172603"/>
    <n v="135758"/>
    <n v="138298"/>
    <n v="87"/>
    <n v="42"/>
    <n v="31905"/>
    <n v="0"/>
    <n v="0"/>
    <n v="34194"/>
    <n v="0"/>
    <n v="69"/>
    <m/>
    <m/>
    <n v="20269"/>
    <n v="20098"/>
    <n v="9853"/>
    <n v="10145"/>
    <n v="252"/>
    <n v="267"/>
    <n v="10164"/>
    <n v="0"/>
    <n v="0"/>
    <n v="9677"/>
    <n v="0"/>
    <n v="9"/>
    <m/>
    <m/>
  </r>
  <r>
    <x v="13"/>
    <s v="Texas A &amp; M -Texarkana"/>
    <m/>
    <n v="224545"/>
    <x v="3"/>
    <n v="27281"/>
    <n v="32905"/>
    <n v="16265"/>
    <n v="25481"/>
    <n v="4086"/>
    <n v="2125"/>
    <n v="6324"/>
    <n v="606"/>
    <n v="0"/>
    <n v="5167"/>
    <n v="132"/>
    <n v="0"/>
    <m/>
    <m/>
    <n v="9721"/>
    <n v="7605"/>
    <n v="5089"/>
    <n v="4890"/>
    <n v="1590"/>
    <n v="513"/>
    <n v="3042"/>
    <n v="0"/>
    <n v="0"/>
    <n v="2202"/>
    <n v="0"/>
    <n v="0"/>
    <m/>
    <m/>
  </r>
  <r>
    <x v="13"/>
    <s v="University of Houston-Victoria"/>
    <m/>
    <n v="225502"/>
    <x v="3"/>
    <n v="49683"/>
    <n v="58096"/>
    <n v="6829"/>
    <n v="10405"/>
    <n v="7859"/>
    <n v="8919"/>
    <n v="30849"/>
    <n v="1379"/>
    <n v="2767"/>
    <n v="34998"/>
    <n v="3774"/>
    <n v="0"/>
    <m/>
    <m/>
    <n v="27186"/>
    <n v="27234"/>
    <n v="981"/>
    <n v="771"/>
    <n v="5853"/>
    <n v="4866"/>
    <n v="18906"/>
    <n v="789"/>
    <n v="657"/>
    <n v="20265"/>
    <n v="1332"/>
    <n v="0"/>
    <m/>
    <m/>
  </r>
  <r>
    <x v="13"/>
    <s v="Sul Ross State University-Rio Grande College"/>
    <m/>
    <s v="228501B"/>
    <x v="4"/>
    <n v="17595"/>
    <n v="16859"/>
    <n v="8539"/>
    <n v="6932"/>
    <n v="0"/>
    <n v="0"/>
    <n v="4253"/>
    <n v="4803"/>
    <n v="0"/>
    <n v="5200"/>
    <n v="4727"/>
    <n v="0"/>
    <m/>
    <m/>
    <n v="3612"/>
    <n v="3276"/>
    <n v="2052"/>
    <n v="2025"/>
    <n v="0"/>
    <n v="0"/>
    <n v="1161"/>
    <n v="399"/>
    <n v="0"/>
    <n v="969"/>
    <n v="282"/>
    <n v="0"/>
    <m/>
    <m/>
  </r>
  <r>
    <x v="13"/>
    <s v="University of Houston-Downtown"/>
    <m/>
    <n v="225432"/>
    <x v="4"/>
    <n v="264140"/>
    <n v="268037"/>
    <n v="211159"/>
    <n v="191758"/>
    <n v="12808"/>
    <n v="11562"/>
    <n v="39399"/>
    <n v="774"/>
    <n v="0"/>
    <n v="64682"/>
    <n v="35"/>
    <n v="0"/>
    <m/>
    <m/>
    <n v="2013"/>
    <n v="2169"/>
    <n v="1911"/>
    <n v="1464"/>
    <n v="30"/>
    <n v="36"/>
    <n v="72"/>
    <n v="0"/>
    <n v="0"/>
    <n v="669"/>
    <n v="0"/>
    <n v="0"/>
    <m/>
    <m/>
  </r>
  <r>
    <x v="13"/>
    <s v="Texas A &amp; M University at Galveston"/>
    <m/>
    <n v="228714"/>
    <x v="5"/>
    <n v="49475"/>
    <n v="54166"/>
    <n v="49475"/>
    <n v="54166"/>
    <n v="0"/>
    <n v="0"/>
    <m/>
    <n v="0"/>
    <n v="0"/>
    <n v="0"/>
    <n v="0"/>
    <n v="0"/>
    <m/>
    <m/>
    <n v="996"/>
    <n v="1211"/>
    <n v="921"/>
    <n v="1114"/>
    <n v="12"/>
    <n v="0"/>
    <n v="42"/>
    <n v="0"/>
    <n v="21"/>
    <n v="97"/>
    <n v="0"/>
    <n v="0"/>
    <m/>
    <m/>
  </r>
  <r>
    <x v="13"/>
    <s v="Brazosport College "/>
    <m/>
    <n v="223506"/>
    <x v="11"/>
    <n v="78728"/>
    <n v="81798"/>
    <n v="62683"/>
    <n v="62991"/>
    <n v="4942"/>
    <n v="5424"/>
    <n v="11103"/>
    <n v="0"/>
    <n v="0"/>
    <n v="13383"/>
    <n v="0"/>
    <n v="0"/>
    <m/>
    <m/>
    <n v="0"/>
    <n v="0"/>
    <m/>
    <m/>
    <m/>
    <m/>
    <m/>
    <m/>
    <m/>
    <m/>
    <m/>
    <m/>
    <m/>
    <m/>
  </r>
  <r>
    <x v="13"/>
    <s v="Midland College "/>
    <m/>
    <n v="226806"/>
    <x v="11"/>
    <n v="125438"/>
    <n v="123616"/>
    <n v="81111"/>
    <n v="75043"/>
    <n v="2678"/>
    <n v="2884"/>
    <n v="40355"/>
    <n v="1294"/>
    <n v="0"/>
    <n v="44600"/>
    <n v="1089"/>
    <n v="0"/>
    <m/>
    <m/>
    <n v="0"/>
    <n v="0"/>
    <m/>
    <m/>
    <m/>
    <m/>
    <m/>
    <m/>
    <m/>
    <m/>
    <m/>
    <m/>
    <m/>
    <m/>
  </r>
  <r>
    <x v="13"/>
    <s v="South Texas College"/>
    <m/>
    <n v="409315"/>
    <x v="11"/>
    <n v="543940"/>
    <n v="562427"/>
    <n v="467854"/>
    <n v="473169"/>
    <n v="0"/>
    <n v="0"/>
    <n v="75897"/>
    <n v="0"/>
    <n v="189"/>
    <n v="89183"/>
    <n v="0"/>
    <n v="75"/>
    <m/>
    <m/>
    <n v="0"/>
    <n v="0"/>
    <m/>
    <m/>
    <m/>
    <m/>
    <m/>
    <m/>
    <m/>
    <m/>
    <m/>
    <m/>
    <m/>
    <m/>
  </r>
  <r>
    <x v="13"/>
    <s v="Amarillo College "/>
    <m/>
    <n v="222576"/>
    <x v="6"/>
    <n v="213375"/>
    <n v="211780"/>
    <n v="145744"/>
    <n v="143649"/>
    <n v="7229"/>
    <n v="5704"/>
    <n v="51591"/>
    <n v="390"/>
    <n v="8421"/>
    <n v="56814"/>
    <n v="141"/>
    <n v="5472"/>
    <m/>
    <m/>
    <n v="0"/>
    <n v="0"/>
    <m/>
    <m/>
    <m/>
    <m/>
    <m/>
    <m/>
    <m/>
    <m/>
    <m/>
    <m/>
    <m/>
    <m/>
  </r>
  <r>
    <x v="13"/>
    <s v="Austin Community College "/>
    <m/>
    <n v="222992"/>
    <x v="6"/>
    <n v="816462"/>
    <n v="835864"/>
    <n v="680276"/>
    <n v="781722"/>
    <n v="48752"/>
    <n v="44284"/>
    <n v="84116"/>
    <n v="0"/>
    <n v="3318"/>
    <n v="6567"/>
    <n v="0"/>
    <n v="3291"/>
    <m/>
    <m/>
    <n v="0"/>
    <n v="0"/>
    <m/>
    <m/>
    <m/>
    <m/>
    <m/>
    <m/>
    <m/>
    <m/>
    <m/>
    <m/>
    <m/>
    <m/>
  </r>
  <r>
    <x v="13"/>
    <s v="Blinn College "/>
    <m/>
    <n v="223427"/>
    <x v="6"/>
    <n v="389577"/>
    <n v="396118"/>
    <n v="59797"/>
    <n v="196698"/>
    <n v="273747"/>
    <n v="162216"/>
    <n v="56033"/>
    <n v="0"/>
    <n v="0"/>
    <n v="37204"/>
    <n v="0"/>
    <n v="0"/>
    <m/>
    <m/>
    <n v="0"/>
    <n v="0"/>
    <m/>
    <m/>
    <m/>
    <m/>
    <m/>
    <m/>
    <m/>
    <m/>
    <m/>
    <m/>
    <m/>
    <m/>
  </r>
  <r>
    <x v="13"/>
    <s v="Brookhaven College (DCCCD)"/>
    <m/>
    <n v="223524"/>
    <x v="6"/>
    <n v="216050"/>
    <n v="215235"/>
    <n v="161260"/>
    <n v="156792"/>
    <n v="0"/>
    <n v="0"/>
    <n v="54564"/>
    <n v="0"/>
    <n v="226"/>
    <n v="58254"/>
    <n v="0"/>
    <n v="189"/>
    <m/>
    <m/>
    <n v="0"/>
    <n v="0"/>
    <m/>
    <m/>
    <m/>
    <m/>
    <m/>
    <m/>
    <m/>
    <m/>
    <m/>
    <m/>
    <m/>
    <m/>
  </r>
  <r>
    <x v="13"/>
    <s v="Central Texas College "/>
    <m/>
    <n v="223816"/>
    <x v="6"/>
    <n v="311862"/>
    <n v="320494"/>
    <n v="114054"/>
    <n v="113758"/>
    <n v="71851"/>
    <n v="65167"/>
    <n v="121892"/>
    <n v="1117"/>
    <n v="2948"/>
    <n v="132464"/>
    <n v="900"/>
    <n v="8205"/>
    <m/>
    <m/>
    <n v="0"/>
    <n v="0"/>
    <m/>
    <m/>
    <m/>
    <m/>
    <m/>
    <m/>
    <m/>
    <m/>
    <m/>
    <m/>
    <m/>
    <m/>
  </r>
  <r>
    <x v="13"/>
    <s v="Collin County Community College District"/>
    <m/>
    <n v="247834"/>
    <x v="6"/>
    <n v="528290"/>
    <n v="537272"/>
    <n v="461806"/>
    <n v="463367"/>
    <n v="3666"/>
    <n v="8126"/>
    <n v="61619"/>
    <n v="0"/>
    <n v="1199"/>
    <n v="62020"/>
    <n v="0"/>
    <n v="3759"/>
    <m/>
    <m/>
    <n v="0"/>
    <n v="0"/>
    <m/>
    <m/>
    <m/>
    <m/>
    <m/>
    <m/>
    <m/>
    <m/>
    <m/>
    <m/>
    <m/>
    <m/>
  </r>
  <r>
    <x v="13"/>
    <s v="Del Mar College "/>
    <m/>
    <n v="224350"/>
    <x v="6"/>
    <n v="235688"/>
    <n v="230905"/>
    <n v="211095"/>
    <n v="206100"/>
    <n v="2151"/>
    <n v="4084"/>
    <n v="22442"/>
    <n v="0"/>
    <n v="0"/>
    <n v="20721"/>
    <n v="0"/>
    <n v="0"/>
    <m/>
    <m/>
    <n v="0"/>
    <n v="0"/>
    <m/>
    <m/>
    <m/>
    <m/>
    <m/>
    <m/>
    <m/>
    <m/>
    <m/>
    <m/>
    <m/>
    <m/>
  </r>
  <r>
    <x v="13"/>
    <s v="Eastfield College (DCCCD)"/>
    <m/>
    <n v="224572"/>
    <x v="6"/>
    <n v="224080"/>
    <n v="240809"/>
    <n v="171023"/>
    <n v="174704"/>
    <n v="0"/>
    <n v="0"/>
    <n v="52613"/>
    <n v="0"/>
    <n v="444"/>
    <n v="65714"/>
    <n v="0"/>
    <n v="391"/>
    <m/>
    <m/>
    <n v="0"/>
    <n v="0"/>
    <m/>
    <m/>
    <m/>
    <m/>
    <m/>
    <m/>
    <m/>
    <m/>
    <m/>
    <m/>
    <m/>
    <m/>
  </r>
  <r>
    <x v="13"/>
    <s v="El Centro College  (DCCCD)"/>
    <m/>
    <n v="224615"/>
    <x v="6"/>
    <n v="171269"/>
    <n v="189982"/>
    <n v="131698"/>
    <n v="143386"/>
    <n v="0"/>
    <n v="396"/>
    <n v="39280"/>
    <n v="0"/>
    <n v="291"/>
    <n v="45993"/>
    <n v="0"/>
    <n v="207"/>
    <m/>
    <m/>
    <n v="0"/>
    <n v="0"/>
    <m/>
    <m/>
    <m/>
    <m/>
    <m/>
    <m/>
    <m/>
    <m/>
    <m/>
    <m/>
    <m/>
    <m/>
  </r>
  <r>
    <x v="13"/>
    <s v="El Paso County Community College District"/>
    <m/>
    <n v="224642"/>
    <x v="6"/>
    <n v="562559"/>
    <n v="582326"/>
    <n v="519506"/>
    <n v="532206"/>
    <n v="0"/>
    <n v="756"/>
    <n v="39987"/>
    <n v="669"/>
    <n v="2397"/>
    <n v="47699"/>
    <n v="609"/>
    <n v="1056"/>
    <m/>
    <m/>
    <n v="0"/>
    <n v="0"/>
    <m/>
    <m/>
    <m/>
    <m/>
    <m/>
    <m/>
    <m/>
    <m/>
    <m/>
    <m/>
    <m/>
    <m/>
  </r>
  <r>
    <x v="13"/>
    <s v="Houston Community College"/>
    <m/>
    <n v="225423"/>
    <x v="6"/>
    <n v="1158629"/>
    <n v="1183888"/>
    <n v="730109"/>
    <n v="719731"/>
    <n v="208557"/>
    <n v="210567"/>
    <n v="219483"/>
    <n v="0"/>
    <n v="480"/>
    <n v="253166"/>
    <n v="0"/>
    <n v="424"/>
    <m/>
    <m/>
    <n v="0"/>
    <n v="0"/>
    <m/>
    <m/>
    <m/>
    <m/>
    <m/>
    <m/>
    <m/>
    <m/>
    <m/>
    <m/>
    <m/>
    <m/>
  </r>
  <r>
    <x v="13"/>
    <s v="Kilgore College "/>
    <s v="Reclassified: Met criteria for Two-Year 1 in 2009-10, 2010-11 and 2011-12."/>
    <n v="226019"/>
    <x v="6"/>
    <n v="146522"/>
    <n v="143080"/>
    <n v="91390"/>
    <n v="86688"/>
    <n v="35507"/>
    <n v="36858"/>
    <n v="18361"/>
    <n v="1264"/>
    <n v="0"/>
    <n v="19534"/>
    <n v="0"/>
    <n v="0"/>
    <m/>
    <m/>
    <n v="0"/>
    <n v="0"/>
    <m/>
    <m/>
    <m/>
    <m/>
    <m/>
    <m/>
    <m/>
    <m/>
    <m/>
    <m/>
    <m/>
    <m/>
  </r>
  <r>
    <x v="13"/>
    <s v="Laredo Community College "/>
    <m/>
    <n v="226134"/>
    <x v="6"/>
    <n v="190762"/>
    <n v="189535"/>
    <n v="164637"/>
    <n v="161229"/>
    <n v="0"/>
    <n v="1458"/>
    <n v="25981"/>
    <n v="144"/>
    <n v="0"/>
    <n v="26281"/>
    <n v="567"/>
    <n v="0"/>
    <m/>
    <m/>
    <n v="0"/>
    <n v="0"/>
    <m/>
    <m/>
    <m/>
    <m/>
    <m/>
    <m/>
    <m/>
    <m/>
    <m/>
    <m/>
    <m/>
    <m/>
  </r>
  <r>
    <x v="13"/>
    <s v="Lone Star College System District"/>
    <m/>
    <n v="227182"/>
    <x v="6"/>
    <n v="1101211"/>
    <n v="1153821"/>
    <n v="897457"/>
    <n v="887196"/>
    <n v="1849"/>
    <n v="27885"/>
    <n v="199783"/>
    <n v="0"/>
    <n v="2122"/>
    <n v="238655"/>
    <n v="0"/>
    <n v="85"/>
    <m/>
    <m/>
    <n v="0"/>
    <n v="0"/>
    <m/>
    <m/>
    <m/>
    <m/>
    <m/>
    <m/>
    <m/>
    <m/>
    <m/>
    <m/>
    <m/>
    <m/>
  </r>
  <r>
    <x v="13"/>
    <s v="McLennan Community College "/>
    <m/>
    <n v="226578"/>
    <x v="6"/>
    <n v="217294"/>
    <n v="225412"/>
    <n v="162240"/>
    <n v="165015"/>
    <n v="15"/>
    <n v="15"/>
    <n v="54387"/>
    <n v="652"/>
    <n v="0"/>
    <n v="59520"/>
    <n v="862"/>
    <n v="0"/>
    <m/>
    <m/>
    <n v="0"/>
    <n v="0"/>
    <m/>
    <m/>
    <m/>
    <m/>
    <m/>
    <m/>
    <m/>
    <m/>
    <m/>
    <m/>
    <m/>
    <m/>
  </r>
  <r>
    <x v="13"/>
    <s v="Navarro College "/>
    <m/>
    <n v="227146"/>
    <x v="6"/>
    <n v="233297"/>
    <n v="246587"/>
    <n v="77375"/>
    <n v="80758"/>
    <n v="90051"/>
    <n v="94975"/>
    <n v="61700"/>
    <n v="30"/>
    <n v="4141"/>
    <n v="67642"/>
    <n v="55"/>
    <n v="3157"/>
    <m/>
    <m/>
    <n v="0"/>
    <n v="0"/>
    <m/>
    <m/>
    <m/>
    <m/>
    <m/>
    <m/>
    <m/>
    <m/>
    <m/>
    <m/>
    <m/>
    <m/>
  </r>
  <r>
    <x v="13"/>
    <s v="North Central Texas Community College"/>
    <m/>
    <n v="224110"/>
    <x v="6"/>
    <n v="177108"/>
    <n v="185792"/>
    <n v="32443"/>
    <n v="31660"/>
    <n v="115132"/>
    <n v="128889"/>
    <n v="28266"/>
    <n v="219"/>
    <n v="1048"/>
    <n v="24256"/>
    <n v="21"/>
    <n v="966"/>
    <m/>
    <m/>
    <n v="0"/>
    <n v="0"/>
    <m/>
    <m/>
    <m/>
    <m/>
    <m/>
    <m/>
    <m/>
    <m/>
    <m/>
    <m/>
    <m/>
    <m/>
  </r>
  <r>
    <x v="13"/>
    <s v="North Lake College (DCCCD)"/>
    <m/>
    <n v="227191"/>
    <x v="6"/>
    <n v="205951"/>
    <n v="200661"/>
    <n v="154828"/>
    <n v="145362"/>
    <n v="3514"/>
    <n v="1827"/>
    <n v="47477"/>
    <n v="0"/>
    <n v="132"/>
    <n v="53364"/>
    <n v="0"/>
    <n v="108"/>
    <m/>
    <m/>
    <n v="0"/>
    <n v="0"/>
    <m/>
    <m/>
    <m/>
    <m/>
    <m/>
    <m/>
    <m/>
    <m/>
    <m/>
    <m/>
    <m/>
    <m/>
  </r>
  <r>
    <x v="13"/>
    <s v="Northwest Vista College (ACCD)"/>
    <m/>
    <n v="420398"/>
    <x v="6"/>
    <n v="295874"/>
    <n v="295974"/>
    <n v="267567"/>
    <n v="254345"/>
    <n v="0"/>
    <n v="11515"/>
    <n v="26262"/>
    <n v="0"/>
    <n v="2045"/>
    <n v="28227"/>
    <n v="0"/>
    <n v="1887"/>
    <m/>
    <m/>
    <n v="0"/>
    <n v="0"/>
    <m/>
    <m/>
    <m/>
    <m/>
    <m/>
    <m/>
    <m/>
    <m/>
    <m/>
    <m/>
    <m/>
    <m/>
  </r>
  <r>
    <x v="13"/>
    <s v="Palo Alto College (ACCD)"/>
    <m/>
    <n v="246354"/>
    <x v="6"/>
    <n v="165105"/>
    <n v="166284"/>
    <n v="134898"/>
    <n v="122662"/>
    <n v="93"/>
    <n v="5427"/>
    <n v="27177"/>
    <n v="1035"/>
    <n v="1902"/>
    <n v="35730"/>
    <n v="0"/>
    <n v="2465"/>
    <m/>
    <m/>
    <n v="0"/>
    <n v="0"/>
    <m/>
    <m/>
    <m/>
    <m/>
    <m/>
    <m/>
    <m/>
    <m/>
    <m/>
    <m/>
    <m/>
    <m/>
  </r>
  <r>
    <x v="13"/>
    <s v="Richland College (DCCCD)"/>
    <m/>
    <n v="227766"/>
    <x v="6"/>
    <n v="350074"/>
    <n v="352162"/>
    <n v="258961"/>
    <n v="257678"/>
    <n v="0"/>
    <n v="92"/>
    <n v="91113"/>
    <n v="0"/>
    <n v="0"/>
    <n v="94392"/>
    <n v="0"/>
    <n v="0"/>
    <m/>
    <m/>
    <n v="0"/>
    <n v="0"/>
    <m/>
    <m/>
    <m/>
    <m/>
    <m/>
    <m/>
    <m/>
    <m/>
    <m/>
    <m/>
    <m/>
    <m/>
  </r>
  <r>
    <x v="13"/>
    <s v="San Antonio College (ACCD)"/>
    <m/>
    <n v="227924"/>
    <x v="6"/>
    <n v="501465"/>
    <n v="498564"/>
    <n v="428816"/>
    <n v="429331"/>
    <n v="3658"/>
    <n v="8615"/>
    <n v="65514"/>
    <n v="0"/>
    <n v="3477"/>
    <n v="56874"/>
    <n v="0"/>
    <n v="3744"/>
    <m/>
    <m/>
    <n v="0"/>
    <n v="0"/>
    <m/>
    <m/>
    <m/>
    <m/>
    <m/>
    <m/>
    <m/>
    <m/>
    <m/>
    <m/>
    <m/>
    <m/>
  </r>
  <r>
    <x v="13"/>
    <s v="San Jacinto College"/>
    <m/>
    <n v="227979"/>
    <x v="6"/>
    <n v="575097"/>
    <n v="600397"/>
    <n v="489108"/>
    <n v="479001"/>
    <n v="11218"/>
    <n v="10817"/>
    <n v="74372"/>
    <n v="399"/>
    <n v="0"/>
    <n v="110382"/>
    <n v="197"/>
    <n v="0"/>
    <m/>
    <m/>
    <n v="0"/>
    <n v="0"/>
    <m/>
    <m/>
    <m/>
    <m/>
    <m/>
    <m/>
    <m/>
    <m/>
    <m/>
    <m/>
    <m/>
    <m/>
  </r>
  <r>
    <x v="13"/>
    <s v="South Plains College "/>
    <m/>
    <n v="228158"/>
    <x v="6"/>
    <n v="217039"/>
    <n v="219143"/>
    <n v="94485"/>
    <n v="92008"/>
    <n v="84031"/>
    <n v="87807"/>
    <n v="31816"/>
    <n v="3245"/>
    <n v="3462"/>
    <n v="33425"/>
    <n v="2986"/>
    <n v="2917"/>
    <m/>
    <m/>
    <n v="0"/>
    <n v="0"/>
    <m/>
    <m/>
    <m/>
    <m/>
    <m/>
    <m/>
    <m/>
    <m/>
    <m/>
    <m/>
    <m/>
    <m/>
  </r>
  <r>
    <x v="13"/>
    <s v="St. Philip's College (ACCD)"/>
    <m/>
    <n v="227854"/>
    <x v="6"/>
    <n v="218515"/>
    <n v="198581"/>
    <n v="183707"/>
    <n v="169002"/>
    <n v="1414"/>
    <n v="5984"/>
    <n v="31378"/>
    <n v="0"/>
    <n v="2016"/>
    <n v="22694"/>
    <n v="0"/>
    <n v="901"/>
    <m/>
    <m/>
    <n v="0"/>
    <n v="0"/>
    <m/>
    <m/>
    <m/>
    <m/>
    <m/>
    <m/>
    <m/>
    <m/>
    <m/>
    <m/>
    <m/>
    <m/>
  </r>
  <r>
    <x v="13"/>
    <s v="Tarrant County College"/>
    <m/>
    <n v="228547"/>
    <x v="6"/>
    <n v="968654"/>
    <n v="972659"/>
    <n v="797438"/>
    <n v="779370"/>
    <n v="222"/>
    <n v="16541"/>
    <n v="146199"/>
    <n v="0"/>
    <n v="24795"/>
    <n v="154554"/>
    <n v="0"/>
    <n v="22194"/>
    <m/>
    <m/>
    <n v="0"/>
    <n v="0"/>
    <m/>
    <m/>
    <m/>
    <m/>
    <m/>
    <m/>
    <m/>
    <m/>
    <m/>
    <m/>
    <m/>
    <m/>
  </r>
  <r>
    <x v="13"/>
    <s v="Texas Southmost College "/>
    <m/>
    <n v="229072"/>
    <x v="6"/>
    <n v="190606"/>
    <n v="193366"/>
    <n v="178372"/>
    <n v="180660"/>
    <n v="3997"/>
    <n v="2953"/>
    <n v="8237"/>
    <n v="0"/>
    <n v="0"/>
    <n v="9753"/>
    <n v="0"/>
    <n v="0"/>
    <m/>
    <m/>
    <n v="0"/>
    <n v="0"/>
    <m/>
    <m/>
    <m/>
    <m/>
    <m/>
    <m/>
    <m/>
    <m/>
    <m/>
    <m/>
    <m/>
    <m/>
  </r>
  <r>
    <x v="13"/>
    <s v="Texas State Technical College-Waco"/>
    <s v="Reclassified: Met criteria for Two-Year 1 in 2009-10, 2010-11 and 2011-12."/>
    <n v="228680"/>
    <x v="6"/>
    <n v="163434"/>
    <n v="152796"/>
    <n v="143272"/>
    <n v="137303"/>
    <n v="8499"/>
    <n v="6521"/>
    <n v="11663"/>
    <n v="0"/>
    <n v="0"/>
    <n v="8972"/>
    <n v="0"/>
    <n v="0"/>
    <m/>
    <m/>
    <n v="0"/>
    <n v="0"/>
    <m/>
    <m/>
    <m/>
    <m/>
    <m/>
    <m/>
    <m/>
    <m/>
    <m/>
    <m/>
    <m/>
    <m/>
  </r>
  <r>
    <x v="13"/>
    <s v="Trinity Valley Community College"/>
    <s v="Reclassified: Met criteria for Two-Year 1 in 2009-10, 2010-11 and 2011-12."/>
    <n v="225308"/>
    <x v="6"/>
    <n v="166114"/>
    <n v="167830"/>
    <n v="94853"/>
    <n v="95900"/>
    <n v="43587"/>
    <n v="42624"/>
    <n v="26840"/>
    <n v="834"/>
    <n v="0"/>
    <n v="29159"/>
    <n v="147"/>
    <n v="0"/>
    <m/>
    <m/>
    <n v="0"/>
    <n v="0"/>
    <m/>
    <m/>
    <m/>
    <m/>
    <m/>
    <m/>
    <m/>
    <m/>
    <m/>
    <m/>
    <m/>
    <m/>
  </r>
  <r>
    <x v="13"/>
    <s v="Tyler Junior College "/>
    <m/>
    <n v="229355"/>
    <x v="6"/>
    <n v="259168"/>
    <n v="259782"/>
    <n v="206336"/>
    <n v="186994"/>
    <n v="0"/>
    <n v="1355"/>
    <n v="51977"/>
    <n v="0"/>
    <n v="855"/>
    <n v="71085"/>
    <n v="0"/>
    <n v="348"/>
    <m/>
    <m/>
    <n v="0"/>
    <n v="0"/>
    <m/>
    <m/>
    <m/>
    <m/>
    <m/>
    <m/>
    <m/>
    <m/>
    <m/>
    <m/>
    <m/>
    <m/>
  </r>
  <r>
    <x v="13"/>
    <s v="Alvin Community College "/>
    <m/>
    <n v="222567"/>
    <x v="7"/>
    <n v="111467"/>
    <n v="106578"/>
    <n v="93297"/>
    <n v="88842"/>
    <n v="18170"/>
    <n v="17736"/>
    <n v="0"/>
    <n v="0"/>
    <n v="0"/>
    <n v="0"/>
    <n v="0"/>
    <n v="0"/>
    <m/>
    <m/>
    <n v="0"/>
    <n v="0"/>
    <m/>
    <m/>
    <m/>
    <m/>
    <m/>
    <m/>
    <m/>
    <m/>
    <m/>
    <m/>
    <m/>
    <m/>
  </r>
  <r>
    <x v="13"/>
    <s v="Angelina College "/>
    <m/>
    <n v="222822"/>
    <x v="7"/>
    <n v="114278"/>
    <n v="113896"/>
    <n v="79774"/>
    <n v="72306"/>
    <n v="13147"/>
    <n v="13237"/>
    <n v="14636"/>
    <n v="6676"/>
    <n v="45"/>
    <n v="20104"/>
    <n v="8189"/>
    <n v="60"/>
    <m/>
    <m/>
    <n v="0"/>
    <n v="0"/>
    <m/>
    <m/>
    <m/>
    <m/>
    <m/>
    <m/>
    <m/>
    <m/>
    <m/>
    <m/>
    <m/>
    <m/>
  </r>
  <r>
    <x v="13"/>
    <s v="Cedar Valley College (DCCCD)"/>
    <m/>
    <n v="223773"/>
    <x v="7"/>
    <n v="110642"/>
    <n v="111968"/>
    <n v="73303"/>
    <n v="71640"/>
    <n v="1243"/>
    <n v="1572"/>
    <n v="36096"/>
    <n v="0"/>
    <n v="0"/>
    <n v="38756"/>
    <n v="0"/>
    <n v="0"/>
    <m/>
    <m/>
    <n v="0"/>
    <n v="0"/>
    <m/>
    <m/>
    <m/>
    <m/>
    <m/>
    <m/>
    <m/>
    <m/>
    <m/>
    <m/>
    <m/>
    <m/>
  </r>
  <r>
    <x v="13"/>
    <s v="Cisco Junior College "/>
    <m/>
    <n v="223898"/>
    <x v="7"/>
    <n v="95299"/>
    <n v="94568"/>
    <n v="16291"/>
    <n v="15015"/>
    <n v="58548"/>
    <n v="56714"/>
    <n v="19398"/>
    <n v="1062"/>
    <n v="0"/>
    <n v="21567"/>
    <n v="1272"/>
    <n v="0"/>
    <m/>
    <m/>
    <n v="0"/>
    <n v="0"/>
    <m/>
    <m/>
    <m/>
    <m/>
    <m/>
    <m/>
    <m/>
    <m/>
    <m/>
    <m/>
    <m/>
    <m/>
  </r>
  <r>
    <x v="13"/>
    <s v="Coastal Bend College"/>
    <m/>
    <n v="223320"/>
    <x v="7"/>
    <n v="85421"/>
    <n v="79616"/>
    <n v="25762"/>
    <n v="22969"/>
    <n v="38577"/>
    <n v="35841"/>
    <n v="13890"/>
    <n v="5669"/>
    <n v="1523"/>
    <n v="13390"/>
    <n v="4902"/>
    <n v="2514"/>
    <m/>
    <m/>
    <n v="0"/>
    <n v="0"/>
    <m/>
    <m/>
    <m/>
    <m/>
    <m/>
    <m/>
    <m/>
    <m/>
    <m/>
    <m/>
    <m/>
    <m/>
  </r>
  <r>
    <x v="13"/>
    <s v="College of the Mainland"/>
    <m/>
    <n v="226408"/>
    <x v="7"/>
    <n v="87748"/>
    <n v="87306"/>
    <n v="81099"/>
    <n v="80631"/>
    <n v="6649"/>
    <n v="6675"/>
    <n v="0"/>
    <n v="0"/>
    <n v="0"/>
    <n v="0"/>
    <n v="0"/>
    <n v="0"/>
    <m/>
    <m/>
    <n v="0"/>
    <n v="0"/>
    <m/>
    <m/>
    <m/>
    <m/>
    <m/>
    <m/>
    <m/>
    <m/>
    <m/>
    <m/>
    <m/>
    <m/>
  </r>
  <r>
    <x v="13"/>
    <s v="Grayson County College "/>
    <m/>
    <n v="225070"/>
    <x v="7"/>
    <n v="111874"/>
    <n v="116342"/>
    <n v="82611"/>
    <n v="78792"/>
    <n v="730"/>
    <n v="2249"/>
    <n v="26745"/>
    <n v="0"/>
    <n v="1788"/>
    <n v="33174"/>
    <n v="0"/>
    <n v="2127"/>
    <m/>
    <m/>
    <n v="0"/>
    <n v="0"/>
    <m/>
    <m/>
    <m/>
    <m/>
    <m/>
    <m/>
    <m/>
    <m/>
    <m/>
    <m/>
    <m/>
    <m/>
  </r>
  <r>
    <x v="13"/>
    <s v="Hill College"/>
    <m/>
    <n v="225371"/>
    <x v="7"/>
    <n v="98493"/>
    <n v="94640"/>
    <n v="19574"/>
    <n v="20672"/>
    <n v="45049"/>
    <n v="40614"/>
    <n v="31491"/>
    <n v="2379"/>
    <n v="0"/>
    <n v="31389"/>
    <n v="1965"/>
    <n v="0"/>
    <m/>
    <m/>
    <n v="0"/>
    <n v="0"/>
    <m/>
    <m/>
    <m/>
    <m/>
    <m/>
    <m/>
    <m/>
    <m/>
    <m/>
    <m/>
    <m/>
    <m/>
  </r>
  <r>
    <x v="13"/>
    <s v="Howard College (HCJCD)"/>
    <m/>
    <n v="225520"/>
    <x v="7"/>
    <n v="82912"/>
    <n v="87037"/>
    <n v="21725"/>
    <n v="19185"/>
    <n v="39096"/>
    <n v="38301"/>
    <n v="18986"/>
    <n v="3027"/>
    <n v="78"/>
    <n v="24526"/>
    <n v="4773"/>
    <n v="252"/>
    <m/>
    <m/>
    <n v="0"/>
    <n v="0"/>
    <m/>
    <m/>
    <m/>
    <m/>
    <m/>
    <m/>
    <m/>
    <m/>
    <m/>
    <m/>
    <m/>
    <m/>
  </r>
  <r>
    <x v="13"/>
    <s v="Lamar Institute of Technology"/>
    <m/>
    <n v="441760"/>
    <x v="7"/>
    <n v="67440"/>
    <n v="64380"/>
    <n v="60976"/>
    <n v="60737"/>
    <n v="2280"/>
    <n v="1462"/>
    <n v="4109"/>
    <n v="75"/>
    <n v="0"/>
    <n v="2136"/>
    <n v="45"/>
    <n v="0"/>
    <m/>
    <m/>
    <n v="0"/>
    <n v="0"/>
    <m/>
    <m/>
    <m/>
    <m/>
    <m/>
    <m/>
    <m/>
    <m/>
    <m/>
    <m/>
    <m/>
    <m/>
  </r>
  <r>
    <x v="13"/>
    <s v="Lee College "/>
    <m/>
    <n v="226204"/>
    <x v="7"/>
    <n v="143743"/>
    <n v="140128"/>
    <n v="112426"/>
    <n v="108264"/>
    <n v="20242"/>
    <n v="16754"/>
    <n v="6297"/>
    <n v="0"/>
    <n v="4778"/>
    <n v="14790"/>
    <n v="0"/>
    <n v="320"/>
    <m/>
    <m/>
    <n v="0"/>
    <n v="0"/>
    <m/>
    <m/>
    <m/>
    <m/>
    <m/>
    <m/>
    <m/>
    <m/>
    <m/>
    <m/>
    <m/>
    <m/>
  </r>
  <r>
    <x v="13"/>
    <s v="Mountain View College  (DCCCD)"/>
    <s v="Met the criteria for Two-Year 1 in 2010-11 amd 2011-12."/>
    <n v="226930"/>
    <x v="7"/>
    <n v="146353"/>
    <n v="146492"/>
    <n v="115141"/>
    <n v="111995"/>
    <n v="0"/>
    <n v="0"/>
    <n v="31212"/>
    <n v="0"/>
    <n v="0"/>
    <n v="34497"/>
    <n v="0"/>
    <n v="0"/>
    <m/>
    <m/>
    <n v="0"/>
    <n v="0"/>
    <m/>
    <m/>
    <m/>
    <m/>
    <m/>
    <m/>
    <m/>
    <m/>
    <m/>
    <m/>
    <m/>
    <m/>
  </r>
  <r>
    <x v="13"/>
    <s v="Northeast Texas Community College "/>
    <s v="Reclassified: Met criteria for Two-Year 2 in 2009-10, 2010-11 and 2011-12."/>
    <n v="227225"/>
    <x v="7"/>
    <n v="69750"/>
    <n v="72602"/>
    <n v="58103"/>
    <n v="54188"/>
    <n v="1080"/>
    <n v="1129"/>
    <n v="10420"/>
    <n v="54"/>
    <n v="93"/>
    <n v="17027"/>
    <n v="258"/>
    <n v="0"/>
    <m/>
    <m/>
    <n v="0"/>
    <n v="0"/>
    <m/>
    <m/>
    <m/>
    <m/>
    <m/>
    <m/>
    <m/>
    <m/>
    <m/>
    <m/>
    <m/>
    <m/>
  </r>
  <r>
    <x v="13"/>
    <s v="Odessa College "/>
    <m/>
    <n v="227304"/>
    <x v="7"/>
    <n v="100803"/>
    <n v="98768"/>
    <n v="64766"/>
    <n v="59110"/>
    <n v="6608"/>
    <n v="6877"/>
    <n v="29429"/>
    <n v="0"/>
    <n v="0"/>
    <n v="32466"/>
    <n v="315"/>
    <n v="0"/>
    <m/>
    <m/>
    <n v="0"/>
    <n v="0"/>
    <m/>
    <m/>
    <m/>
    <m/>
    <m/>
    <m/>
    <m/>
    <m/>
    <m/>
    <m/>
    <m/>
    <m/>
  </r>
  <r>
    <x v="13"/>
    <s v="Paris Junior College"/>
    <m/>
    <n v="227401"/>
    <x v="7"/>
    <n v="131831"/>
    <n v="131884"/>
    <n v="54350"/>
    <n v="50395"/>
    <n v="43436"/>
    <n v="41866"/>
    <n v="30541"/>
    <n v="3504"/>
    <n v="0"/>
    <n v="36365"/>
    <n v="3258"/>
    <n v="0"/>
    <m/>
    <m/>
    <n v="0"/>
    <n v="0"/>
    <m/>
    <m/>
    <m/>
    <m/>
    <m/>
    <m/>
    <m/>
    <m/>
    <m/>
    <m/>
    <m/>
    <m/>
  </r>
  <r>
    <x v="13"/>
    <s v="Southwest Texas Junior College "/>
    <m/>
    <n v="228316"/>
    <x v="7"/>
    <n v="118563"/>
    <n v="111605"/>
    <n v="34470"/>
    <n v="31767"/>
    <n v="55135"/>
    <n v="52200"/>
    <n v="9453"/>
    <n v="19505"/>
    <n v="0"/>
    <n v="9529"/>
    <n v="18109"/>
    <n v="0"/>
    <m/>
    <m/>
    <n v="0"/>
    <n v="0"/>
    <m/>
    <m/>
    <m/>
    <m/>
    <m/>
    <m/>
    <m/>
    <m/>
    <m/>
    <m/>
    <m/>
    <m/>
  </r>
  <r>
    <x v="13"/>
    <s v="Temple College "/>
    <m/>
    <n v="228608"/>
    <x v="7"/>
    <n v="122171"/>
    <n v="121557"/>
    <n v="72437"/>
    <n v="68990"/>
    <n v="19413"/>
    <n v="16971"/>
    <n v="30309"/>
    <n v="12"/>
    <n v="0"/>
    <n v="35556"/>
    <n v="40"/>
    <n v="0"/>
    <m/>
    <m/>
    <n v="0"/>
    <n v="0"/>
    <m/>
    <m/>
    <m/>
    <m/>
    <m/>
    <m/>
    <m/>
    <m/>
    <m/>
    <m/>
    <m/>
    <m/>
  </r>
  <r>
    <x v="13"/>
    <s v="Texarkana College "/>
    <m/>
    <n v="228699"/>
    <x v="7"/>
    <n v="94976"/>
    <n v="87487"/>
    <n v="79221"/>
    <n v="72119"/>
    <n v="9444"/>
    <n v="9863"/>
    <n v="6263"/>
    <n v="45"/>
    <n v="3"/>
    <n v="5478"/>
    <n v="0"/>
    <n v="27"/>
    <m/>
    <m/>
    <n v="0"/>
    <n v="0"/>
    <m/>
    <m/>
    <m/>
    <m/>
    <m/>
    <m/>
    <m/>
    <m/>
    <m/>
    <m/>
    <m/>
    <m/>
  </r>
  <r>
    <x v="13"/>
    <s v="Texas State Technical College-Harlingen "/>
    <m/>
    <n v="229319"/>
    <x v="7"/>
    <n v="136009"/>
    <n v="130391"/>
    <n v="118614"/>
    <n v="112274"/>
    <n v="5614"/>
    <n v="3901"/>
    <n v="10659"/>
    <n v="1122"/>
    <n v="0"/>
    <n v="13622"/>
    <n v="594"/>
    <n v="0"/>
    <m/>
    <m/>
    <n v="0"/>
    <n v="0"/>
    <m/>
    <m/>
    <m/>
    <m/>
    <m/>
    <m/>
    <m/>
    <m/>
    <m/>
    <m/>
    <m/>
    <m/>
  </r>
  <r>
    <x v="13"/>
    <s v="Vernon College "/>
    <m/>
    <n v="229504"/>
    <x v="7"/>
    <n v="67813"/>
    <n v="67579"/>
    <n v="9311"/>
    <n v="9555"/>
    <n v="31700"/>
    <n v="32035"/>
    <n v="20532"/>
    <n v="6270"/>
    <n v="0"/>
    <n v="19314"/>
    <n v="6675"/>
    <n v="0"/>
    <m/>
    <m/>
    <n v="0"/>
    <n v="0"/>
    <m/>
    <m/>
    <m/>
    <m/>
    <m/>
    <m/>
    <m/>
    <m/>
    <m/>
    <m/>
    <m/>
    <m/>
  </r>
  <r>
    <x v="13"/>
    <s v="Victoria College "/>
    <m/>
    <n v="229540"/>
    <x v="7"/>
    <n v="81880"/>
    <n v="85982"/>
    <n v="55839"/>
    <n v="56496"/>
    <n v="5672"/>
    <n v="5620"/>
    <n v="16617"/>
    <n v="3752"/>
    <n v="0"/>
    <n v="20026"/>
    <n v="3791"/>
    <n v="49"/>
    <m/>
    <m/>
    <n v="0"/>
    <n v="0"/>
    <m/>
    <m/>
    <m/>
    <m/>
    <m/>
    <m/>
    <m/>
    <m/>
    <m/>
    <m/>
    <m/>
    <m/>
  </r>
  <r>
    <x v="13"/>
    <s v="Weatherford College "/>
    <m/>
    <n v="229799"/>
    <x v="7"/>
    <n v="116501"/>
    <n v="115097"/>
    <n v="83333"/>
    <n v="74383"/>
    <n v="12257"/>
    <n v="12841"/>
    <n v="20575"/>
    <n v="336"/>
    <n v="0"/>
    <n v="25791"/>
    <n v="2082"/>
    <n v="0"/>
    <m/>
    <m/>
    <n v="0"/>
    <n v="0"/>
    <m/>
    <m/>
    <m/>
    <m/>
    <m/>
    <m/>
    <m/>
    <m/>
    <m/>
    <m/>
    <m/>
    <m/>
  </r>
  <r>
    <x v="13"/>
    <s v="Wharton County Junior College "/>
    <m/>
    <n v="229841"/>
    <x v="7"/>
    <n v="145528"/>
    <n v="147021"/>
    <n v="48270"/>
    <n v="44106"/>
    <n v="75606"/>
    <n v="79773"/>
    <n v="18772"/>
    <n v="2880"/>
    <n v="0"/>
    <n v="20481"/>
    <n v="2661"/>
    <n v="0"/>
    <m/>
    <m/>
    <n v="0"/>
    <n v="0"/>
    <m/>
    <m/>
    <m/>
    <m/>
    <m/>
    <m/>
    <m/>
    <m/>
    <m/>
    <m/>
    <m/>
    <m/>
  </r>
  <r>
    <x v="13"/>
    <s v="Clarendon College "/>
    <m/>
    <n v="223922"/>
    <x v="8"/>
    <n v="35116"/>
    <n v="34696"/>
    <n v="11447"/>
    <n v="11028"/>
    <n v="14515"/>
    <n v="13298"/>
    <n v="8487"/>
    <n v="654"/>
    <n v="13"/>
    <n v="9736"/>
    <n v="634"/>
    <n v="0"/>
    <m/>
    <m/>
    <n v="0"/>
    <n v="0"/>
    <m/>
    <m/>
    <m/>
    <m/>
    <m/>
    <m/>
    <m/>
    <m/>
    <m/>
    <m/>
    <m/>
    <m/>
  </r>
  <r>
    <x v="13"/>
    <s v="Frank Phillips College "/>
    <m/>
    <n v="224891"/>
    <x v="8"/>
    <n v="25567"/>
    <n v="22512"/>
    <n v="19199"/>
    <n v="16689"/>
    <n v="1479"/>
    <n v="1635"/>
    <n v="1989"/>
    <n v="0"/>
    <n v="2900"/>
    <n v="1408"/>
    <n v="0"/>
    <n v="2780"/>
    <m/>
    <m/>
    <n v="0"/>
    <n v="0"/>
    <m/>
    <m/>
    <m/>
    <m/>
    <m/>
    <m/>
    <m/>
    <m/>
    <m/>
    <m/>
    <m/>
    <m/>
  </r>
  <r>
    <x v="13"/>
    <s v="Galveston College "/>
    <m/>
    <n v="224961"/>
    <x v="8"/>
    <n v="46278"/>
    <n v="47892"/>
    <n v="45591"/>
    <n v="47375"/>
    <n v="305"/>
    <n v="421"/>
    <n v="382"/>
    <n v="0"/>
    <n v="0"/>
    <n v="0"/>
    <n v="0"/>
    <n v="96"/>
    <m/>
    <m/>
    <n v="0"/>
    <n v="0"/>
    <m/>
    <m/>
    <m/>
    <m/>
    <m/>
    <m/>
    <m/>
    <m/>
    <m/>
    <m/>
    <m/>
    <m/>
  </r>
  <r>
    <x v="13"/>
    <s v="Lamar State College-Orange"/>
    <m/>
    <n v="226107"/>
    <x v="8"/>
    <n v="53594"/>
    <n v="56026"/>
    <n v="47495"/>
    <n v="50964"/>
    <n v="0"/>
    <n v="0"/>
    <n v="6099"/>
    <n v="0"/>
    <n v="0"/>
    <n v="5020"/>
    <n v="42"/>
    <n v="0"/>
    <m/>
    <m/>
    <n v="0"/>
    <n v="0"/>
    <m/>
    <m/>
    <m/>
    <m/>
    <m/>
    <m/>
    <m/>
    <m/>
    <m/>
    <m/>
    <m/>
    <m/>
  </r>
  <r>
    <x v="13"/>
    <s v="Lamar State College-Port Arthur"/>
    <s v="Met the criteria for Two-Year 2 in 2010-11 and 2011-12."/>
    <n v="226116"/>
    <x v="8"/>
    <n v="50934"/>
    <n v="59265"/>
    <n v="40162"/>
    <n v="40622"/>
    <n v="5413"/>
    <n v="5436"/>
    <n v="5359"/>
    <n v="0"/>
    <n v="0"/>
    <n v="13207"/>
    <n v="0"/>
    <n v="0"/>
    <m/>
    <m/>
    <n v="0"/>
    <n v="0"/>
    <m/>
    <m/>
    <m/>
    <m/>
    <m/>
    <m/>
    <m/>
    <m/>
    <m/>
    <m/>
    <m/>
    <m/>
  </r>
  <r>
    <x v="13"/>
    <s v="Northeast Lakeview College (ACCD)"/>
    <m/>
    <s v="???"/>
    <x v="8"/>
    <n v="13983"/>
    <n v="13926"/>
    <n v="13281"/>
    <n v="13926"/>
    <n v="0"/>
    <n v="0"/>
    <n v="702"/>
    <n v="0"/>
    <n v="0"/>
    <n v="0"/>
    <n v="0"/>
    <n v="0"/>
    <m/>
    <m/>
    <n v="0"/>
    <n v="0"/>
    <m/>
    <m/>
    <m/>
    <m/>
    <m/>
    <m/>
    <m/>
    <m/>
    <m/>
    <m/>
    <m/>
    <m/>
  </r>
  <r>
    <x v="13"/>
    <s v="Panola College"/>
    <m/>
    <n v="227386"/>
    <x v="8"/>
    <n v="47697"/>
    <n v="51046"/>
    <n v="25964"/>
    <n v="26443"/>
    <n v="8198"/>
    <n v="8014"/>
    <n v="12025"/>
    <n v="1510"/>
    <n v="0"/>
    <n v="15623"/>
    <n v="966"/>
    <n v="0"/>
    <m/>
    <m/>
    <n v="0"/>
    <n v="0"/>
    <m/>
    <m/>
    <m/>
    <m/>
    <m/>
    <m/>
    <m/>
    <m/>
    <m/>
    <m/>
    <m/>
    <m/>
  </r>
  <r>
    <x v="13"/>
    <s v="Ranger College "/>
    <m/>
    <n v="227687"/>
    <x v="8"/>
    <n v="26592"/>
    <n v="34840"/>
    <n v="11005"/>
    <n v="11537"/>
    <n v="10096"/>
    <n v="14855"/>
    <n v="3932"/>
    <n v="1493"/>
    <n v="66"/>
    <n v="6288"/>
    <n v="2022"/>
    <n v="138"/>
    <m/>
    <m/>
    <n v="0"/>
    <n v="0"/>
    <m/>
    <m/>
    <m/>
    <m/>
    <m/>
    <m/>
    <m/>
    <m/>
    <m/>
    <m/>
    <m/>
    <m/>
  </r>
  <r>
    <x v="13"/>
    <s v="Southwest Collegiate Institute for the Deaf (HCJCD)"/>
    <m/>
    <n v="382911"/>
    <x v="8"/>
    <n v="2067"/>
    <n v="2719"/>
    <n v="2004"/>
    <n v="2589"/>
    <n v="0"/>
    <n v="20"/>
    <n v="45"/>
    <n v="0"/>
    <n v="18"/>
    <n v="101"/>
    <n v="9"/>
    <n v="0"/>
    <m/>
    <m/>
    <n v="0"/>
    <n v="0"/>
    <m/>
    <m/>
    <m/>
    <m/>
    <m/>
    <m/>
    <m/>
    <m/>
    <m/>
    <m/>
    <m/>
    <m/>
  </r>
  <r>
    <x v="13"/>
    <s v="Texas State Technical College-Marshall"/>
    <m/>
    <n v="408394"/>
    <x v="8"/>
    <n v="23775"/>
    <n v="21457"/>
    <n v="15272"/>
    <n v="13718"/>
    <n v="1222"/>
    <n v="751"/>
    <n v="7281"/>
    <n v="0"/>
    <n v="0"/>
    <n v="6988"/>
    <n v="0"/>
    <n v="0"/>
    <m/>
    <m/>
    <n v="0"/>
    <n v="0"/>
    <m/>
    <m/>
    <m/>
    <m/>
    <m/>
    <m/>
    <m/>
    <m/>
    <m/>
    <m/>
    <m/>
    <m/>
  </r>
  <r>
    <x v="13"/>
    <s v="Texas State Technical College-West Texas"/>
    <m/>
    <n v="229328"/>
    <x v="8"/>
    <n v="38675"/>
    <n v="25208"/>
    <n v="11530"/>
    <n v="6827"/>
    <n v="8032"/>
    <n v="6219"/>
    <n v="19104"/>
    <n v="9"/>
    <n v="0"/>
    <n v="12162"/>
    <n v="0"/>
    <n v="0"/>
    <m/>
    <m/>
    <n v="0"/>
    <n v="0"/>
    <m/>
    <m/>
    <m/>
    <m/>
    <m/>
    <m/>
    <m/>
    <m/>
    <m/>
    <m/>
    <m/>
    <m/>
  </r>
  <r>
    <x v="13"/>
    <s v="Western Texas College "/>
    <m/>
    <n v="229832"/>
    <x v="8"/>
    <n v="47076"/>
    <n v="46461"/>
    <n v="12932"/>
    <n v="13504"/>
    <n v="8828"/>
    <n v="8551"/>
    <n v="19628"/>
    <n v="5592"/>
    <n v="96"/>
    <n v="19717"/>
    <n v="4524"/>
    <n v="165"/>
    <m/>
    <m/>
    <n v="0"/>
    <n v="0"/>
    <m/>
    <m/>
    <m/>
    <m/>
    <m/>
    <m/>
    <m/>
    <m/>
    <m/>
    <m/>
    <m/>
    <m/>
  </r>
  <r>
    <x v="13"/>
    <s v="Texas A &amp; M University - Central Texas"/>
    <s v="New fall 2009. Met the criteria for Four-Year 4 in 2010-11 and 2011-12."/>
    <m/>
    <x v="13"/>
    <n v="31104"/>
    <n v="31115"/>
    <n v="19069"/>
    <n v="10845"/>
    <n v="2718"/>
    <n v="9489"/>
    <n v="8919"/>
    <n v="398"/>
    <n v="0"/>
    <n v="10514"/>
    <n v="267"/>
    <n v="0"/>
    <m/>
    <m/>
    <n v="12184"/>
    <n v="11486"/>
    <n v="9961"/>
    <n v="7625"/>
    <n v="264"/>
    <n v="1275"/>
    <n v="1959"/>
    <n v="0"/>
    <n v="0"/>
    <n v="2586"/>
    <n v="0"/>
    <n v="0"/>
    <m/>
    <m/>
  </r>
  <r>
    <x v="13"/>
    <s v="Texas A &amp; M University - San Antonio"/>
    <s v="New fall 2009. Met the criteria for Four-Year 5 in 2010-11 and 2011-12."/>
    <s v="870501"/>
    <x v="13"/>
    <n v="46866"/>
    <n v="54033"/>
    <n v="45537"/>
    <n v="31707"/>
    <n v="306"/>
    <n v="3148"/>
    <n v="1023"/>
    <n v="0"/>
    <n v="0"/>
    <n v="19178"/>
    <n v="0"/>
    <n v="0"/>
    <m/>
    <m/>
    <n v="12635"/>
    <n v="14881"/>
    <n v="12463"/>
    <n v="4422"/>
    <n v="0"/>
    <n v="966"/>
    <n v="172"/>
    <n v="0"/>
    <n v="0"/>
    <n v="9493"/>
    <n v="0"/>
    <n v="0"/>
    <m/>
    <m/>
  </r>
  <r>
    <x v="13"/>
    <s v="University of North Texas at Dallas"/>
    <s v="New fall 2009. No degrees yet granted."/>
    <m/>
    <x v="13"/>
    <n v="27801"/>
    <n v="31544"/>
    <n v="27657"/>
    <n v="30845"/>
    <n v="144"/>
    <n v="228"/>
    <n v="0"/>
    <n v="0"/>
    <n v="0"/>
    <n v="471"/>
    <n v="0"/>
    <n v="0"/>
    <m/>
    <m/>
    <n v="4498"/>
    <n v="3852"/>
    <n v="4090"/>
    <n v="3765"/>
    <n v="312"/>
    <n v="48"/>
    <n v="0"/>
    <n v="96"/>
    <n v="0"/>
    <n v="39"/>
    <n v="0"/>
    <n v="0"/>
    <m/>
    <m/>
  </r>
  <r>
    <x v="14"/>
    <s v="George Mason University "/>
    <m/>
    <n v="232186"/>
    <x v="0"/>
    <n v="546706.5"/>
    <n v="570979.5"/>
    <n v="521158"/>
    <n v="534505"/>
    <n v="11373.5"/>
    <n v="16202.5"/>
    <n v="13560"/>
    <n v="615"/>
    <n v="0"/>
    <n v="17092"/>
    <n v="3180"/>
    <m/>
    <m/>
    <m/>
    <n v="170127.99999999889"/>
    <n v="177232.5"/>
    <n v="136925.399999999"/>
    <n v="136496.5"/>
    <n v="23855.5999999999"/>
    <n v="31841.5"/>
    <n v="7947.5"/>
    <n v="1399.5"/>
    <n v="0"/>
    <n v="6907.5"/>
    <n v="1987"/>
    <m/>
    <n v="0"/>
    <m/>
  </r>
  <r>
    <x v="14"/>
    <s v="Old Dominion University "/>
    <m/>
    <n v="232982"/>
    <x v="0"/>
    <n v="484643"/>
    <n v="501823"/>
    <n v="424035"/>
    <n v="436372"/>
    <n v="423"/>
    <n v="1200"/>
    <n v="25379"/>
    <n v="34806"/>
    <n v="0"/>
    <n v="31568"/>
    <n v="32683"/>
    <m/>
    <m/>
    <m/>
    <n v="78185"/>
    <n v="76119"/>
    <n v="53943"/>
    <n v="51385"/>
    <n v="1906"/>
    <n v="3593"/>
    <n v="10525"/>
    <n v="11811"/>
    <n v="0"/>
    <n v="9636"/>
    <n v="11505"/>
    <m/>
    <n v="0"/>
    <m/>
  </r>
  <r>
    <x v="14"/>
    <s v="University of Virginia"/>
    <m/>
    <n v="234076"/>
    <x v="0"/>
    <n v="462973"/>
    <n v="467835.5"/>
    <n v="418800"/>
    <n v="424751.5"/>
    <n v="41409"/>
    <n v="39412"/>
    <n v="2764"/>
    <n v="0"/>
    <n v="0"/>
    <n v="3672"/>
    <n v="0"/>
    <m/>
    <m/>
    <m/>
    <n v="202178.899999999"/>
    <n v="203119"/>
    <n v="172639.899999999"/>
    <n v="176415"/>
    <n v="20521"/>
    <n v="19000"/>
    <n v="8112"/>
    <n v="906"/>
    <n v="0"/>
    <n v="7227"/>
    <n v="477"/>
    <m/>
    <n v="0"/>
    <m/>
  </r>
  <r>
    <x v="14"/>
    <s v="Virginia Tech "/>
    <m/>
    <n v="233921"/>
    <x v="0"/>
    <n v="745331"/>
    <n v="748965"/>
    <n v="735345"/>
    <n v="737571"/>
    <n v="398"/>
    <n v="287"/>
    <n v="8610"/>
    <n v="978"/>
    <n v="0"/>
    <n v="9529"/>
    <n v="1578"/>
    <m/>
    <m/>
    <m/>
    <n v="145263"/>
    <n v="146962"/>
    <n v="109969"/>
    <n v="110934"/>
    <n v="20486"/>
    <n v="21163"/>
    <n v="10227"/>
    <n v="4581"/>
    <n v="0"/>
    <n v="9078"/>
    <n v="5787"/>
    <m/>
    <n v="0"/>
    <m/>
  </r>
  <r>
    <x v="14"/>
    <s v="College of William &amp; Mary"/>
    <m/>
    <n v="231624"/>
    <x v="1"/>
    <n v="169436.5"/>
    <n v="175401"/>
    <n v="168765.5"/>
    <n v="174378"/>
    <n v="671"/>
    <n v="1023"/>
    <n v="0"/>
    <n v="0"/>
    <n v="0"/>
    <n v="0"/>
    <n v="0"/>
    <m/>
    <m/>
    <m/>
    <n v="54173"/>
    <n v="54763.5"/>
    <n v="50819"/>
    <n v="49512"/>
    <n v="3354"/>
    <n v="5251.5"/>
    <n v="0"/>
    <n v="0"/>
    <n v="0"/>
    <n v="0"/>
    <n v="0"/>
    <m/>
    <n v="0"/>
    <m/>
  </r>
  <r>
    <x v="14"/>
    <s v="Virginia Commonwealth University"/>
    <s v="Met the criteria for Four-Year 1 in 2011-2012"/>
    <n v="234030"/>
    <x v="1"/>
    <n v="648362.5"/>
    <n v="650106.5"/>
    <n v="624894.5"/>
    <n v="618488.5"/>
    <n v="7888"/>
    <n v="7338"/>
    <n v="15580"/>
    <n v="0"/>
    <n v="0"/>
    <n v="24280"/>
    <n v="0"/>
    <m/>
    <m/>
    <m/>
    <n v="146465.5"/>
    <n v="140788"/>
    <n v="121330.5"/>
    <n v="118096"/>
    <n v="17085"/>
    <n v="12821"/>
    <n v="8050"/>
    <n v="0"/>
    <n v="0"/>
    <n v="9871"/>
    <n v="0"/>
    <m/>
    <n v="0"/>
    <m/>
  </r>
  <r>
    <x v="14"/>
    <s v="James Madison University"/>
    <m/>
    <n v="232423"/>
    <x v="2"/>
    <n v="522097"/>
    <n v="533881"/>
    <n v="505528"/>
    <n v="507922"/>
    <n v="7300"/>
    <n v="10157"/>
    <n v="9269"/>
    <n v="0"/>
    <n v="0"/>
    <n v="15802"/>
    <n v="0"/>
    <m/>
    <m/>
    <m/>
    <n v="32972"/>
    <n v="33802"/>
    <n v="26752"/>
    <n v="26315"/>
    <n v="2910"/>
    <n v="3548"/>
    <n v="3300"/>
    <n v="10"/>
    <n v="0"/>
    <n v="3939"/>
    <n v="0"/>
    <m/>
    <n v="0"/>
    <m/>
  </r>
  <r>
    <x v="14"/>
    <s v="Norfolk State University "/>
    <m/>
    <n v="232937"/>
    <x v="2"/>
    <n v="145531"/>
    <n v="160708"/>
    <n v="136041"/>
    <n v="134731"/>
    <n v="0"/>
    <n v="1815"/>
    <n v="9490"/>
    <n v="0"/>
    <n v="0"/>
    <n v="0"/>
    <n v="24162"/>
    <m/>
    <m/>
    <m/>
    <n v="12457"/>
    <n v="14099"/>
    <n v="11578"/>
    <n v="11591"/>
    <n v="0"/>
    <n v="652"/>
    <n v="879"/>
    <n v="0"/>
    <n v="0"/>
    <n v="0"/>
    <n v="1856"/>
    <m/>
    <n v="0"/>
    <m/>
  </r>
  <r>
    <x v="14"/>
    <s v="Longwood University "/>
    <s v="Met the criteria for Four-Year 3 in 2011-2012"/>
    <n v="232566"/>
    <x v="3"/>
    <n v="124398"/>
    <n v="244570"/>
    <n v="116807"/>
    <n v="235209"/>
    <n v="768"/>
    <n v="7653"/>
    <n v="6823"/>
    <n v="0"/>
    <n v="0"/>
    <n v="810"/>
    <n v="898"/>
    <m/>
    <m/>
    <m/>
    <n v="8191"/>
    <n v="20498"/>
    <n v="4299"/>
    <n v="15415"/>
    <n v="2981"/>
    <n v="3350"/>
    <n v="911"/>
    <n v="0"/>
    <n v="0"/>
    <n v="385"/>
    <n v="1348"/>
    <m/>
    <n v="0"/>
    <m/>
  </r>
  <r>
    <x v="14"/>
    <s v="Radford University"/>
    <s v="Met the criteria for Four-Year 3 in 2011-2012"/>
    <n v="233277"/>
    <x v="3"/>
    <n v="235610"/>
    <n v="157465"/>
    <n v="227686"/>
    <n v="153741"/>
    <n v="5953"/>
    <n v="2680"/>
    <n v="1257"/>
    <n v="714"/>
    <n v="0"/>
    <n v="1044"/>
    <n v="0"/>
    <m/>
    <m/>
    <m/>
    <n v="19948"/>
    <n v="9863"/>
    <n v="15503"/>
    <n v="8063"/>
    <n v="3207"/>
    <n v="1800"/>
    <n v="317"/>
    <n v="921"/>
    <n v="0"/>
    <n v="0"/>
    <n v="0"/>
    <m/>
    <n v="0"/>
    <m/>
  </r>
  <r>
    <x v="14"/>
    <s v="Virginia State University "/>
    <s v="Met the criteria for Four-Year 3 in 2011-2012"/>
    <n v="234155"/>
    <x v="3"/>
    <n v="152509"/>
    <n v="140270"/>
    <n v="148062"/>
    <n v="139898"/>
    <n v="2916"/>
    <n v="372"/>
    <n v="1531"/>
    <n v="0"/>
    <n v="0"/>
    <n v="0"/>
    <n v="0"/>
    <m/>
    <m/>
    <m/>
    <n v="9563"/>
    <n v="3807"/>
    <n v="7526"/>
    <n v="3807"/>
    <n v="1788"/>
    <n v="0"/>
    <n v="249"/>
    <n v="0"/>
    <n v="0"/>
    <n v="0"/>
    <n v="0"/>
    <m/>
    <n v="0"/>
    <m/>
  </r>
  <r>
    <x v="14"/>
    <s v="Christopher Newport University"/>
    <s v="Met the criteria for Four-Year 4 in 2011-2012"/>
    <n v="231712"/>
    <x v="4"/>
    <n v="138094"/>
    <n v="126712"/>
    <n v="136161"/>
    <n v="117765"/>
    <n v="345"/>
    <n v="781"/>
    <n v="1588"/>
    <n v="0"/>
    <n v="0"/>
    <n v="8166"/>
    <n v="0"/>
    <m/>
    <m/>
    <m/>
    <n v="4215"/>
    <n v="7771"/>
    <n v="4119"/>
    <n v="4139"/>
    <n v="96"/>
    <n v="1918"/>
    <n v="0"/>
    <n v="0"/>
    <n v="0"/>
    <n v="1714"/>
    <n v="0"/>
    <m/>
    <n v="0"/>
    <m/>
  </r>
  <r>
    <x v="14"/>
    <s v="University of Mary Washington "/>
    <s v="Met the criteria for Four-Year 3 in 2011-2012"/>
    <n v="232681"/>
    <x v="4"/>
    <n v="126229"/>
    <n v="126791"/>
    <n v="122084"/>
    <n v="122858"/>
    <n v="0"/>
    <n v="0"/>
    <n v="4022"/>
    <n v="123"/>
    <n v="0"/>
    <n v="3849"/>
    <n v="84"/>
    <m/>
    <m/>
    <m/>
    <n v="10857"/>
    <n v="9707"/>
    <n v="9170"/>
    <n v="8042"/>
    <n v="0"/>
    <n v="0"/>
    <n v="1687"/>
    <n v="0"/>
    <n v="0"/>
    <n v="1665"/>
    <n v="0"/>
    <m/>
    <n v="0"/>
    <m/>
  </r>
  <r>
    <x v="14"/>
    <s v="University of Virginia's College at Wise "/>
    <m/>
    <n v="233897"/>
    <x v="5"/>
    <n v="50690.3"/>
    <n v="51098"/>
    <n v="48171.3"/>
    <n v="48493"/>
    <n v="499"/>
    <n v="901"/>
    <n v="2020"/>
    <n v="0"/>
    <n v="0"/>
    <n v="1704"/>
    <n v="0"/>
    <m/>
    <m/>
    <m/>
    <n v="0"/>
    <n v="0"/>
    <n v="0"/>
    <n v="0"/>
    <n v="0"/>
    <n v="0"/>
    <n v="0"/>
    <n v="0"/>
    <n v="0"/>
    <n v="0"/>
    <n v="0"/>
    <m/>
    <n v="0"/>
    <m/>
  </r>
  <r>
    <x v="14"/>
    <s v="J.S. Reynolds Community College"/>
    <m/>
    <n v="232414"/>
    <x v="6"/>
    <n v="244230"/>
    <n v="258715"/>
    <n v="172158"/>
    <n v="169578"/>
    <n v="15398"/>
    <n v="22486"/>
    <n v="56524"/>
    <n v="150"/>
    <n v="0"/>
    <n v="66480"/>
    <n v="171"/>
    <m/>
    <m/>
    <m/>
    <n v="0"/>
    <n v="0"/>
    <n v="0"/>
    <n v="0"/>
    <n v="0"/>
    <n v="0"/>
    <n v="0"/>
    <n v="0"/>
    <n v="0"/>
    <n v="0"/>
    <n v="0"/>
    <m/>
    <n v="0"/>
    <m/>
  </r>
  <r>
    <x v="14"/>
    <s v="Northern Virginia Community College "/>
    <m/>
    <n v="232946"/>
    <x v="6"/>
    <n v="1001401"/>
    <n v="1051547"/>
    <n v="735603"/>
    <n v="756511"/>
    <n v="55892"/>
    <n v="60406"/>
    <n v="204659"/>
    <n v="5247"/>
    <n v="0"/>
    <n v="229568"/>
    <n v="5062"/>
    <m/>
    <m/>
    <m/>
    <n v="0"/>
    <n v="0"/>
    <n v="0"/>
    <n v="0"/>
    <n v="0"/>
    <n v="0"/>
    <n v="0"/>
    <n v="0"/>
    <n v="0"/>
    <n v="0"/>
    <n v="0"/>
    <m/>
    <n v="0"/>
    <m/>
  </r>
  <r>
    <x v="14"/>
    <s v="Thomas Nelson Community College "/>
    <m/>
    <n v="233754"/>
    <x v="6"/>
    <n v="204930"/>
    <n v="215326"/>
    <n v="149305"/>
    <n v="154144"/>
    <n v="17013"/>
    <n v="16070"/>
    <n v="38173"/>
    <n v="439"/>
    <n v="0"/>
    <n v="44775"/>
    <n v="337"/>
    <m/>
    <m/>
    <m/>
    <n v="0"/>
    <n v="0"/>
    <n v="0"/>
    <n v="0"/>
    <n v="0"/>
    <n v="0"/>
    <n v="0"/>
    <n v="0"/>
    <n v="0"/>
    <n v="0"/>
    <n v="0"/>
    <m/>
    <n v="0"/>
    <m/>
  </r>
  <r>
    <x v="14"/>
    <s v="Tidewater Community College "/>
    <m/>
    <n v="233772"/>
    <x v="6"/>
    <n v="657783"/>
    <n v="690950"/>
    <n v="443134"/>
    <n v="469902"/>
    <n v="44119"/>
    <n v="42965"/>
    <n v="170530"/>
    <n v="0"/>
    <n v="0"/>
    <n v="178034"/>
    <n v="49"/>
    <m/>
    <m/>
    <m/>
    <n v="0"/>
    <n v="0"/>
    <n v="0"/>
    <n v="0"/>
    <n v="0"/>
    <n v="0"/>
    <n v="0"/>
    <n v="0"/>
    <n v="0"/>
    <n v="0"/>
    <n v="0"/>
    <m/>
    <n v="0"/>
    <m/>
  </r>
  <r>
    <x v="14"/>
    <s v="Blue Ridge Community College "/>
    <m/>
    <n v="231536"/>
    <x v="7"/>
    <n v="94850"/>
    <n v="94524"/>
    <n v="56418"/>
    <n v="54717"/>
    <n v="12609"/>
    <n v="11233"/>
    <n v="25823"/>
    <n v="0"/>
    <n v="0"/>
    <n v="28574"/>
    <n v="0"/>
    <m/>
    <m/>
    <m/>
    <n v="0"/>
    <n v="0"/>
    <n v="0"/>
    <n v="0"/>
    <n v="0"/>
    <n v="0"/>
    <n v="0"/>
    <n v="0"/>
    <n v="0"/>
    <n v="0"/>
    <n v="0"/>
    <m/>
    <n v="0"/>
    <m/>
  </r>
  <r>
    <x v="14"/>
    <s v="Central Virginia Community College "/>
    <m/>
    <n v="231697"/>
    <x v="7"/>
    <n v="88313"/>
    <n v="88001"/>
    <n v="54003"/>
    <n v="52026"/>
    <n v="17498"/>
    <n v="18497"/>
    <n v="12808"/>
    <n v="4004"/>
    <n v="0"/>
    <n v="13611"/>
    <n v="3867"/>
    <m/>
    <m/>
    <m/>
    <n v="0"/>
    <n v="0"/>
    <n v="0"/>
    <n v="0"/>
    <n v="0"/>
    <n v="0"/>
    <n v="0"/>
    <n v="0"/>
    <n v="0"/>
    <n v="0"/>
    <n v="0"/>
    <m/>
    <n v="0"/>
    <m/>
  </r>
  <r>
    <x v="14"/>
    <s v="Danville Community College "/>
    <m/>
    <n v="231882"/>
    <x v="7"/>
    <n v="88812"/>
    <n v="85382"/>
    <n v="58317"/>
    <n v="57605"/>
    <n v="20500"/>
    <n v="18086"/>
    <n v="9382"/>
    <n v="613"/>
    <n v="0"/>
    <n v="9107"/>
    <n v="584"/>
    <m/>
    <m/>
    <m/>
    <n v="0"/>
    <n v="0"/>
    <n v="0"/>
    <n v="0"/>
    <n v="0"/>
    <n v="0"/>
    <n v="0"/>
    <n v="0"/>
    <n v="0"/>
    <n v="0"/>
    <n v="0"/>
    <m/>
    <n v="0"/>
    <m/>
  </r>
  <r>
    <x v="14"/>
    <s v="Germanna Community College"/>
    <m/>
    <n v="232195"/>
    <x v="7"/>
    <n v="131957"/>
    <n v="139901"/>
    <n v="81676"/>
    <n v="68757"/>
    <n v="16152"/>
    <n v="18585"/>
    <n v="21591"/>
    <n v="12538"/>
    <n v="0"/>
    <n v="27980"/>
    <n v="24579"/>
    <m/>
    <m/>
    <m/>
    <n v="0"/>
    <n v="0"/>
    <n v="0"/>
    <n v="0"/>
    <n v="0"/>
    <n v="0"/>
    <n v="0"/>
    <n v="0"/>
    <n v="0"/>
    <n v="0"/>
    <n v="0"/>
    <m/>
    <n v="0"/>
    <m/>
  </r>
  <r>
    <x v="14"/>
    <s v="John Tyler Community College"/>
    <s v="Met the criteria for Two-Year 1 in 2011-12."/>
    <n v="232450"/>
    <x v="7"/>
    <n v="181574"/>
    <n v="190338"/>
    <n v="120678"/>
    <n v="122195"/>
    <n v="20587"/>
    <n v="20761"/>
    <n v="40107"/>
    <n v="202"/>
    <n v="0"/>
    <n v="47182"/>
    <n v="200"/>
    <m/>
    <m/>
    <m/>
    <n v="0"/>
    <n v="0"/>
    <n v="0"/>
    <n v="0"/>
    <n v="0"/>
    <n v="0"/>
    <n v="0"/>
    <n v="0"/>
    <n v="0"/>
    <n v="0"/>
    <n v="0"/>
    <m/>
    <n v="0"/>
    <m/>
  </r>
  <r>
    <x v="14"/>
    <s v="Lord Fairfax Community College"/>
    <m/>
    <n v="232575"/>
    <x v="7"/>
    <n v="117744"/>
    <n v="123923"/>
    <n v="72683"/>
    <n v="71369"/>
    <n v="18552"/>
    <n v="19623"/>
    <n v="18969"/>
    <n v="7540"/>
    <n v="0"/>
    <n v="26289"/>
    <n v="6642"/>
    <m/>
    <m/>
    <m/>
    <n v="0"/>
    <n v="0"/>
    <n v="0"/>
    <n v="0"/>
    <n v="0"/>
    <n v="0"/>
    <n v="0"/>
    <n v="0"/>
    <n v="0"/>
    <n v="0"/>
    <n v="0"/>
    <m/>
    <n v="0"/>
    <m/>
  </r>
  <r>
    <x v="14"/>
    <s v="New River Community College "/>
    <m/>
    <n v="232867"/>
    <x v="7"/>
    <n v="101175"/>
    <n v="100166"/>
    <n v="42150"/>
    <n v="36784"/>
    <n v="30343"/>
    <n v="30117"/>
    <n v="28244"/>
    <n v="438"/>
    <n v="0"/>
    <n v="32557"/>
    <n v="708"/>
    <m/>
    <m/>
    <m/>
    <n v="0"/>
    <n v="0"/>
    <n v="0"/>
    <n v="0"/>
    <n v="0"/>
    <n v="0"/>
    <n v="0"/>
    <n v="0"/>
    <n v="0"/>
    <n v="0"/>
    <n v="0"/>
    <m/>
    <n v="0"/>
    <m/>
  </r>
  <r>
    <x v="14"/>
    <s v="Patrick Henry Community College "/>
    <s v="Reclassified: Met the criteria for Two-Year 2 in 2009-10, 2010-11, and 2011-12."/>
    <n v="233019"/>
    <x v="7"/>
    <n v="76247"/>
    <n v="65095"/>
    <n v="40582"/>
    <n v="27821"/>
    <n v="12047"/>
    <n v="9870"/>
    <n v="22539"/>
    <n v="1079"/>
    <n v="0"/>
    <n v="25207"/>
    <n v="2197"/>
    <m/>
    <m/>
    <m/>
    <n v="0"/>
    <n v="0"/>
    <n v="0"/>
    <n v="0"/>
    <n v="0"/>
    <n v="0"/>
    <n v="0"/>
    <n v="0"/>
    <n v="0"/>
    <n v="0"/>
    <n v="0"/>
    <m/>
    <n v="0"/>
    <m/>
  </r>
  <r>
    <x v="14"/>
    <s v="Piedmont Virginia Community College "/>
    <m/>
    <n v="233116"/>
    <x v="7"/>
    <n v="88143"/>
    <n v="75059"/>
    <n v="63828"/>
    <n v="39726"/>
    <n v="11644"/>
    <n v="10088"/>
    <n v="12671"/>
    <n v="0"/>
    <n v="0"/>
    <n v="23333"/>
    <n v="1912"/>
    <m/>
    <m/>
    <m/>
    <n v="0"/>
    <n v="0"/>
    <n v="0"/>
    <n v="0"/>
    <n v="0"/>
    <n v="0"/>
    <n v="0"/>
    <n v="0"/>
    <n v="0"/>
    <n v="0"/>
    <n v="0"/>
    <m/>
    <n v="0"/>
    <m/>
  </r>
  <r>
    <x v="14"/>
    <s v="Southside Virginia Community College"/>
    <m/>
    <n v="233639"/>
    <x v="7"/>
    <n v="115613"/>
    <n v="91630"/>
    <n v="32261"/>
    <n v="64414"/>
    <n v="55544"/>
    <n v="11752"/>
    <n v="26485"/>
    <n v="1323"/>
    <n v="0"/>
    <n v="15052"/>
    <n v="412"/>
    <m/>
    <m/>
    <m/>
    <n v="0"/>
    <n v="0"/>
    <n v="0"/>
    <n v="0"/>
    <n v="0"/>
    <n v="0"/>
    <n v="0"/>
    <n v="0"/>
    <n v="0"/>
    <n v="0"/>
    <n v="0"/>
    <m/>
    <n v="0"/>
    <m/>
  </r>
  <r>
    <x v="14"/>
    <s v="Southwest Virginia Community College "/>
    <m/>
    <n v="233648"/>
    <x v="7"/>
    <n v="75145"/>
    <n v="120284"/>
    <n v="29666"/>
    <n v="31186"/>
    <n v="23308"/>
    <n v="58575"/>
    <n v="18796"/>
    <n v="3375"/>
    <n v="0"/>
    <n v="29145"/>
    <n v="1378"/>
    <m/>
    <m/>
    <m/>
    <n v="0"/>
    <n v="0"/>
    <n v="0"/>
    <n v="0"/>
    <n v="0"/>
    <n v="0"/>
    <n v="0"/>
    <n v="0"/>
    <n v="0"/>
    <n v="0"/>
    <n v="0"/>
    <m/>
    <n v="0"/>
    <m/>
  </r>
  <r>
    <x v="14"/>
    <s v="Virginia Western Community College "/>
    <m/>
    <n v="233949"/>
    <x v="7"/>
    <n v="147852"/>
    <n v="66830"/>
    <n v="97067"/>
    <n v="26128"/>
    <n v="22641"/>
    <n v="18665"/>
    <n v="21467"/>
    <n v="6677"/>
    <n v="0"/>
    <n v="18884"/>
    <n v="3153"/>
    <m/>
    <m/>
    <m/>
    <n v="0"/>
    <n v="0"/>
    <n v="0"/>
    <n v="0"/>
    <n v="0"/>
    <n v="0"/>
    <n v="0"/>
    <n v="0"/>
    <n v="0"/>
    <n v="0"/>
    <n v="0"/>
    <m/>
    <n v="0"/>
    <m/>
  </r>
  <r>
    <x v="14"/>
    <s v="Wytheville Community College "/>
    <s v="Reclassified: Met the criteria for Two-Year 2 in 2009-10, 2010-11, and 2011-12."/>
    <n v="234377"/>
    <x v="7"/>
    <n v="74124"/>
    <n v="72616"/>
    <n v="18220"/>
    <n v="16905"/>
    <n v="22192"/>
    <n v="19578"/>
    <n v="29253"/>
    <n v="4459"/>
    <n v="0"/>
    <n v="32402"/>
    <n v="3731"/>
    <m/>
    <m/>
    <m/>
    <n v="0"/>
    <n v="0"/>
    <n v="0"/>
    <n v="0"/>
    <n v="0"/>
    <n v="0"/>
    <n v="0"/>
    <n v="0"/>
    <n v="0"/>
    <n v="0"/>
    <n v="0"/>
    <m/>
    <n v="0"/>
    <m/>
  </r>
  <r>
    <x v="14"/>
    <s v="D.S. Lancaster Community College "/>
    <m/>
    <n v="231873"/>
    <x v="8"/>
    <n v="26089"/>
    <n v="147745"/>
    <n v="9774"/>
    <n v="97857"/>
    <n v="5978"/>
    <n v="21373"/>
    <n v="2487"/>
    <n v="7850"/>
    <n v="0"/>
    <n v="21550"/>
    <n v="6965"/>
    <m/>
    <m/>
    <m/>
    <n v="0"/>
    <n v="0"/>
    <n v="0"/>
    <n v="0"/>
    <n v="0"/>
    <n v="0"/>
    <n v="0"/>
    <n v="0"/>
    <n v="0"/>
    <n v="0"/>
    <n v="0"/>
    <m/>
    <n v="0"/>
    <m/>
  </r>
  <r>
    <x v="14"/>
    <s v="Eastern Shore Community College"/>
    <m/>
    <n v="232052"/>
    <x v="8"/>
    <n v="20534"/>
    <n v="26632"/>
    <n v="14384"/>
    <n v="9670"/>
    <n v="2661"/>
    <n v="6672"/>
    <n v="3489"/>
    <n v="0"/>
    <n v="0"/>
    <n v="2708"/>
    <n v="7582"/>
    <m/>
    <m/>
    <m/>
    <n v="0"/>
    <n v="0"/>
    <n v="0"/>
    <n v="0"/>
    <n v="0"/>
    <n v="0"/>
    <n v="0"/>
    <n v="0"/>
    <n v="0"/>
    <n v="0"/>
    <n v="0"/>
    <m/>
    <n v="0"/>
    <m/>
  </r>
  <r>
    <x v="14"/>
    <s v="Mountain Empire Community College"/>
    <s v="Met the criteria for Two-Year 2 in 2010-11 and 2011-12."/>
    <n v="232788"/>
    <x v="8"/>
    <n v="65947"/>
    <n v="20212"/>
    <n v="29771"/>
    <n v="14180"/>
    <n v="10524"/>
    <n v="2383"/>
    <n v="23917"/>
    <n v="1735"/>
    <n v="0"/>
    <n v="3649"/>
    <n v="0"/>
    <m/>
    <m/>
    <m/>
    <n v="0"/>
    <n v="0"/>
    <n v="0"/>
    <n v="0"/>
    <n v="0"/>
    <n v="0"/>
    <n v="0"/>
    <n v="0"/>
    <n v="0"/>
    <n v="0"/>
    <n v="0"/>
    <m/>
    <n v="0"/>
    <m/>
  </r>
  <r>
    <x v="14"/>
    <s v="Paul D. Camp Community College"/>
    <m/>
    <n v="233037"/>
    <x v="8"/>
    <n v="30751"/>
    <n v="33209"/>
    <n v="17424"/>
    <n v="17625"/>
    <n v="5763"/>
    <n v="5671"/>
    <n v="6406"/>
    <n v="1158"/>
    <n v="0"/>
    <n v="7655"/>
    <n v="2258"/>
    <m/>
    <m/>
    <m/>
    <n v="0"/>
    <n v="0"/>
    <n v="0"/>
    <n v="0"/>
    <n v="0"/>
    <n v="0"/>
    <n v="0"/>
    <n v="0"/>
    <n v="0"/>
    <n v="0"/>
    <n v="0"/>
    <m/>
    <n v="0"/>
    <m/>
  </r>
  <r>
    <x v="14"/>
    <s v="Rappahannock Community College"/>
    <s v="Met the criteria for Two-Year 2 in 2011-12."/>
    <n v="233310"/>
    <x v="8"/>
    <n v="58268"/>
    <n v="60806"/>
    <n v="16725"/>
    <n v="17501"/>
    <n v="16035"/>
    <n v="16122"/>
    <n v="12884"/>
    <n v="12624"/>
    <n v="0"/>
    <n v="15331"/>
    <n v="11852"/>
    <m/>
    <m/>
    <m/>
    <n v="0"/>
    <n v="0"/>
    <n v="0"/>
    <n v="0"/>
    <n v="0"/>
    <n v="0"/>
    <n v="0"/>
    <n v="0"/>
    <n v="0"/>
    <n v="0"/>
    <n v="0"/>
    <m/>
    <n v="0"/>
    <m/>
  </r>
  <r>
    <x v="14"/>
    <s v="Richard Bland College "/>
    <m/>
    <n v="233338"/>
    <x v="8"/>
    <n v="35209"/>
    <n v="35253"/>
    <n v="32786"/>
    <n v="32172"/>
    <n v="1572"/>
    <n v="2100"/>
    <n v="851"/>
    <n v="0"/>
    <n v="0"/>
    <n v="981"/>
    <n v="0"/>
    <m/>
    <m/>
    <m/>
    <n v="0"/>
    <n v="0"/>
    <n v="0"/>
    <n v="0"/>
    <n v="0"/>
    <n v="0"/>
    <n v="0"/>
    <n v="0"/>
    <n v="0"/>
    <n v="0"/>
    <n v="0"/>
    <m/>
    <n v="0"/>
    <m/>
  </r>
  <r>
    <x v="14"/>
    <s v="Virginia Highlands Community College "/>
    <m/>
    <n v="233903"/>
    <x v="8"/>
    <n v="56123"/>
    <n v="54973"/>
    <n v="34830"/>
    <n v="32955"/>
    <n v="7037"/>
    <n v="7638"/>
    <n v="11977"/>
    <n v="2279"/>
    <n v="0"/>
    <n v="12204"/>
    <n v="2176"/>
    <m/>
    <m/>
    <m/>
    <n v="0"/>
    <n v="0"/>
    <n v="0"/>
    <n v="0"/>
    <n v="0"/>
    <n v="0"/>
    <n v="0"/>
    <n v="0"/>
    <n v="0"/>
    <n v="0"/>
    <n v="0"/>
    <m/>
    <n v="0"/>
    <m/>
  </r>
  <r>
    <x v="15"/>
    <s v="West Virginia University"/>
    <m/>
    <n v="238032"/>
    <x v="0"/>
    <n v="650374"/>
    <n v="662072"/>
    <n v="606693"/>
    <n v="612957"/>
    <n v="1175"/>
    <n v="1533"/>
    <n v="39902"/>
    <m/>
    <n v="2604"/>
    <n v="44920"/>
    <n v="24"/>
    <n v="2638"/>
    <m/>
    <m/>
    <n v="112337"/>
    <n v="111929"/>
    <n v="74358"/>
    <n v="73384"/>
    <n v="10645"/>
    <n v="10052"/>
    <n v="24476"/>
    <n v="2395"/>
    <n v="463"/>
    <n v="27481"/>
    <n v="830"/>
    <n v="182"/>
    <m/>
    <m/>
  </r>
  <r>
    <x v="15"/>
    <s v="Marshall University "/>
    <m/>
    <n v="237525"/>
    <x v="2"/>
    <n v="268026"/>
    <n v="274112"/>
    <n v="218335"/>
    <n v="219156"/>
    <n v="14845"/>
    <n v="16098"/>
    <n v="34600"/>
    <n v="246"/>
    <m/>
    <n v="37728"/>
    <n v="1130"/>
    <m/>
    <m/>
    <m/>
    <n v="55610"/>
    <n v="55072"/>
    <n v="18341"/>
    <n v="16283"/>
    <n v="24862"/>
    <n v="27662"/>
    <n v="11933"/>
    <n v="474"/>
    <m/>
    <n v="10989"/>
    <n v="138"/>
    <m/>
    <m/>
    <m/>
  </r>
  <r>
    <x v="15"/>
    <s v="Fairmont State University"/>
    <m/>
    <n v="237367"/>
    <x v="4"/>
    <n v="120046"/>
    <n v="119371"/>
    <n v="91278"/>
    <n v="90202"/>
    <n v="14672"/>
    <n v="14854"/>
    <n v="14096"/>
    <m/>
    <m/>
    <n v="14315"/>
    <m/>
    <m/>
    <m/>
    <m/>
    <n v="5087"/>
    <n v="5208"/>
    <n v="1281"/>
    <n v="1226"/>
    <m/>
    <m/>
    <n v="3806"/>
    <m/>
    <m/>
    <n v="3982"/>
    <m/>
    <m/>
    <m/>
    <m/>
  </r>
  <r>
    <x v="15"/>
    <s v="Shepherd University "/>
    <m/>
    <n v="237792"/>
    <x v="4"/>
    <n v="109161"/>
    <n v="111796"/>
    <n v="107461"/>
    <n v="110273"/>
    <m/>
    <m/>
    <n v="1700"/>
    <m/>
    <m/>
    <n v="1523"/>
    <m/>
    <m/>
    <m/>
    <m/>
    <n v="3486"/>
    <n v="3877"/>
    <n v="3132"/>
    <n v="3511"/>
    <m/>
    <m/>
    <n v="354"/>
    <m/>
    <m/>
    <n v="366"/>
    <m/>
    <m/>
    <m/>
    <m/>
  </r>
  <r>
    <x v="15"/>
    <s v="Bluefield State College "/>
    <m/>
    <n v="237215"/>
    <x v="5"/>
    <n v="56036"/>
    <n v="53681"/>
    <n v="34354"/>
    <n v="30505"/>
    <n v="2743"/>
    <n v="3414"/>
    <n v="16285"/>
    <n v="2654"/>
    <m/>
    <n v="16079"/>
    <n v="3683"/>
    <m/>
    <m/>
    <m/>
    <n v="0"/>
    <n v="0"/>
    <m/>
    <m/>
    <m/>
    <m/>
    <m/>
    <m/>
    <m/>
    <m/>
    <m/>
    <m/>
    <m/>
    <m/>
  </r>
  <r>
    <x v="15"/>
    <s v="Concord University "/>
    <m/>
    <n v="237330"/>
    <x v="5"/>
    <n v="80188"/>
    <n v="81167"/>
    <n v="65734"/>
    <n v="64357"/>
    <n v="10548"/>
    <n v="10958"/>
    <n v="3248"/>
    <n v="400"/>
    <n v="258"/>
    <n v="5259"/>
    <n v="593"/>
    <m/>
    <m/>
    <m/>
    <n v="2898"/>
    <n v="4326"/>
    <n v="165"/>
    <n v="363"/>
    <n v="342"/>
    <n v="732"/>
    <n v="2391"/>
    <m/>
    <m/>
    <n v="3231"/>
    <m/>
    <m/>
    <m/>
    <m/>
  </r>
  <r>
    <x v="15"/>
    <s v="Glenville State College "/>
    <m/>
    <n v="237385"/>
    <x v="5"/>
    <n v="44658"/>
    <n v="45017"/>
    <n v="34424"/>
    <n v="34308"/>
    <n v="4693"/>
    <n v="5066"/>
    <n v="5541"/>
    <m/>
    <m/>
    <n v="5643"/>
    <m/>
    <m/>
    <m/>
    <m/>
    <n v="0"/>
    <n v="0"/>
    <m/>
    <m/>
    <m/>
    <m/>
    <m/>
    <m/>
    <m/>
    <m/>
    <m/>
    <m/>
    <m/>
    <m/>
  </r>
  <r>
    <x v="15"/>
    <s v="West Liberty University"/>
    <m/>
    <n v="237932"/>
    <x v="5"/>
    <n v="76144"/>
    <n v="76878"/>
    <n v="67505"/>
    <n v="66294"/>
    <n v="4721"/>
    <n v="4492"/>
    <n v="3918"/>
    <m/>
    <m/>
    <n v="6092"/>
    <m/>
    <m/>
    <m/>
    <m/>
    <n v="1122"/>
    <n v="1020"/>
    <n v="51"/>
    <n v="24"/>
    <n v="1071"/>
    <n v="966"/>
    <m/>
    <m/>
    <m/>
    <n v="30"/>
    <m/>
    <m/>
    <m/>
    <m/>
  </r>
  <r>
    <x v="15"/>
    <s v="West Virginia State University "/>
    <m/>
    <n v="237899"/>
    <x v="5"/>
    <n v="76697"/>
    <n v="69990"/>
    <n v="68122"/>
    <n v="58141"/>
    <n v="2359"/>
    <n v="2294"/>
    <n v="6216"/>
    <m/>
    <m/>
    <n v="9555"/>
    <m/>
    <m/>
    <m/>
    <m/>
    <n v="757"/>
    <n v="710"/>
    <n v="757"/>
    <n v="626"/>
    <m/>
    <m/>
    <m/>
    <m/>
    <m/>
    <n v="84"/>
    <m/>
    <m/>
    <m/>
    <m/>
  </r>
  <r>
    <x v="15"/>
    <s v="West Virginia University Institute of Technology"/>
    <m/>
    <n v="237950"/>
    <x v="5"/>
    <n v="32269"/>
    <n v="32977"/>
    <n v="29837"/>
    <n v="30082"/>
    <n v="936"/>
    <n v="1123"/>
    <n v="1496"/>
    <m/>
    <m/>
    <n v="1735"/>
    <m/>
    <n v="37"/>
    <m/>
    <m/>
    <n v="0"/>
    <n v="0"/>
    <m/>
    <m/>
    <m/>
    <m/>
    <m/>
    <m/>
    <m/>
    <m/>
    <m/>
    <m/>
    <m/>
    <m/>
  </r>
  <r>
    <x v="15"/>
    <s v="Potomac State College of West Virginia University"/>
    <m/>
    <n v="237701"/>
    <x v="11"/>
    <n v="44503"/>
    <n v="45062"/>
    <n v="39718"/>
    <n v="39714"/>
    <n v="3084"/>
    <n v="3169"/>
    <n v="1701"/>
    <m/>
    <m/>
    <n v="2177"/>
    <m/>
    <n v="2"/>
    <m/>
    <m/>
    <n v="0"/>
    <n v="0"/>
    <m/>
    <m/>
    <m/>
    <m/>
    <m/>
    <m/>
    <m/>
    <m/>
    <m/>
    <m/>
    <m/>
    <m/>
  </r>
  <r>
    <x v="15"/>
    <s v="West Virginia University at Parkersburg"/>
    <m/>
    <n v="237686"/>
    <x v="11"/>
    <n v="105288"/>
    <n v="103504"/>
    <n v="63066"/>
    <n v="58448"/>
    <n v="16754"/>
    <n v="15846"/>
    <n v="24240"/>
    <m/>
    <n v="1228"/>
    <n v="28059"/>
    <m/>
    <n v="1151"/>
    <m/>
    <m/>
    <n v="0"/>
    <n v="0"/>
    <m/>
    <m/>
    <m/>
    <m/>
    <m/>
    <m/>
    <m/>
    <m/>
    <m/>
    <m/>
    <m/>
    <m/>
  </r>
  <r>
    <x v="15"/>
    <s v="West Virginia Northern Community College"/>
    <s v="Reclassified: met the criteria for Two-Year 2 in 2009-10, 2010-11 and 2011-12."/>
    <n v="238014"/>
    <x v="7"/>
    <n v="76666"/>
    <n v="71666"/>
    <n v="64578"/>
    <n v="54256"/>
    <m/>
    <m/>
    <n v="9569"/>
    <n v="2519"/>
    <m/>
    <n v="15446"/>
    <n v="1964"/>
    <m/>
    <m/>
    <m/>
    <n v="0"/>
    <n v="0"/>
    <m/>
    <m/>
    <m/>
    <m/>
    <m/>
    <m/>
    <m/>
    <m/>
    <m/>
    <m/>
    <m/>
    <m/>
  </r>
  <r>
    <x v="15"/>
    <s v="Blue Ridge Community &amp; Technical College"/>
    <m/>
    <n v="446774"/>
    <x v="8"/>
    <n v="51702"/>
    <n v="57685"/>
    <n v="26465"/>
    <n v="34001"/>
    <n v="16456"/>
    <n v="12058"/>
    <n v="8445"/>
    <m/>
    <m/>
    <n v="11494"/>
    <m/>
    <n v="132"/>
    <n v="336"/>
    <m/>
    <n v="0"/>
    <n v="0"/>
    <m/>
    <m/>
    <m/>
    <m/>
    <m/>
    <m/>
    <m/>
    <m/>
    <m/>
    <m/>
    <m/>
    <m/>
  </r>
  <r>
    <x v="15"/>
    <s v="Bridgemont Community &amp; Technical College"/>
    <m/>
    <n v="445674"/>
    <x v="8"/>
    <n v="17510"/>
    <n v="17632"/>
    <n v="13773"/>
    <n v="14010"/>
    <n v="730"/>
    <n v="753"/>
    <n v="3007"/>
    <m/>
    <m/>
    <n v="2869"/>
    <m/>
    <m/>
    <m/>
    <m/>
    <n v="0"/>
    <n v="0"/>
    <m/>
    <m/>
    <m/>
    <m/>
    <m/>
    <m/>
    <m/>
    <m/>
    <m/>
    <m/>
    <m/>
    <m/>
  </r>
  <r>
    <x v="15"/>
    <s v="Eastern West Virginia Community &amp; Technical College"/>
    <m/>
    <n v="438708"/>
    <x v="8"/>
    <n v="10754"/>
    <n v="12550"/>
    <n v="6168"/>
    <n v="6820"/>
    <n v="2071"/>
    <n v="2718"/>
    <n v="2449"/>
    <n v="66"/>
    <m/>
    <n v="2823"/>
    <n v="189"/>
    <m/>
    <m/>
    <m/>
    <n v="0"/>
    <n v="0"/>
    <m/>
    <m/>
    <m/>
    <m/>
    <m/>
    <m/>
    <m/>
    <m/>
    <m/>
    <m/>
    <m/>
    <m/>
  </r>
  <r>
    <x v="15"/>
    <s v="Kanawha Valley Community &amp; Technical College"/>
    <m/>
    <n v="445018"/>
    <x v="8"/>
    <n v="36892"/>
    <n v="37414"/>
    <n v="31293"/>
    <n v="31725"/>
    <n v="1767"/>
    <n v="2133"/>
    <n v="3832"/>
    <m/>
    <m/>
    <n v="3556"/>
    <m/>
    <m/>
    <m/>
    <m/>
    <n v="0"/>
    <n v="0"/>
    <m/>
    <m/>
    <m/>
    <m/>
    <m/>
    <m/>
    <m/>
    <m/>
    <m/>
    <m/>
    <m/>
    <m/>
  </r>
  <r>
    <x v="15"/>
    <s v="Mountwest Community &amp; Technical College"/>
    <m/>
    <n v="444954"/>
    <x v="8"/>
    <n v="57724"/>
    <n v="59067"/>
    <n v="30220"/>
    <n v="30412"/>
    <n v="17057"/>
    <n v="17059"/>
    <n v="10447"/>
    <m/>
    <m/>
    <n v="11596"/>
    <m/>
    <m/>
    <m/>
    <m/>
    <n v="0"/>
    <n v="0"/>
    <m/>
    <m/>
    <m/>
    <m/>
    <m/>
    <m/>
    <m/>
    <m/>
    <m/>
    <m/>
    <m/>
    <m/>
  </r>
  <r>
    <x v="15"/>
    <s v="New River Community &amp; Technical College"/>
    <s v="Met criteria for Two-Year 2 in 2010-11 and 2011-12."/>
    <n v="447582"/>
    <x v="8"/>
    <n v="66980"/>
    <n v="63534"/>
    <n v="43791"/>
    <n v="38629"/>
    <n v="5903"/>
    <n v="6848"/>
    <n v="13126"/>
    <n v="4124"/>
    <n v="36"/>
    <n v="13089"/>
    <n v="4914"/>
    <n v="54"/>
    <m/>
    <m/>
    <n v="0"/>
    <n v="0"/>
    <m/>
    <m/>
    <m/>
    <m/>
    <m/>
    <m/>
    <m/>
    <m/>
    <m/>
    <m/>
    <m/>
    <m/>
  </r>
  <r>
    <x v="15"/>
    <s v="Pierpont Community &amp; Technical College"/>
    <s v="Met criteria for Two-Year 2 in 2010-11 and 2011-12."/>
    <n v="443492"/>
    <x v="8"/>
    <n v="65108"/>
    <n v="68299"/>
    <n v="34513"/>
    <n v="35395"/>
    <n v="23070"/>
    <n v="24888"/>
    <n v="7525"/>
    <m/>
    <m/>
    <n v="8016"/>
    <m/>
    <m/>
    <m/>
    <m/>
    <n v="0"/>
    <n v="0"/>
    <m/>
    <m/>
    <m/>
    <m/>
    <m/>
    <m/>
    <m/>
    <m/>
    <m/>
    <m/>
    <m/>
    <m/>
  </r>
  <r>
    <x v="15"/>
    <s v="Southern West Virginia Community &amp; Technical College "/>
    <m/>
    <n v="237817"/>
    <x v="8"/>
    <n v="51996"/>
    <n v="49297"/>
    <n v="38961"/>
    <n v="35936"/>
    <n v="3577"/>
    <n v="3956"/>
    <n v="6090"/>
    <n v="3368"/>
    <m/>
    <n v="7567"/>
    <n v="1838"/>
    <m/>
    <m/>
    <m/>
    <n v="0"/>
    <n v="0"/>
    <m/>
    <m/>
    <m/>
    <m/>
    <m/>
    <m/>
    <m/>
    <m/>
    <m/>
    <m/>
    <m/>
    <m/>
  </r>
</pivotCacheRecords>
</file>

<file path=xl/pivotCache/pivotCacheRecords2.xml><?xml version="1.0" encoding="utf-8"?>
<pivotCacheRecords xmlns="http://schemas.openxmlformats.org/spreadsheetml/2006/main" xmlns:r="http://schemas.openxmlformats.org/officeDocument/2006/relationships" count="614">
  <r>
    <x v="0"/>
    <s v="Auburn University"/>
    <m/>
    <n v="100858"/>
    <x v="0"/>
    <n v="593278"/>
    <n v="594315"/>
    <n v="587042"/>
    <n v="584270"/>
    <n v="0"/>
    <m/>
    <n v="1355"/>
    <m/>
    <n v="4881"/>
    <n v="1801"/>
    <m/>
    <n v="8244"/>
    <m/>
    <m/>
    <n v="95050"/>
    <n v="111608"/>
    <n v="82043"/>
    <n v="98049"/>
    <n v="1872"/>
    <n v="2053"/>
    <n v="2111"/>
    <m/>
    <n v="9024"/>
    <n v="1998"/>
    <m/>
    <n v="9508"/>
    <m/>
    <m/>
  </r>
  <r>
    <x v="0"/>
    <s v="University of Alabama "/>
    <m/>
    <n v="100751"/>
    <x v="0"/>
    <n v="730281"/>
    <n v="779443"/>
    <n v="684175"/>
    <n v="725189"/>
    <n v="180"/>
    <n v="154"/>
    <n v="45450"/>
    <n v="476"/>
    <n v="0"/>
    <n v="53661"/>
    <n v="388"/>
    <n v="51"/>
    <n v="0"/>
    <m/>
    <n v="99028"/>
    <n v="98561"/>
    <n v="80866"/>
    <n v="79754"/>
    <n v="5125"/>
    <n v="3776"/>
    <n v="12701"/>
    <n v="336"/>
    <n v="0"/>
    <n v="14686"/>
    <n v="339"/>
    <n v="6"/>
    <n v="0"/>
    <m/>
  </r>
  <r>
    <x v="0"/>
    <s v="University of Alabama at Birmingham"/>
    <s v="Reclassified: met the criteria for Four-Year 2 in 2010-11, 2011-12, and 2012-13."/>
    <n v="100663"/>
    <x v="1"/>
    <n v="265083"/>
    <n v="267220"/>
    <n v="237131"/>
    <n v="228637"/>
    <n v="182"/>
    <n v="517"/>
    <n v="27629"/>
    <n v="141"/>
    <n v="0"/>
    <n v="37915"/>
    <n v="151"/>
    <m/>
    <m/>
    <m/>
    <n v="46544"/>
    <n v="45412"/>
    <n v="38860"/>
    <n v="36341"/>
    <n v="1178"/>
    <n v="719"/>
    <n v="6359"/>
    <n v="147"/>
    <n v="0"/>
    <n v="8178"/>
    <n v="174"/>
    <m/>
    <m/>
    <m/>
  </r>
  <r>
    <x v="0"/>
    <s v="University of Alabama in Huntsville"/>
    <m/>
    <n v="100706"/>
    <x v="1"/>
    <n v="155382"/>
    <n v="154824"/>
    <n v="152840"/>
    <n v="152187"/>
    <m/>
    <m/>
    <n v="2542"/>
    <m/>
    <m/>
    <n v="2637"/>
    <m/>
    <m/>
    <m/>
    <m/>
    <n v="23176"/>
    <n v="24968"/>
    <n v="19268"/>
    <n v="20708"/>
    <m/>
    <m/>
    <n v="3908"/>
    <m/>
    <m/>
    <n v="4260"/>
    <m/>
    <m/>
    <m/>
    <m/>
  </r>
  <r>
    <x v="0"/>
    <s v="Alabama Agricultural &amp; Mechanical University"/>
    <m/>
    <n v="100654"/>
    <x v="2"/>
    <n v="140916"/>
    <n v="113413"/>
    <n v="140916"/>
    <n v="112627"/>
    <m/>
    <n v="0"/>
    <m/>
    <m/>
    <m/>
    <n v="786"/>
    <m/>
    <m/>
    <m/>
    <m/>
    <n v="17299"/>
    <n v="14152"/>
    <n v="17299"/>
    <n v="14101"/>
    <m/>
    <n v="0"/>
    <m/>
    <m/>
    <m/>
    <n v="51"/>
    <m/>
    <m/>
    <m/>
    <m/>
  </r>
  <r>
    <x v="0"/>
    <s v="Jacksonville State University "/>
    <m/>
    <n v="101480"/>
    <x v="2"/>
    <n v="213835"/>
    <n v="211311"/>
    <n v="168492"/>
    <n v="163559"/>
    <n v="3711"/>
    <n v="2886"/>
    <n v="39076"/>
    <n v="2556"/>
    <n v="0"/>
    <n v="42650"/>
    <n v="2216"/>
    <m/>
    <m/>
    <m/>
    <n v="21835"/>
    <n v="6044"/>
    <n v="10251"/>
    <n v="6044"/>
    <n v="0"/>
    <m/>
    <n v="11530"/>
    <n v="54"/>
    <n v="0"/>
    <m/>
    <m/>
    <m/>
    <m/>
    <m/>
  </r>
  <r>
    <x v="0"/>
    <s v="Troy University"/>
    <m/>
    <n v="102368"/>
    <x v="2"/>
    <n v="382545"/>
    <n v="295437"/>
    <n v="241718"/>
    <n v="217477"/>
    <n v="2791"/>
    <n v="1219"/>
    <n v="137892"/>
    <n v="0"/>
    <n v="144"/>
    <n v="76237"/>
    <m/>
    <n v="504"/>
    <n v="0"/>
    <m/>
    <n v="53610"/>
    <n v="39493"/>
    <n v="29214"/>
    <n v="24496"/>
    <n v="930"/>
    <n v="243"/>
    <n v="20382"/>
    <n v="0"/>
    <n v="3084"/>
    <n v="13182"/>
    <m/>
    <n v="1572"/>
    <n v="0"/>
    <m/>
  </r>
  <r>
    <x v="0"/>
    <s v="University of South Alabama"/>
    <m/>
    <n v="102094"/>
    <x v="2"/>
    <n v="272824"/>
    <n v="269075"/>
    <n v="244935"/>
    <n v="243213"/>
    <n v="384"/>
    <n v="266"/>
    <n v="27505"/>
    <m/>
    <m/>
    <n v="25596"/>
    <m/>
    <m/>
    <m/>
    <m/>
    <n v="16843"/>
    <n v="15249"/>
    <n v="12117"/>
    <n v="11092"/>
    <n v="0"/>
    <m/>
    <n v="4726"/>
    <m/>
    <m/>
    <n v="4157"/>
    <m/>
    <m/>
    <m/>
    <m/>
  </r>
  <r>
    <x v="0"/>
    <s v="Alabama State University "/>
    <m/>
    <n v="100724"/>
    <x v="3"/>
    <n v="156341"/>
    <n v="154272"/>
    <n v="153807"/>
    <n v="145743"/>
    <m/>
    <n v="114"/>
    <n v="2534"/>
    <m/>
    <m/>
    <n v="8415"/>
    <m/>
    <m/>
    <m/>
    <m/>
    <n v="15442"/>
    <n v="14063"/>
    <n v="10704"/>
    <n v="10718"/>
    <n v="104"/>
    <n v="249"/>
    <n v="4634"/>
    <m/>
    <m/>
    <n v="3096"/>
    <m/>
    <m/>
    <m/>
    <m/>
  </r>
  <r>
    <x v="0"/>
    <s v="Auburn University at Montgomery"/>
    <m/>
    <n v="100830"/>
    <x v="3"/>
    <n v="114305"/>
    <n v="109035.5"/>
    <n v="95878"/>
    <n v="82228"/>
    <n v="3610"/>
    <n v="2939"/>
    <n v="14817"/>
    <n v="0"/>
    <n v="0"/>
    <n v="23868.5"/>
    <m/>
    <m/>
    <n v="0"/>
    <m/>
    <n v="14461"/>
    <n v="13044"/>
    <n v="10012"/>
    <n v="8142"/>
    <n v="99"/>
    <n v="159"/>
    <n v="4350"/>
    <n v="0"/>
    <n v="0"/>
    <n v="4743"/>
    <m/>
    <m/>
    <n v="0"/>
    <m/>
  </r>
  <r>
    <x v="0"/>
    <s v="University of North Alabama"/>
    <m/>
    <n v="101879"/>
    <x v="3"/>
    <n v="161595"/>
    <n v="158715"/>
    <n v="135985"/>
    <n v="131422"/>
    <m/>
    <n v="162"/>
    <n v="25610"/>
    <m/>
    <m/>
    <n v="27131"/>
    <m/>
    <m/>
    <m/>
    <m/>
    <n v="15321"/>
    <n v="15238"/>
    <n v="5784"/>
    <n v="4986"/>
    <n v="2865"/>
    <n v="2543"/>
    <n v="6672"/>
    <m/>
    <m/>
    <n v="7709"/>
    <m/>
    <m/>
    <m/>
    <m/>
  </r>
  <r>
    <x v="0"/>
    <s v="University of Montevallo"/>
    <m/>
    <n v="101709"/>
    <x v="4"/>
    <n v="72476"/>
    <n v="72741"/>
    <n v="70485"/>
    <n v="71221"/>
    <n v="147"/>
    <n v="174"/>
    <n v="1844"/>
    <m/>
    <m/>
    <n v="1346"/>
    <m/>
    <m/>
    <m/>
    <m/>
    <n v="11700"/>
    <n v="9214"/>
    <n v="9958"/>
    <n v="7468"/>
    <n v="501"/>
    <n v="219"/>
    <n v="1241"/>
    <m/>
    <m/>
    <n v="1527"/>
    <m/>
    <m/>
    <m/>
    <m/>
  </r>
  <r>
    <x v="0"/>
    <s v="University of West Alabama"/>
    <m/>
    <n v="101587"/>
    <x v="4"/>
    <n v="52280"/>
    <n v="53001"/>
    <n v="47725"/>
    <n v="48129"/>
    <n v="652"/>
    <n v="438"/>
    <n v="3903"/>
    <m/>
    <m/>
    <n v="4434"/>
    <m/>
    <m/>
    <m/>
    <m/>
    <n v="46585"/>
    <n v="44436"/>
    <n v="5125"/>
    <n v="5028"/>
    <n v="54"/>
    <n v="37"/>
    <n v="41406"/>
    <m/>
    <m/>
    <n v="39371"/>
    <m/>
    <m/>
    <m/>
    <m/>
  </r>
  <r>
    <x v="0"/>
    <s v="Athens State University"/>
    <m/>
    <n v="100812"/>
    <x v="5"/>
    <n v="85702"/>
    <n v="83586"/>
    <n v="20717"/>
    <n v="28246"/>
    <n v="3828"/>
    <n v="5330"/>
    <n v="61157"/>
    <m/>
    <m/>
    <n v="50010"/>
    <m/>
    <m/>
    <m/>
    <m/>
    <n v="0"/>
    <n v="0"/>
    <m/>
    <m/>
    <m/>
    <m/>
    <m/>
    <m/>
    <m/>
    <m/>
    <m/>
    <m/>
    <m/>
    <m/>
  </r>
  <r>
    <x v="0"/>
    <s v="Gadsden State Community College"/>
    <m/>
    <n v="101240"/>
    <x v="6"/>
    <n v="175612"/>
    <n v="151427"/>
    <n v="56761"/>
    <n v="121517"/>
    <n v="82100"/>
    <n v="52"/>
    <n v="36631"/>
    <n v="60"/>
    <n v="60"/>
    <n v="29827"/>
    <m/>
    <n v="31"/>
    <m/>
    <m/>
    <n v="0"/>
    <n v="0"/>
    <m/>
    <m/>
    <m/>
    <m/>
    <m/>
    <m/>
    <m/>
    <m/>
    <m/>
    <m/>
    <m/>
    <m/>
  </r>
  <r>
    <x v="0"/>
    <s v="Jefferson State Community College"/>
    <m/>
    <n v="101505"/>
    <x v="6"/>
    <n v="202921"/>
    <n v="189029"/>
    <n v="133695"/>
    <n v="117372"/>
    <n v="24210"/>
    <n v="24004"/>
    <n v="43392"/>
    <n v="1624"/>
    <n v="0"/>
    <n v="46151"/>
    <n v="1502"/>
    <m/>
    <m/>
    <m/>
    <n v="0"/>
    <n v="0"/>
    <m/>
    <m/>
    <m/>
    <m/>
    <m/>
    <m/>
    <m/>
    <m/>
    <m/>
    <m/>
    <m/>
    <m/>
  </r>
  <r>
    <x v="0"/>
    <s v="John C. Calhoun State Community College "/>
    <m/>
    <n v="101514"/>
    <x v="6"/>
    <n v="262124"/>
    <n v="246598"/>
    <n v="203325"/>
    <n v="193121"/>
    <n v="5130"/>
    <n v="2991"/>
    <n v="31317"/>
    <n v="0"/>
    <n v="22352"/>
    <n v="37652"/>
    <m/>
    <n v="12834"/>
    <m/>
    <m/>
    <n v="0"/>
    <n v="0"/>
    <m/>
    <m/>
    <m/>
    <m/>
    <m/>
    <m/>
    <m/>
    <m/>
    <m/>
    <m/>
    <m/>
    <m/>
  </r>
  <r>
    <x v="0"/>
    <s v="Wallace Community College - Hanceville"/>
    <s v="Met the criteria for Two-Year 2 in 2012-13."/>
    <n v="101295"/>
    <x v="6"/>
    <n v="160667"/>
    <n v="146585"/>
    <n v="124287"/>
    <n v="123755"/>
    <n v="8717"/>
    <n v="4189"/>
    <n v="27606"/>
    <n v="0"/>
    <n v="57"/>
    <n v="18555"/>
    <n v="62"/>
    <n v="24"/>
    <m/>
    <m/>
    <n v="0"/>
    <n v="0"/>
    <m/>
    <m/>
    <m/>
    <m/>
    <m/>
    <m/>
    <m/>
    <m/>
    <m/>
    <m/>
    <m/>
    <m/>
  </r>
  <r>
    <x v="0"/>
    <s v="Bevill State Community College"/>
    <m/>
    <n v="102429"/>
    <x v="7"/>
    <n v="107951"/>
    <n v="92494"/>
    <n v="30859"/>
    <n v="25629"/>
    <n v="56848"/>
    <n v="45213"/>
    <n v="16317"/>
    <n v="3927"/>
    <n v="0"/>
    <n v="17559"/>
    <n v="4093"/>
    <m/>
    <m/>
    <m/>
    <n v="0"/>
    <n v="0"/>
    <m/>
    <m/>
    <m/>
    <m/>
    <m/>
    <m/>
    <m/>
    <m/>
    <m/>
    <m/>
    <m/>
    <m/>
  </r>
  <r>
    <x v="0"/>
    <s v="Bishop State Community College"/>
    <m/>
    <n v="102030"/>
    <x v="7"/>
    <n v="90362"/>
    <n v="86829"/>
    <n v="81066"/>
    <n v="77325"/>
    <n v="1131"/>
    <n v="1397"/>
    <n v="7055"/>
    <n v="0"/>
    <n v="1110"/>
    <n v="7227"/>
    <m/>
    <n v="880"/>
    <m/>
    <m/>
    <n v="0"/>
    <n v="0"/>
    <m/>
    <m/>
    <m/>
    <m/>
    <m/>
    <m/>
    <m/>
    <m/>
    <m/>
    <m/>
    <m/>
    <m/>
  </r>
  <r>
    <x v="0"/>
    <s v="Central Alabama Community College"/>
    <s v="Met the criteria for Two-Year 3 in 2012-13."/>
    <n v="100760"/>
    <x v="7"/>
    <n v="62427"/>
    <n v="51857"/>
    <n v="41513"/>
    <n v="37736"/>
    <n v="7097"/>
    <n v="3256"/>
    <n v="13810"/>
    <n v="0"/>
    <n v="0"/>
    <n v="10865"/>
    <m/>
    <m/>
    <n v="7"/>
    <m/>
    <n v="0"/>
    <n v="0"/>
    <m/>
    <m/>
    <m/>
    <m/>
    <m/>
    <m/>
    <m/>
    <m/>
    <m/>
    <m/>
    <m/>
    <m/>
  </r>
  <r>
    <x v="0"/>
    <s v="Enterprise State Community College"/>
    <m/>
    <n v="101143"/>
    <x v="7"/>
    <n v="81749"/>
    <n v="70063"/>
    <n v="63546"/>
    <n v="60332"/>
    <n v="11301"/>
    <n v="2297"/>
    <n v="6902"/>
    <n v="0"/>
    <n v="0"/>
    <n v="7434"/>
    <m/>
    <m/>
    <m/>
    <m/>
    <n v="0"/>
    <n v="0"/>
    <m/>
    <m/>
    <m/>
    <m/>
    <m/>
    <m/>
    <m/>
    <m/>
    <m/>
    <m/>
    <m/>
    <m/>
  </r>
  <r>
    <x v="0"/>
    <s v="George C. Wallace State Community College - Dothan"/>
    <m/>
    <n v="101286"/>
    <x v="7"/>
    <n v="125259"/>
    <n v="109789"/>
    <n v="84094"/>
    <n v="82460"/>
    <n v="18691"/>
    <n v="6418"/>
    <n v="22474"/>
    <n v="0"/>
    <n v="0"/>
    <n v="20911"/>
    <m/>
    <m/>
    <m/>
    <m/>
    <n v="0"/>
    <n v="0"/>
    <m/>
    <m/>
    <m/>
    <m/>
    <m/>
    <m/>
    <m/>
    <m/>
    <m/>
    <m/>
    <m/>
    <m/>
  </r>
  <r>
    <x v="0"/>
    <s v="James H. Faulkner State Community College"/>
    <m/>
    <n v="101161"/>
    <x v="7"/>
    <n v="117734"/>
    <n v="116268"/>
    <n v="51533"/>
    <n v="54397"/>
    <n v="36358"/>
    <n v="38079"/>
    <n v="22120"/>
    <m/>
    <n v="7723"/>
    <n v="22229"/>
    <m/>
    <n v="1563"/>
    <m/>
    <m/>
    <n v="0"/>
    <n v="0"/>
    <m/>
    <m/>
    <m/>
    <m/>
    <m/>
    <m/>
    <m/>
    <m/>
    <m/>
    <m/>
    <m/>
    <m/>
  </r>
  <r>
    <x v="0"/>
    <s v="Lawson State Community College "/>
    <m/>
    <n v="101569"/>
    <x v="7"/>
    <n v="114397"/>
    <n v="88129"/>
    <n v="100389"/>
    <n v="82522"/>
    <n v="2623"/>
    <n v="772"/>
    <n v="11381"/>
    <n v="0"/>
    <n v="4"/>
    <n v="4835"/>
    <m/>
    <m/>
    <m/>
    <m/>
    <n v="0"/>
    <n v="0"/>
    <m/>
    <m/>
    <m/>
    <m/>
    <m/>
    <m/>
    <m/>
    <m/>
    <m/>
    <m/>
    <m/>
    <m/>
  </r>
  <r>
    <x v="0"/>
    <s v="Northeast Alabama State Community College "/>
    <m/>
    <n v="101897"/>
    <x v="7"/>
    <n v="84621"/>
    <n v="75596"/>
    <n v="58488"/>
    <n v="50754"/>
    <n v="5023"/>
    <n v="4907"/>
    <n v="21110"/>
    <n v="0"/>
    <n v="0"/>
    <n v="19935"/>
    <m/>
    <m/>
    <m/>
    <m/>
    <n v="0"/>
    <n v="0"/>
    <m/>
    <m/>
    <m/>
    <m/>
    <m/>
    <m/>
    <m/>
    <m/>
    <m/>
    <m/>
    <m/>
    <m/>
  </r>
  <r>
    <x v="0"/>
    <s v="Northwest-Shoals Community College"/>
    <m/>
    <n v="101736"/>
    <x v="7"/>
    <n v="93839"/>
    <n v="84098"/>
    <n v="83166"/>
    <n v="74856"/>
    <n v="707"/>
    <n v="373"/>
    <n v="7806"/>
    <n v="420"/>
    <n v="1740"/>
    <n v="7369"/>
    <n v="303"/>
    <n v="1197"/>
    <m/>
    <m/>
    <n v="0"/>
    <n v="0"/>
    <m/>
    <m/>
    <m/>
    <m/>
    <m/>
    <m/>
    <m/>
    <m/>
    <m/>
    <m/>
    <m/>
    <m/>
  </r>
  <r>
    <x v="0"/>
    <s v="Shelton State Community College"/>
    <m/>
    <n v="102067"/>
    <x v="7"/>
    <n v="138645"/>
    <n v="124081"/>
    <n v="132221"/>
    <n v="120146"/>
    <n v="253"/>
    <n v="215"/>
    <n v="6171"/>
    <n v="0"/>
    <n v="0"/>
    <n v="3720"/>
    <m/>
    <m/>
    <m/>
    <m/>
    <n v="0"/>
    <n v="0"/>
    <m/>
    <m/>
    <m/>
    <m/>
    <m/>
    <m/>
    <m/>
    <m/>
    <m/>
    <m/>
    <m/>
    <m/>
  </r>
  <r>
    <x v="0"/>
    <s v="Southern Union State Community College"/>
    <m/>
    <n v="251260"/>
    <x v="7"/>
    <n v="133363"/>
    <n v="127941"/>
    <n v="14963"/>
    <n v="14663"/>
    <n v="97480"/>
    <n v="92420"/>
    <n v="20233"/>
    <n v="687"/>
    <n v="0"/>
    <n v="20507"/>
    <n v="351"/>
    <m/>
    <m/>
    <m/>
    <n v="0"/>
    <n v="0"/>
    <m/>
    <m/>
    <m/>
    <m/>
    <m/>
    <m/>
    <m/>
    <m/>
    <m/>
    <m/>
    <m/>
    <m/>
  </r>
  <r>
    <x v="0"/>
    <s v="Alabama Southern Community College"/>
    <m/>
    <n v="101949"/>
    <x v="8"/>
    <n v="40708"/>
    <n v="34778"/>
    <n v="13481"/>
    <n v="12083"/>
    <n v="25541"/>
    <n v="20585"/>
    <n v="1686"/>
    <n v="0"/>
    <n v="0"/>
    <n v="2110"/>
    <m/>
    <m/>
    <m/>
    <m/>
    <n v="0"/>
    <n v="0"/>
    <m/>
    <m/>
    <m/>
    <m/>
    <m/>
    <m/>
    <m/>
    <m/>
    <m/>
    <m/>
    <m/>
    <m/>
  </r>
  <r>
    <x v="0"/>
    <s v="Chattahoochee Valley State Community College "/>
    <m/>
    <n v="101028"/>
    <x v="8"/>
    <n v="42168"/>
    <n v="40613"/>
    <n v="38037"/>
    <n v="37187"/>
    <n v="81"/>
    <n v="126"/>
    <n v="4050"/>
    <n v="0"/>
    <n v="0"/>
    <n v="3300"/>
    <m/>
    <m/>
    <m/>
    <m/>
    <n v="0"/>
    <n v="0"/>
    <m/>
    <m/>
    <m/>
    <m/>
    <m/>
    <m/>
    <m/>
    <m/>
    <m/>
    <m/>
    <m/>
    <m/>
  </r>
  <r>
    <x v="0"/>
    <s v="George Corley Wallace State Community College - Selma"/>
    <m/>
    <n v="101301"/>
    <x v="8"/>
    <n v="60847"/>
    <n v="50996"/>
    <n v="39130"/>
    <n v="32215"/>
    <n v="0"/>
    <m/>
    <n v="21717"/>
    <n v="0"/>
    <n v="0"/>
    <n v="18781"/>
    <m/>
    <m/>
    <m/>
    <m/>
    <n v="0"/>
    <n v="0"/>
    <m/>
    <m/>
    <m/>
    <m/>
    <m/>
    <m/>
    <m/>
    <m/>
    <m/>
    <m/>
    <m/>
    <m/>
  </r>
  <r>
    <x v="0"/>
    <s v="Jefferson Davis Community College"/>
    <m/>
    <n v="101499"/>
    <x v="8"/>
    <n v="32301"/>
    <n v="28184"/>
    <n v="13524"/>
    <n v="12480"/>
    <n v="14635"/>
    <n v="11669"/>
    <n v="4070"/>
    <n v="0"/>
    <n v="72"/>
    <n v="3253"/>
    <m/>
    <n v="782"/>
    <m/>
    <m/>
    <n v="0"/>
    <n v="0"/>
    <m/>
    <m/>
    <m/>
    <m/>
    <m/>
    <m/>
    <m/>
    <m/>
    <m/>
    <m/>
    <m/>
    <m/>
  </r>
  <r>
    <x v="0"/>
    <s v="Lurleen B. Wallace Community College "/>
    <m/>
    <n v="101602"/>
    <x v="8"/>
    <n v="47409"/>
    <n v="41567"/>
    <n v="37114"/>
    <n v="32226"/>
    <n v="1407"/>
    <n v="1088"/>
    <n v="8813"/>
    <n v="0"/>
    <n v="75"/>
    <n v="8151"/>
    <m/>
    <n v="102"/>
    <m/>
    <m/>
    <n v="0"/>
    <n v="0"/>
    <m/>
    <m/>
    <m/>
    <m/>
    <m/>
    <m/>
    <m/>
    <m/>
    <m/>
    <m/>
    <m/>
    <m/>
  </r>
  <r>
    <x v="0"/>
    <s v="Snead State Community College "/>
    <s v="Met the criteria for Two-Year 2 in 2012-13."/>
    <n v="102076"/>
    <x v="8"/>
    <n v="59737"/>
    <n v="60105"/>
    <n v="32898"/>
    <n v="34745"/>
    <n v="2846"/>
    <n v="1272"/>
    <n v="23702"/>
    <n v="291"/>
    <n v="0"/>
    <n v="24088"/>
    <m/>
    <m/>
    <m/>
    <m/>
    <n v="0"/>
    <n v="0"/>
    <m/>
    <m/>
    <m/>
    <m/>
    <m/>
    <m/>
    <m/>
    <m/>
    <m/>
    <m/>
    <m/>
    <m/>
  </r>
  <r>
    <x v="0"/>
    <s v="Trenholm State Technical College "/>
    <m/>
    <n v="102313"/>
    <x v="9"/>
    <n v="49502"/>
    <n v="40478"/>
    <n v="21454"/>
    <n v="16490"/>
    <n v="24646"/>
    <n v="20689"/>
    <n v="3402"/>
    <n v="0"/>
    <n v="0"/>
    <n v="3299"/>
    <m/>
    <m/>
    <m/>
    <m/>
    <n v="0"/>
    <n v="0"/>
    <m/>
    <m/>
    <m/>
    <m/>
    <m/>
    <m/>
    <m/>
    <m/>
    <m/>
    <m/>
    <m/>
    <m/>
  </r>
  <r>
    <x v="0"/>
    <s v="J.F. Drake State Technical College "/>
    <m/>
    <n v="101462"/>
    <x v="10"/>
    <n v="32146"/>
    <n v="29049"/>
    <n v="24198"/>
    <n v="21752"/>
    <n v="671"/>
    <n v="2565"/>
    <n v="7277"/>
    <n v="0"/>
    <n v="0"/>
    <n v="4732"/>
    <m/>
    <m/>
    <m/>
    <m/>
    <n v="0"/>
    <n v="0"/>
    <m/>
    <m/>
    <m/>
    <m/>
    <m/>
    <m/>
    <m/>
    <m/>
    <m/>
    <m/>
    <m/>
    <m/>
  </r>
  <r>
    <x v="0"/>
    <s v="J.F. Ingram State Technical College "/>
    <m/>
    <n v="101471"/>
    <x v="10"/>
    <n v="20136"/>
    <n v="18453"/>
    <n v="6321"/>
    <n v="18453"/>
    <n v="13815"/>
    <m/>
    <n v="0"/>
    <n v="0"/>
    <n v="0"/>
    <m/>
    <m/>
    <m/>
    <m/>
    <m/>
    <n v="0"/>
    <n v="0"/>
    <m/>
    <m/>
    <m/>
    <m/>
    <m/>
    <m/>
    <m/>
    <m/>
    <m/>
    <m/>
    <m/>
    <m/>
  </r>
  <r>
    <x v="0"/>
    <s v="Reid State Technical College "/>
    <m/>
    <n v="101994"/>
    <x v="10"/>
    <n v="21773"/>
    <n v="15562"/>
    <n v="18744"/>
    <n v="14134"/>
    <n v="1318"/>
    <n v="1065"/>
    <n v="1711"/>
    <n v="0"/>
    <n v="0"/>
    <n v="363"/>
    <m/>
    <m/>
    <m/>
    <m/>
    <n v="0"/>
    <n v="0"/>
    <m/>
    <m/>
    <m/>
    <m/>
    <m/>
    <m/>
    <m/>
    <m/>
    <m/>
    <m/>
    <m/>
    <m/>
  </r>
  <r>
    <x v="0"/>
    <s v="Marion Military Institute"/>
    <m/>
    <n v="101648"/>
    <x v="11"/>
    <n v="0"/>
    <n v="13020"/>
    <m/>
    <n v="13020"/>
    <m/>
    <m/>
    <m/>
    <m/>
    <m/>
    <m/>
    <m/>
    <m/>
    <m/>
    <m/>
    <n v="0"/>
    <n v="0"/>
    <m/>
    <m/>
    <m/>
    <m/>
    <m/>
    <m/>
    <m/>
    <m/>
    <m/>
    <m/>
    <m/>
    <m/>
  </r>
  <r>
    <x v="1"/>
    <s v="University of Arkansas, Fayetteville"/>
    <m/>
    <n v="106397"/>
    <x v="0"/>
    <n v="525893"/>
    <n v="569634"/>
    <n v="492861"/>
    <n v="529766"/>
    <n v="10230"/>
    <n v="8546"/>
    <n v="14694"/>
    <n v="812"/>
    <n v="48"/>
    <n v="19485"/>
    <n v="872"/>
    <n v="57"/>
    <n v="7248"/>
    <n v="10908"/>
    <n v="77183"/>
    <n v="77209"/>
    <n v="57218"/>
    <n v="58295"/>
    <n v="3337"/>
    <n v="3806"/>
    <n v="15458"/>
    <n v="0"/>
    <n v="1170"/>
    <n v="14391"/>
    <n v="0"/>
    <n v="711"/>
    <n v="0"/>
    <n v="6"/>
  </r>
  <r>
    <x v="1"/>
    <s v="Arkansas State University"/>
    <m/>
    <n v="106458"/>
    <x v="2"/>
    <n v="276297"/>
    <n v="277729"/>
    <n v="192962"/>
    <n v="189355"/>
    <n v="24717"/>
    <n v="23386"/>
    <n v="54383"/>
    <n v="4124"/>
    <n v="111"/>
    <n v="61105"/>
    <n v="3799"/>
    <n v="84"/>
    <m/>
    <m/>
    <n v="82879"/>
    <n v="78495"/>
    <n v="24591"/>
    <n v="24509"/>
    <n v="93"/>
    <n v="25"/>
    <n v="58024"/>
    <n v="66"/>
    <n v="105"/>
    <n v="53841"/>
    <n v="15"/>
    <n v="105"/>
    <n v="0"/>
    <m/>
  </r>
  <r>
    <x v="1"/>
    <s v="Arkansas Tech University"/>
    <s v="Reclassified: met the criteria for Four-Year 3 in 2010-11, 2011-12 and 2012-13."/>
    <n v="106467"/>
    <x v="2"/>
    <n v="218204"/>
    <n v="222862"/>
    <n v="163618"/>
    <n v="163802"/>
    <n v="15756"/>
    <n v="10484"/>
    <n v="38830"/>
    <n v="0"/>
    <n v="0"/>
    <n v="48576"/>
    <n v="0"/>
    <m/>
    <m/>
    <m/>
    <n v="13308"/>
    <n v="14909"/>
    <n v="5738"/>
    <n v="6943"/>
    <n v="1371"/>
    <n v="72"/>
    <n v="6181"/>
    <n v="18"/>
    <n v="0"/>
    <n v="7831"/>
    <n v="63"/>
    <m/>
    <n v="0"/>
    <m/>
  </r>
  <r>
    <x v="1"/>
    <s v="University of Arkansas at Little Rock"/>
    <s v="Met the criteria for Four-Year 2 in 2012-13."/>
    <n v="106245"/>
    <x v="2"/>
    <n v="237224"/>
    <n v="237942"/>
    <n v="158298"/>
    <n v="154177"/>
    <n v="18850"/>
    <n v="21226"/>
    <n v="60076"/>
    <n v="0"/>
    <n v="0"/>
    <n v="62539"/>
    <n v="0"/>
    <m/>
    <m/>
    <m/>
    <n v="50303"/>
    <n v="46710"/>
    <n v="25735"/>
    <n v="23620"/>
    <n v="13455"/>
    <n v="12934"/>
    <n v="11113"/>
    <n v="0"/>
    <n v="0"/>
    <n v="10156"/>
    <n v="0"/>
    <m/>
    <n v="0"/>
    <m/>
  </r>
  <r>
    <x v="1"/>
    <s v="University of Central Arkansas "/>
    <m/>
    <n v="106704"/>
    <x v="2"/>
    <n v="272034"/>
    <n v="265799"/>
    <n v="258206"/>
    <n v="253180"/>
    <n v="4156"/>
    <n v="2293"/>
    <n v="9096"/>
    <n v="54"/>
    <n v="0"/>
    <n v="9795"/>
    <n v="75"/>
    <m/>
    <n v="522"/>
    <n v="456"/>
    <n v="33007"/>
    <n v="32030"/>
    <n v="23206"/>
    <n v="23311"/>
    <n v="780"/>
    <n v="57"/>
    <n v="6369"/>
    <n v="2652"/>
    <n v="0"/>
    <n v="6610"/>
    <n v="2052"/>
    <m/>
    <n v="0"/>
    <m/>
  </r>
  <r>
    <x v="1"/>
    <s v="Henderson State University"/>
    <m/>
    <n v="107071"/>
    <x v="3"/>
    <n v="98042"/>
    <n v="95989"/>
    <n v="88898"/>
    <n v="85512"/>
    <n v="910"/>
    <n v="846"/>
    <n v="8234"/>
    <n v="0"/>
    <n v="0"/>
    <n v="9631"/>
    <n v="0"/>
    <m/>
    <m/>
    <m/>
    <n v="7980"/>
    <n v="8204"/>
    <n v="6429"/>
    <n v="6110"/>
    <n v="1065"/>
    <n v="891"/>
    <n v="486"/>
    <n v="0"/>
    <n v="0"/>
    <n v="1203"/>
    <m/>
    <m/>
    <n v="0"/>
    <m/>
  </r>
  <r>
    <x v="1"/>
    <s v="Southern Arkansas University"/>
    <m/>
    <n v="107983"/>
    <x v="3"/>
    <n v="83545"/>
    <n v="81381"/>
    <n v="73756"/>
    <n v="70024"/>
    <n v="1819"/>
    <n v="2233"/>
    <n v="7904"/>
    <n v="66"/>
    <n v="0"/>
    <n v="9076"/>
    <n v="48"/>
    <m/>
    <m/>
    <m/>
    <n v="7548"/>
    <n v="7831"/>
    <n v="2508"/>
    <n v="2137"/>
    <n v="201"/>
    <n v="177"/>
    <n v="4839"/>
    <n v="0"/>
    <n v="0"/>
    <n v="5517"/>
    <m/>
    <m/>
    <n v="0"/>
    <m/>
  </r>
  <r>
    <x v="1"/>
    <s v="University of Arkansas at Monticello"/>
    <m/>
    <n v="106485"/>
    <x v="4"/>
    <n v="72002"/>
    <n v="70604"/>
    <n v="59147"/>
    <n v="57270"/>
    <n v="1032"/>
    <n v="1011"/>
    <n v="8475"/>
    <n v="3342"/>
    <n v="0"/>
    <n v="8567"/>
    <n v="3756"/>
    <m/>
    <n v="6"/>
    <m/>
    <n v="2079"/>
    <n v="2142"/>
    <n v="1019"/>
    <n v="951"/>
    <n v="40"/>
    <m/>
    <n v="1020"/>
    <n v="0"/>
    <n v="0"/>
    <n v="1191"/>
    <m/>
    <m/>
    <n v="0"/>
    <m/>
  </r>
  <r>
    <x v="1"/>
    <s v="University of Arkansas at Fort Smith"/>
    <m/>
    <n v="108092"/>
    <x v="5"/>
    <n v="191912"/>
    <n v="185094"/>
    <n v="164036"/>
    <n v="158681"/>
    <n v="2533"/>
    <n v="1944"/>
    <n v="24758"/>
    <n v="585"/>
    <n v="0"/>
    <n v="24013"/>
    <n v="456"/>
    <m/>
    <m/>
    <m/>
    <n v="0"/>
    <n v="0"/>
    <n v="0"/>
    <n v="0"/>
    <n v="0"/>
    <m/>
    <n v="0"/>
    <n v="0"/>
    <n v="0"/>
    <n v="0"/>
    <m/>
    <m/>
    <n v="0"/>
    <m/>
  </r>
  <r>
    <x v="1"/>
    <s v="University of Arkansas at Pine Bluff"/>
    <s v="Met the criteria for Four-Year 5 in 2012-13."/>
    <n v="106412"/>
    <x v="5"/>
    <n v="88755"/>
    <n v="80269"/>
    <n v="80929"/>
    <n v="71488"/>
    <n v="726"/>
    <n v="499"/>
    <n v="3210"/>
    <n v="3890"/>
    <n v="0"/>
    <n v="8282"/>
    <n v="0"/>
    <m/>
    <m/>
    <m/>
    <n v="1885"/>
    <n v="1632"/>
    <n v="1630"/>
    <n v="1257"/>
    <n v="0"/>
    <m/>
    <n v="114"/>
    <n v="141"/>
    <n v="0"/>
    <n v="375"/>
    <m/>
    <m/>
    <n v="0"/>
    <m/>
  </r>
  <r>
    <x v="1"/>
    <s v="Northwest Arkansas Community College "/>
    <m/>
    <n v="367459"/>
    <x v="6"/>
    <n v="174073"/>
    <n v="169594"/>
    <n v="116184"/>
    <n v="112056"/>
    <n v="22131"/>
    <n v="20429"/>
    <n v="35650"/>
    <n v="108"/>
    <n v="0"/>
    <n v="36847"/>
    <n v="262"/>
    <m/>
    <m/>
    <m/>
    <n v="0"/>
    <n v="0"/>
    <m/>
    <m/>
    <m/>
    <m/>
    <m/>
    <m/>
    <m/>
    <m/>
    <m/>
    <m/>
    <m/>
    <m/>
  </r>
  <r>
    <x v="1"/>
    <s v="Pulaski Technical College"/>
    <m/>
    <n v="107664"/>
    <x v="6"/>
    <n v="261671"/>
    <n v="258245"/>
    <n v="176073"/>
    <n v="143672"/>
    <n v="0"/>
    <n v="28755"/>
    <n v="85598"/>
    <n v="0"/>
    <n v="0"/>
    <n v="85818"/>
    <n v="0"/>
    <m/>
    <m/>
    <m/>
    <n v="0"/>
    <n v="0"/>
    <m/>
    <m/>
    <m/>
    <m/>
    <m/>
    <m/>
    <m/>
    <m/>
    <m/>
    <m/>
    <m/>
    <m/>
  </r>
  <r>
    <x v="1"/>
    <s v="Arkansas State University-Beebe"/>
    <m/>
    <n v="106449"/>
    <x v="7"/>
    <n v="106239"/>
    <n v="103994"/>
    <n v="73832"/>
    <n v="70911"/>
    <n v="9103"/>
    <n v="10597"/>
    <n v="23304"/>
    <n v="0"/>
    <n v="0"/>
    <n v="22486"/>
    <n v="0"/>
    <m/>
    <m/>
    <m/>
    <n v="0"/>
    <n v="0"/>
    <m/>
    <m/>
    <m/>
    <m/>
    <m/>
    <m/>
    <m/>
    <m/>
    <m/>
    <m/>
    <m/>
    <m/>
  </r>
  <r>
    <x v="1"/>
    <s v="National Park Community College"/>
    <m/>
    <n v="106980"/>
    <x v="7"/>
    <n v="86676"/>
    <n v="76543"/>
    <n v="75458"/>
    <n v="61118"/>
    <n v="0"/>
    <n v="3518"/>
    <n v="11218"/>
    <n v="0"/>
    <n v="0"/>
    <n v="11907"/>
    <n v="0"/>
    <m/>
    <m/>
    <m/>
    <n v="0"/>
    <n v="0"/>
    <m/>
    <m/>
    <m/>
    <m/>
    <m/>
    <m/>
    <m/>
    <m/>
    <m/>
    <m/>
    <m/>
    <m/>
  </r>
  <r>
    <x v="1"/>
    <s v="Arkansas Northeastern College"/>
    <m/>
    <n v="107327"/>
    <x v="8"/>
    <n v="41015"/>
    <n v="37274"/>
    <n v="31212"/>
    <n v="27691"/>
    <n v="3522"/>
    <n v="3349"/>
    <n v="5795"/>
    <n v="486"/>
    <n v="0"/>
    <n v="6234"/>
    <n v="0"/>
    <m/>
    <m/>
    <m/>
    <n v="0"/>
    <n v="0"/>
    <m/>
    <m/>
    <m/>
    <m/>
    <m/>
    <m/>
    <m/>
    <m/>
    <m/>
    <m/>
    <m/>
    <m/>
  </r>
  <r>
    <x v="1"/>
    <s v="Arkansas State University Mountain Home"/>
    <m/>
    <n v="420538"/>
    <x v="8"/>
    <n v="35572"/>
    <n v="35326"/>
    <n v="21644"/>
    <n v="22261"/>
    <n v="940"/>
    <n v="900"/>
    <n v="12720"/>
    <n v="268"/>
    <n v="0"/>
    <n v="11857"/>
    <n v="308"/>
    <m/>
    <m/>
    <m/>
    <n v="0"/>
    <n v="0"/>
    <m/>
    <m/>
    <m/>
    <m/>
    <m/>
    <m/>
    <m/>
    <m/>
    <m/>
    <m/>
    <m/>
    <m/>
  </r>
  <r>
    <x v="1"/>
    <s v="Arkansas State University-Newport"/>
    <m/>
    <n v="440402"/>
    <x v="8"/>
    <n v="44215"/>
    <n v="44958"/>
    <n v="9167"/>
    <n v="13169"/>
    <n v="16768"/>
    <n v="14478"/>
    <n v="17035"/>
    <n v="1245"/>
    <n v="0"/>
    <n v="16394"/>
    <n v="917"/>
    <m/>
    <m/>
    <m/>
    <n v="0"/>
    <n v="0"/>
    <m/>
    <m/>
    <m/>
    <m/>
    <m/>
    <m/>
    <m/>
    <m/>
    <m/>
    <m/>
    <m/>
    <m/>
  </r>
  <r>
    <x v="1"/>
    <s v="Black River Technical College"/>
    <m/>
    <n v="106625"/>
    <x v="8"/>
    <n v="62967"/>
    <n v="59237"/>
    <n v="30003"/>
    <n v="35072"/>
    <n v="18701"/>
    <n v="10188"/>
    <n v="11938"/>
    <n v="2325"/>
    <n v="0"/>
    <n v="12048"/>
    <n v="1929"/>
    <m/>
    <m/>
    <m/>
    <n v="0"/>
    <n v="0"/>
    <m/>
    <m/>
    <m/>
    <m/>
    <m/>
    <m/>
    <m/>
    <m/>
    <m/>
    <m/>
    <m/>
    <m/>
  </r>
  <r>
    <x v="1"/>
    <s v="College of the Ouachitas"/>
    <m/>
    <n v="107521"/>
    <x v="8"/>
    <n v="29256"/>
    <n v="27738"/>
    <n v="21984"/>
    <n v="20608"/>
    <n v="2058"/>
    <n v="1912"/>
    <n v="5049"/>
    <n v="165"/>
    <n v="0"/>
    <n v="5179"/>
    <n v="39"/>
    <m/>
    <m/>
    <m/>
    <n v="0"/>
    <n v="0"/>
    <m/>
    <m/>
    <m/>
    <m/>
    <m/>
    <m/>
    <m/>
    <m/>
    <m/>
    <m/>
    <m/>
    <m/>
  </r>
  <r>
    <x v="1"/>
    <s v="Cossatot Community College of the University of Arkansas"/>
    <m/>
    <n v="106795"/>
    <x v="8"/>
    <n v="31651"/>
    <n v="29673"/>
    <n v="7474"/>
    <n v="6841"/>
    <n v="9385"/>
    <n v="10375"/>
    <n v="11364"/>
    <n v="3428"/>
    <n v="0"/>
    <n v="9752"/>
    <n v="2705"/>
    <m/>
    <m/>
    <m/>
    <n v="0"/>
    <n v="0"/>
    <m/>
    <m/>
    <m/>
    <m/>
    <m/>
    <m/>
    <m/>
    <m/>
    <m/>
    <m/>
    <m/>
    <m/>
  </r>
  <r>
    <x v="1"/>
    <s v="East Arkansas Community College "/>
    <m/>
    <n v="106883"/>
    <x v="8"/>
    <n v="29418"/>
    <n v="28122"/>
    <n v="17476"/>
    <n v="14712"/>
    <n v="6563"/>
    <n v="6554"/>
    <n v="4864"/>
    <n v="515"/>
    <n v="0"/>
    <n v="5884"/>
    <n v="972"/>
    <m/>
    <m/>
    <m/>
    <n v="0"/>
    <n v="0"/>
    <m/>
    <m/>
    <m/>
    <m/>
    <m/>
    <m/>
    <m/>
    <m/>
    <m/>
    <m/>
    <m/>
    <m/>
  </r>
  <r>
    <x v="1"/>
    <s v="Mid-South Community College "/>
    <m/>
    <n v="107318"/>
    <x v="8"/>
    <n v="38654"/>
    <n v="37751"/>
    <n v="35966"/>
    <n v="36292"/>
    <n v="541"/>
    <n v="587"/>
    <n v="2147"/>
    <n v="0"/>
    <n v="0"/>
    <n v="872"/>
    <n v="0"/>
    <m/>
    <m/>
    <m/>
    <n v="0"/>
    <n v="0"/>
    <m/>
    <m/>
    <m/>
    <m/>
    <m/>
    <m/>
    <m/>
    <m/>
    <m/>
    <m/>
    <m/>
    <m/>
  </r>
  <r>
    <x v="1"/>
    <s v="North Arkansas College"/>
    <m/>
    <n v="107460"/>
    <x v="8"/>
    <n v="56323"/>
    <n v="52946"/>
    <n v="48094"/>
    <n v="42947"/>
    <n v="2761"/>
    <n v="3882"/>
    <n v="5468"/>
    <n v="0"/>
    <n v="0"/>
    <n v="6117"/>
    <n v="0"/>
    <m/>
    <m/>
    <m/>
    <n v="0"/>
    <n v="0"/>
    <m/>
    <m/>
    <m/>
    <m/>
    <m/>
    <m/>
    <m/>
    <m/>
    <m/>
    <m/>
    <m/>
    <m/>
  </r>
  <r>
    <x v="1"/>
    <s v="Ozarka College "/>
    <m/>
    <n v="107549"/>
    <x v="8"/>
    <n v="38954"/>
    <n v="37215"/>
    <n v="23560"/>
    <n v="21770"/>
    <n v="1633"/>
    <n v="1285"/>
    <n v="12321"/>
    <n v="1440"/>
    <n v="0"/>
    <n v="13080"/>
    <n v="1080"/>
    <m/>
    <m/>
    <m/>
    <n v="0"/>
    <n v="0"/>
    <m/>
    <m/>
    <m/>
    <m/>
    <m/>
    <m/>
    <m/>
    <m/>
    <m/>
    <m/>
    <m/>
    <m/>
  </r>
  <r>
    <x v="1"/>
    <s v="Phillips Community College of the Univ of Arkansas"/>
    <m/>
    <n v="107619"/>
    <x v="8"/>
    <n v="40016"/>
    <n v="35395"/>
    <n v="35892"/>
    <n v="31779"/>
    <n v="0"/>
    <n v="0"/>
    <n v="2877"/>
    <n v="1011"/>
    <n v="236"/>
    <n v="2530"/>
    <n v="949"/>
    <n v="137"/>
    <m/>
    <m/>
    <n v="0"/>
    <n v="0"/>
    <m/>
    <m/>
    <m/>
    <m/>
    <m/>
    <m/>
    <m/>
    <m/>
    <m/>
    <m/>
    <m/>
    <m/>
  </r>
  <r>
    <x v="1"/>
    <s v="Rich Mountain Community College "/>
    <m/>
    <n v="107743"/>
    <x v="8"/>
    <n v="20833"/>
    <n v="19033"/>
    <n v="11925"/>
    <n v="11285"/>
    <n v="5078"/>
    <n v="4180"/>
    <n v="3623"/>
    <n v="207"/>
    <n v="0"/>
    <n v="3289"/>
    <n v="207"/>
    <n v="72"/>
    <m/>
    <m/>
    <n v="0"/>
    <n v="0"/>
    <m/>
    <m/>
    <m/>
    <m/>
    <m/>
    <m/>
    <m/>
    <m/>
    <m/>
    <m/>
    <m/>
    <m/>
  </r>
  <r>
    <x v="1"/>
    <s v="South Arkansas Community College"/>
    <m/>
    <n v="107974"/>
    <x v="8"/>
    <n v="41745"/>
    <n v="40341"/>
    <n v="33028"/>
    <n v="29376"/>
    <n v="807"/>
    <n v="3251"/>
    <n v="7859"/>
    <n v="0"/>
    <n v="0"/>
    <n v="7690"/>
    <n v="0"/>
    <m/>
    <n v="51"/>
    <n v="24"/>
    <n v="0"/>
    <n v="0"/>
    <m/>
    <m/>
    <m/>
    <m/>
    <m/>
    <m/>
    <m/>
    <m/>
    <m/>
    <m/>
    <m/>
    <m/>
  </r>
  <r>
    <x v="1"/>
    <s v="Southeast Arkansas College"/>
    <m/>
    <n v="107637"/>
    <x v="8"/>
    <n v="46869"/>
    <n v="41903"/>
    <n v="39854"/>
    <n v="36366"/>
    <n v="2808"/>
    <n v="2208"/>
    <n v="4207"/>
    <n v="0"/>
    <n v="0"/>
    <n v="3329"/>
    <n v="0"/>
    <m/>
    <m/>
    <m/>
    <n v="0"/>
    <n v="0"/>
    <m/>
    <m/>
    <m/>
    <m/>
    <m/>
    <m/>
    <m/>
    <m/>
    <m/>
    <m/>
    <m/>
    <m/>
  </r>
  <r>
    <x v="1"/>
    <s v="Southern Arkansas University Tech"/>
    <m/>
    <n v="107992"/>
    <x v="8"/>
    <n v="42257"/>
    <n v="39815"/>
    <n v="18096"/>
    <n v="17693"/>
    <n v="14516"/>
    <n v="13487"/>
    <n v="9645"/>
    <n v="0"/>
    <n v="0"/>
    <n v="8635"/>
    <n v="0"/>
    <m/>
    <m/>
    <m/>
    <n v="0"/>
    <n v="0"/>
    <m/>
    <m/>
    <m/>
    <m/>
    <m/>
    <m/>
    <m/>
    <m/>
    <m/>
    <m/>
    <m/>
    <m/>
  </r>
  <r>
    <x v="1"/>
    <s v="University of Arkansas Community College at Batesville"/>
    <m/>
    <n v="106999"/>
    <x v="8"/>
    <n v="38625"/>
    <n v="33447"/>
    <n v="30402"/>
    <n v="26370"/>
    <n v="1310"/>
    <n v="1379"/>
    <n v="6913"/>
    <n v="0"/>
    <n v="0"/>
    <n v="5698"/>
    <n v="0"/>
    <m/>
    <m/>
    <m/>
    <n v="0"/>
    <n v="0"/>
    <m/>
    <m/>
    <m/>
    <m/>
    <m/>
    <m/>
    <m/>
    <m/>
    <m/>
    <m/>
    <m/>
    <m/>
  </r>
  <r>
    <x v="1"/>
    <s v="University of Arkansas Community College at Hope"/>
    <m/>
    <n v="107725"/>
    <x v="8"/>
    <n v="31481"/>
    <n v="29135"/>
    <n v="31220"/>
    <n v="23315"/>
    <n v="0"/>
    <n v="2539"/>
    <n v="9"/>
    <n v="252"/>
    <n v="0"/>
    <n v="2669"/>
    <n v="612"/>
    <m/>
    <m/>
    <m/>
    <n v="0"/>
    <n v="0"/>
    <m/>
    <m/>
    <m/>
    <m/>
    <m/>
    <m/>
    <m/>
    <m/>
    <m/>
    <m/>
    <m/>
    <m/>
  </r>
  <r>
    <x v="1"/>
    <s v="University of Arkansas Community College at Morrilton"/>
    <m/>
    <n v="107585"/>
    <x v="8"/>
    <n v="57941"/>
    <n v="51642"/>
    <n v="55241"/>
    <n v="49179"/>
    <n v="0"/>
    <n v="0"/>
    <n v="2700"/>
    <n v="0"/>
    <n v="0"/>
    <n v="2463"/>
    <n v="0"/>
    <m/>
    <m/>
    <m/>
    <n v="0"/>
    <n v="0"/>
    <m/>
    <m/>
    <m/>
    <m/>
    <m/>
    <m/>
    <m/>
    <m/>
    <m/>
    <m/>
    <m/>
    <m/>
  </r>
  <r>
    <x v="1"/>
    <s v="University of Arkansas for Medical Sciences"/>
    <m/>
    <n v="106263"/>
    <x v="11"/>
    <n v="0"/>
    <n v="20081"/>
    <m/>
    <n v="20081"/>
    <m/>
    <n v="0"/>
    <m/>
    <m/>
    <m/>
    <n v="0"/>
    <n v="0"/>
    <m/>
    <m/>
    <m/>
    <n v="0"/>
    <n v="52831"/>
    <m/>
    <n v="52831"/>
    <m/>
    <m/>
    <m/>
    <m/>
    <m/>
    <m/>
    <m/>
    <m/>
    <m/>
    <m/>
  </r>
  <r>
    <x v="2"/>
    <s v="University of Delaware"/>
    <m/>
    <n v="130943"/>
    <x v="0"/>
    <n v="525599"/>
    <n v="538809"/>
    <n v="509681"/>
    <n v="524634"/>
    <m/>
    <n v="0"/>
    <n v="15918"/>
    <n v="0"/>
    <n v="0"/>
    <n v="14175"/>
    <n v="0"/>
    <n v="0"/>
    <n v="0"/>
    <m/>
    <n v="51744"/>
    <n v="50956"/>
    <n v="48822"/>
    <n v="48130"/>
    <m/>
    <m/>
    <n v="2922"/>
    <n v="0"/>
    <n v="0"/>
    <n v="2826"/>
    <m/>
    <m/>
    <n v="0"/>
    <m/>
  </r>
  <r>
    <x v="2"/>
    <s v="Delaware State University"/>
    <s v="Reclassified: met the criteria for Four-Year 3 in 2010-11, 2011-12 and 2012-13."/>
    <n v="130934"/>
    <x v="2"/>
    <n v="105618"/>
    <n v="110033"/>
    <n v="103887"/>
    <n v="108405"/>
    <m/>
    <m/>
    <n v="1731"/>
    <n v="0"/>
    <n v="0"/>
    <n v="1628"/>
    <m/>
    <m/>
    <m/>
    <m/>
    <n v="11247"/>
    <n v="4537"/>
    <n v="7767"/>
    <n v="4384"/>
    <m/>
    <m/>
    <n v="3480"/>
    <n v="0"/>
    <m/>
    <n v="153"/>
    <m/>
    <m/>
    <m/>
    <m/>
  </r>
  <r>
    <x v="2"/>
    <s v="Delaware Technical and Community College--Stanton-Wilmington"/>
    <m/>
    <n v="130916"/>
    <x v="6"/>
    <n v="157752"/>
    <n v="153406"/>
    <n v="136779"/>
    <n v="136725"/>
    <m/>
    <m/>
    <n v="13550"/>
    <n v="276"/>
    <n v="7147"/>
    <n v="15378"/>
    <n v="888"/>
    <n v="415"/>
    <m/>
    <m/>
    <n v="0"/>
    <n v="0"/>
    <m/>
    <m/>
    <m/>
    <m/>
    <m/>
    <m/>
    <m/>
    <m/>
    <m/>
    <m/>
    <m/>
    <m/>
  </r>
  <r>
    <x v="2"/>
    <s v="Delaware Technical and Community College--Owens"/>
    <m/>
    <n v="130891"/>
    <x v="7"/>
    <n v="104175"/>
    <n v="98938"/>
    <n v="85980"/>
    <n v="82447"/>
    <m/>
    <m/>
    <n v="14675"/>
    <n v="379"/>
    <n v="3141"/>
    <n v="16057"/>
    <m/>
    <n v="434"/>
    <m/>
    <m/>
    <n v="0"/>
    <n v="0"/>
    <m/>
    <m/>
    <m/>
    <m/>
    <m/>
    <m/>
    <m/>
    <m/>
    <m/>
    <m/>
    <m/>
    <m/>
  </r>
  <r>
    <x v="2"/>
    <s v="Delaware Technical and Community College--Terry"/>
    <m/>
    <n v="130907"/>
    <x v="7"/>
    <n v="74593"/>
    <n v="70905"/>
    <n v="58755"/>
    <n v="55152"/>
    <m/>
    <m/>
    <n v="9412"/>
    <n v="131"/>
    <n v="6295"/>
    <n v="15330"/>
    <m/>
    <n v="423"/>
    <m/>
    <m/>
    <n v="0"/>
    <n v="0"/>
    <m/>
    <m/>
    <m/>
    <m/>
    <m/>
    <m/>
    <m/>
    <m/>
    <m/>
    <m/>
    <m/>
    <m/>
  </r>
  <r>
    <x v="3"/>
    <s v="Florida International University"/>
    <m/>
    <n v="133951"/>
    <x v="0"/>
    <n v="980018"/>
    <n v="1013973"/>
    <n v="626050"/>
    <n v="633796"/>
    <n v="157723"/>
    <n v="157163"/>
    <n v="193967"/>
    <m/>
    <n v="2278"/>
    <n v="220196"/>
    <m/>
    <n v="2818"/>
    <m/>
    <m/>
    <n v="188255"/>
    <n v="191172"/>
    <n v="123627"/>
    <n v="127906"/>
    <n v="29986"/>
    <n v="30319"/>
    <n v="34159"/>
    <m/>
    <n v="483"/>
    <n v="32260"/>
    <m/>
    <n v="687"/>
    <m/>
    <m/>
  </r>
  <r>
    <x v="3"/>
    <s v="Florida State University "/>
    <m/>
    <n v="134097"/>
    <x v="0"/>
    <n v="1008210"/>
    <n v="1004971"/>
    <n v="838335"/>
    <n v="822232"/>
    <n v="66443"/>
    <n v="67057"/>
    <n v="40110"/>
    <m/>
    <n v="63322"/>
    <n v="55354"/>
    <m/>
    <n v="60328"/>
    <m/>
    <m/>
    <n v="185434"/>
    <n v="183540"/>
    <n v="151416"/>
    <n v="149191"/>
    <n v="10318"/>
    <n v="13509"/>
    <n v="22623"/>
    <m/>
    <n v="1077"/>
    <n v="19455"/>
    <m/>
    <n v="1385"/>
    <m/>
    <m/>
  </r>
  <r>
    <x v="3"/>
    <s v="University of Central Florida "/>
    <m/>
    <n v="132903"/>
    <x v="0"/>
    <n v="1343366"/>
    <n v="1368469"/>
    <n v="827028"/>
    <n v="823559"/>
    <n v="101814"/>
    <n v="94437"/>
    <n v="414524"/>
    <m/>
    <m/>
    <n v="450473"/>
    <m/>
    <m/>
    <m/>
    <m/>
    <n v="142457"/>
    <n v="141738"/>
    <n v="73305.5"/>
    <n v="74860"/>
    <n v="12216.5"/>
    <n v="10548"/>
    <n v="56935"/>
    <m/>
    <m/>
    <n v="56330"/>
    <m/>
    <m/>
    <m/>
    <m/>
  </r>
  <r>
    <x v="3"/>
    <s v="University of Florida"/>
    <m/>
    <n v="134130"/>
    <x v="0"/>
    <n v="953541"/>
    <n v="978126"/>
    <n v="815465"/>
    <n v="782542"/>
    <m/>
    <m/>
    <n v="114854"/>
    <m/>
    <n v="17169"/>
    <n v="178248"/>
    <m/>
    <n v="10913"/>
    <n v="6053"/>
    <n v="6423"/>
    <n v="317112"/>
    <n v="348931"/>
    <n v="265271"/>
    <n v="275402"/>
    <m/>
    <m/>
    <n v="45713"/>
    <m/>
    <n v="6128"/>
    <n v="70468"/>
    <m/>
    <n v="3061"/>
    <m/>
    <m/>
  </r>
  <r>
    <x v="3"/>
    <s v="University of South Florida "/>
    <m/>
    <n v="137351"/>
    <x v="0"/>
    <n v="1017967"/>
    <n v="1024672"/>
    <n v="668322"/>
    <n v="659364"/>
    <n v="122188"/>
    <n v="116420"/>
    <n v="221485"/>
    <m/>
    <n v="5972"/>
    <n v="243426"/>
    <m/>
    <n v="5462"/>
    <m/>
    <m/>
    <n v="185896"/>
    <n v="189843"/>
    <n v="127463"/>
    <n v="129157"/>
    <n v="16823"/>
    <n v="14782"/>
    <n v="41610"/>
    <m/>
    <m/>
    <n v="45833"/>
    <m/>
    <n v="71"/>
    <m/>
    <m/>
  </r>
  <r>
    <x v="3"/>
    <s v="Florida Atlantic University "/>
    <s v="Met the criteria for Four-Year 1 in 2012-13."/>
    <n v="133669"/>
    <x v="1"/>
    <n v="599677"/>
    <n v="616805"/>
    <n v="453166"/>
    <n v="455129"/>
    <n v="101742"/>
    <n v="88339"/>
    <n v="43380"/>
    <m/>
    <n v="1389"/>
    <n v="71808"/>
    <m/>
    <n v="1529"/>
    <m/>
    <m/>
    <n v="78558"/>
    <n v="79498"/>
    <n v="47144"/>
    <n v="47012"/>
    <n v="12530"/>
    <n v="11644"/>
    <n v="17717"/>
    <m/>
    <n v="1167"/>
    <n v="19847"/>
    <m/>
    <n v="995"/>
    <m/>
    <m/>
  </r>
  <r>
    <x v="3"/>
    <s v="Florida Agricultural &amp; Mechanical University "/>
    <s v="Met the criteria for Four-Year 2 in 2011-12 and 2012-13."/>
    <n v="133650"/>
    <x v="2"/>
    <n v="324142"/>
    <n v="302446"/>
    <n v="321294"/>
    <n v="297873"/>
    <n v="2740"/>
    <n v="3281"/>
    <n v="108"/>
    <m/>
    <m/>
    <n v="1150"/>
    <m/>
    <n v="142"/>
    <m/>
    <m/>
    <n v="50148"/>
    <n v="50799"/>
    <n v="30345"/>
    <n v="30267"/>
    <n v="19327"/>
    <n v="18681"/>
    <n v="476"/>
    <m/>
    <m/>
    <n v="1848"/>
    <m/>
    <n v="3"/>
    <m/>
    <m/>
  </r>
  <r>
    <x v="3"/>
    <s v="University of North Florida"/>
    <m/>
    <n v="136172"/>
    <x v="2"/>
    <n v="382476"/>
    <n v="378545"/>
    <n v="358792"/>
    <n v="344165"/>
    <n v="3819"/>
    <n v="4238"/>
    <n v="19841"/>
    <m/>
    <n v="24"/>
    <n v="30142"/>
    <m/>
    <m/>
    <m/>
    <m/>
    <n v="32544"/>
    <n v="31146"/>
    <n v="27219"/>
    <n v="24190"/>
    <n v="2097"/>
    <n v="2030"/>
    <n v="3228"/>
    <m/>
    <m/>
    <n v="4926"/>
    <m/>
    <m/>
    <m/>
    <m/>
  </r>
  <r>
    <x v="3"/>
    <s v="University of West Florida"/>
    <m/>
    <n v="138354"/>
    <x v="2"/>
    <n v="255719.5"/>
    <n v="259745"/>
    <n v="130788.5"/>
    <n v="144503"/>
    <n v="2234"/>
    <n v="2583"/>
    <n v="108087"/>
    <m/>
    <n v="14610"/>
    <n v="93682"/>
    <m/>
    <n v="18977"/>
    <m/>
    <m/>
    <n v="31883.5"/>
    <n v="32409"/>
    <n v="8739.5"/>
    <n v="9524"/>
    <n v="312"/>
    <n v="289"/>
    <n v="19723"/>
    <m/>
    <n v="3109"/>
    <n v="17470.5"/>
    <m/>
    <n v="5125.5"/>
    <m/>
    <m/>
  </r>
  <r>
    <x v="3"/>
    <s v="Florida Gulf Coast University"/>
    <m/>
    <n v="433660"/>
    <x v="3"/>
    <n v="288563"/>
    <n v="304412"/>
    <n v="230793"/>
    <n v="241917"/>
    <n v="7617"/>
    <n v="8867"/>
    <n v="50153"/>
    <m/>
    <m/>
    <n v="53621"/>
    <m/>
    <n v="7"/>
    <m/>
    <m/>
    <n v="23963"/>
    <n v="22521"/>
    <n v="12943"/>
    <n v="11528"/>
    <n v="1639"/>
    <n v="2352"/>
    <n v="9381"/>
    <m/>
    <m/>
    <n v="8641"/>
    <m/>
    <m/>
    <m/>
    <m/>
  </r>
  <r>
    <x v="3"/>
    <s v="New College of Florida"/>
    <m/>
    <n v="262129"/>
    <x v="5"/>
    <n v="28208"/>
    <n v="28520"/>
    <n v="28208"/>
    <n v="28520"/>
    <m/>
    <m/>
    <m/>
    <m/>
    <m/>
    <m/>
    <m/>
    <m/>
    <m/>
    <m/>
    <n v="0"/>
    <n v="0"/>
    <m/>
    <m/>
    <m/>
    <m/>
    <m/>
    <m/>
    <m/>
    <m/>
    <m/>
    <m/>
    <m/>
    <m/>
  </r>
  <r>
    <x v="3"/>
    <s v="Chipola College "/>
    <m/>
    <n v="133021"/>
    <x v="12"/>
    <n v="46079"/>
    <n v="45256"/>
    <n v="10067"/>
    <n v="25504"/>
    <n v="1709"/>
    <n v="2549"/>
    <n v="6298"/>
    <n v="0"/>
    <n v="28002"/>
    <n v="5907"/>
    <n v="0"/>
    <n v="11296"/>
    <n v="3"/>
    <n v="0"/>
    <n v="0"/>
    <n v="0"/>
    <m/>
    <m/>
    <m/>
    <m/>
    <m/>
    <m/>
    <m/>
    <m/>
    <m/>
    <m/>
    <m/>
    <m/>
  </r>
  <r>
    <x v="3"/>
    <s v="Daytona State College "/>
    <m/>
    <n v="133386"/>
    <x v="12"/>
    <n v="377587"/>
    <n v="330531"/>
    <n v="281729"/>
    <n v="237200"/>
    <n v="0"/>
    <n v="0"/>
    <n v="95837"/>
    <n v="0"/>
    <n v="21"/>
    <n v="93331"/>
    <n v="0"/>
    <n v="0"/>
    <n v="0"/>
    <n v="0"/>
    <n v="0"/>
    <n v="0"/>
    <m/>
    <m/>
    <m/>
    <m/>
    <m/>
    <m/>
    <m/>
    <m/>
    <m/>
    <m/>
    <m/>
    <m/>
  </r>
  <r>
    <x v="3"/>
    <s v="Edison State College "/>
    <m/>
    <n v="133508"/>
    <x v="12"/>
    <n v="365357"/>
    <n v="330462"/>
    <n v="282235"/>
    <n v="253017"/>
    <n v="12797"/>
    <n v="11119"/>
    <n v="54151"/>
    <n v="108"/>
    <n v="9097"/>
    <n v="56475"/>
    <n v="33"/>
    <n v="3604"/>
    <n v="6969"/>
    <n v="6214"/>
    <n v="0"/>
    <n v="0"/>
    <m/>
    <m/>
    <m/>
    <m/>
    <m/>
    <m/>
    <m/>
    <m/>
    <m/>
    <m/>
    <m/>
    <m/>
  </r>
  <r>
    <x v="3"/>
    <s v="Florida State College at Jacksonville"/>
    <m/>
    <n v="133702"/>
    <x v="12"/>
    <n v="682953"/>
    <n v="637591"/>
    <n v="377862"/>
    <n v="388530"/>
    <n v="8017"/>
    <n v="16780"/>
    <n v="297074"/>
    <n v="0"/>
    <n v="0"/>
    <n v="232281"/>
    <n v="0"/>
    <n v="0"/>
    <n v="0"/>
    <n v="0"/>
    <n v="0"/>
    <n v="0"/>
    <m/>
    <m/>
    <m/>
    <m/>
    <m/>
    <m/>
    <m/>
    <m/>
    <m/>
    <m/>
    <m/>
    <m/>
  </r>
  <r>
    <x v="3"/>
    <s v="Indian River State College "/>
    <m/>
    <n v="134608"/>
    <x v="12"/>
    <n v="341318"/>
    <n v="339318"/>
    <n v="248045"/>
    <n v="249634"/>
    <n v="10489"/>
    <n v="10563"/>
    <n v="61964"/>
    <n v="0"/>
    <n v="20468"/>
    <n v="66815"/>
    <n v="2961"/>
    <n v="8932"/>
    <n v="352"/>
    <n v="413"/>
    <n v="0"/>
    <n v="0"/>
    <m/>
    <m/>
    <m/>
    <m/>
    <m/>
    <m/>
    <m/>
    <m/>
    <m/>
    <m/>
    <m/>
    <m/>
  </r>
  <r>
    <x v="3"/>
    <s v="Miami Dade College "/>
    <m/>
    <n v="135717"/>
    <x v="12"/>
    <n v="1654124"/>
    <n v="1596112"/>
    <n v="1203140"/>
    <n v="1331322"/>
    <n v="12930"/>
    <n v="12456"/>
    <n v="397912"/>
    <n v="0"/>
    <n v="40142"/>
    <n v="234009"/>
    <n v="0"/>
    <n v="18325"/>
    <n v="0"/>
    <n v="0"/>
    <n v="0"/>
    <n v="0"/>
    <m/>
    <m/>
    <m/>
    <m/>
    <m/>
    <m/>
    <m/>
    <m/>
    <m/>
    <m/>
    <m/>
    <m/>
  </r>
  <r>
    <x v="3"/>
    <s v="Northwest Florida State College"/>
    <m/>
    <n v="136233"/>
    <x v="12"/>
    <n v="162396"/>
    <n v="152096"/>
    <n v="97094"/>
    <n v="94296"/>
    <n v="17614"/>
    <n v="18249"/>
    <n v="24364"/>
    <n v="0"/>
    <n v="13640"/>
    <n v="29614"/>
    <n v="0"/>
    <n v="5202"/>
    <n v="9684"/>
    <n v="4735"/>
    <n v="0"/>
    <n v="0"/>
    <m/>
    <m/>
    <m/>
    <m/>
    <m/>
    <m/>
    <m/>
    <m/>
    <m/>
    <m/>
    <m/>
    <m/>
  </r>
  <r>
    <x v="3"/>
    <s v="St. Petersburg College "/>
    <m/>
    <n v="137078"/>
    <x v="12"/>
    <n v="679694"/>
    <n v="644360"/>
    <n v="365714"/>
    <n v="377076"/>
    <n v="0"/>
    <n v="0"/>
    <n v="254204"/>
    <n v="426"/>
    <n v="54550"/>
    <n v="249405"/>
    <n v="183"/>
    <n v="17686"/>
    <n v="4800"/>
    <n v="10"/>
    <n v="0"/>
    <n v="0"/>
    <m/>
    <m/>
    <m/>
    <m/>
    <m/>
    <m/>
    <m/>
    <m/>
    <m/>
    <m/>
    <m/>
    <m/>
  </r>
  <r>
    <x v="3"/>
    <s v="Brevard Community College "/>
    <m/>
    <n v="132693"/>
    <x v="6"/>
    <n v="372944"/>
    <n v="346766"/>
    <n v="219853"/>
    <n v="242795"/>
    <n v="7202"/>
    <n v="7846"/>
    <n v="111667"/>
    <n v="0"/>
    <n v="34222"/>
    <n v="70366"/>
    <n v="0"/>
    <n v="25759"/>
    <n v="0"/>
    <n v="0"/>
    <n v="0"/>
    <n v="0"/>
    <m/>
    <m/>
    <m/>
    <m/>
    <m/>
    <m/>
    <m/>
    <m/>
    <m/>
    <m/>
    <m/>
    <m/>
  </r>
  <r>
    <x v="3"/>
    <s v="Broward College "/>
    <s v="Met the criteria for Two-Year with Bachelor's in 2011-12 and 2012-13."/>
    <n v="132709"/>
    <x v="6"/>
    <n v="921681"/>
    <n v="901286"/>
    <n v="694714"/>
    <n v="694543"/>
    <n v="58276"/>
    <n v="62917"/>
    <n v="93235"/>
    <n v="1035"/>
    <n v="73014"/>
    <n v="107949"/>
    <n v="713"/>
    <n v="34675"/>
    <n v="1407"/>
    <n v="489"/>
    <n v="0"/>
    <n v="0"/>
    <m/>
    <m/>
    <m/>
    <m/>
    <m/>
    <m/>
    <m/>
    <m/>
    <m/>
    <m/>
    <m/>
    <m/>
  </r>
  <r>
    <x v="3"/>
    <s v="College of Central Florida"/>
    <m/>
    <n v="132851"/>
    <x v="6"/>
    <n v="184131"/>
    <n v="174855"/>
    <n v="129758"/>
    <n v="127387"/>
    <n v="0"/>
    <n v="0"/>
    <n v="42119"/>
    <n v="0"/>
    <n v="12254"/>
    <n v="26566"/>
    <n v="15185"/>
    <n v="5717"/>
    <n v="0"/>
    <n v="0"/>
    <n v="0"/>
    <n v="0"/>
    <m/>
    <m/>
    <m/>
    <m/>
    <m/>
    <m/>
    <m/>
    <m/>
    <m/>
    <m/>
    <m/>
    <m/>
  </r>
  <r>
    <x v="3"/>
    <s v="Hillsborough Community College "/>
    <m/>
    <n v="134495"/>
    <x v="6"/>
    <n v="603772"/>
    <n v="586943"/>
    <n v="474178"/>
    <n v="460847"/>
    <n v="14273"/>
    <n v="15416"/>
    <n v="69571"/>
    <n v="0"/>
    <n v="45750"/>
    <n v="72983"/>
    <n v="0"/>
    <n v="37697"/>
    <n v="0"/>
    <n v="0"/>
    <n v="0"/>
    <n v="0"/>
    <m/>
    <m/>
    <m/>
    <m/>
    <m/>
    <m/>
    <m/>
    <m/>
    <m/>
    <m/>
    <m/>
    <m/>
  </r>
  <r>
    <x v="3"/>
    <s v="Palm Beach State College "/>
    <s v="Met the criteria for Two-Year with Bachelor's in 2011-12 and 2012-13."/>
    <n v="136358"/>
    <x v="6"/>
    <n v="592459"/>
    <n v="570968"/>
    <n v="464781"/>
    <n v="468491"/>
    <n v="12088"/>
    <n v="10357"/>
    <n v="100613"/>
    <n v="1947"/>
    <n v="13030"/>
    <n v="85542"/>
    <n v="840"/>
    <n v="5738"/>
    <n v="0"/>
    <n v="0"/>
    <n v="0"/>
    <n v="0"/>
    <m/>
    <m/>
    <m/>
    <m/>
    <m/>
    <m/>
    <m/>
    <m/>
    <m/>
    <m/>
    <m/>
    <m/>
  </r>
  <r>
    <x v="3"/>
    <s v="Pasco-Hernando Community College "/>
    <m/>
    <n v="136400"/>
    <x v="6"/>
    <n v="222781"/>
    <n v="209399"/>
    <n v="179472"/>
    <n v="162049"/>
    <n v="7663"/>
    <n v="9035"/>
    <n v="35150"/>
    <n v="0"/>
    <n v="496"/>
    <n v="38007"/>
    <n v="0"/>
    <n v="308"/>
    <n v="0"/>
    <n v="0"/>
    <n v="0"/>
    <n v="0"/>
    <m/>
    <m/>
    <m/>
    <m/>
    <m/>
    <m/>
    <m/>
    <m/>
    <m/>
    <m/>
    <m/>
    <m/>
  </r>
  <r>
    <x v="3"/>
    <s v="Pensacola State College "/>
    <s v="Met the criteria for Two-Year with Bachelor's in 2012-13."/>
    <n v="136473"/>
    <x v="6"/>
    <n v="252635"/>
    <n v="249101"/>
    <n v="196934"/>
    <n v="188238"/>
    <n v="11484"/>
    <n v="19972"/>
    <n v="37524"/>
    <n v="0"/>
    <n v="6693"/>
    <n v="38276"/>
    <n v="0"/>
    <n v="2615"/>
    <n v="0"/>
    <n v="0"/>
    <n v="0"/>
    <n v="0"/>
    <m/>
    <m/>
    <m/>
    <m/>
    <m/>
    <m/>
    <m/>
    <m/>
    <m/>
    <m/>
    <m/>
    <m/>
  </r>
  <r>
    <x v="3"/>
    <s v="Polk State College "/>
    <s v="Met the criteria for Two-Year with Bachelor's in 2011-12 and 2012-13."/>
    <n v="136516"/>
    <x v="6"/>
    <n v="219030"/>
    <n v="231209"/>
    <n v="156282"/>
    <n v="161450"/>
    <n v="13405"/>
    <n v="18074"/>
    <n v="35600"/>
    <n v="0"/>
    <n v="13743"/>
    <n v="44887"/>
    <n v="0"/>
    <n v="6798"/>
    <n v="0"/>
    <n v="0"/>
    <n v="0"/>
    <n v="0"/>
    <m/>
    <m/>
    <m/>
    <m/>
    <m/>
    <m/>
    <m/>
    <m/>
    <m/>
    <m/>
    <m/>
    <m/>
  </r>
  <r>
    <x v="3"/>
    <s v="Santa Fe College "/>
    <s v="Met the criteria for Two-Year with Bachelor's in 2012-13."/>
    <n v="137096"/>
    <x v="6"/>
    <n v="363960"/>
    <n v="349541"/>
    <n v="268875"/>
    <n v="266107"/>
    <n v="4423"/>
    <n v="3828"/>
    <n v="65615"/>
    <n v="0"/>
    <n v="25047"/>
    <n v="68854"/>
    <n v="0"/>
    <n v="10752"/>
    <n v="0"/>
    <n v="0"/>
    <n v="0"/>
    <n v="0"/>
    <m/>
    <m/>
    <m/>
    <m/>
    <m/>
    <m/>
    <m/>
    <m/>
    <m/>
    <m/>
    <m/>
    <m/>
  </r>
  <r>
    <x v="3"/>
    <s v="Seminole State College of Florida"/>
    <s v="Met the criteria for Two-Year with Bachelor's in 2012-13."/>
    <n v="137209"/>
    <x v="6"/>
    <n v="415156"/>
    <n v="415080"/>
    <n v="329072"/>
    <n v="332916"/>
    <n v="0"/>
    <n v="0"/>
    <n v="81623"/>
    <n v="0"/>
    <n v="4461"/>
    <n v="79563"/>
    <n v="0"/>
    <n v="2601"/>
    <n v="0"/>
    <n v="0"/>
    <n v="0"/>
    <n v="0"/>
    <m/>
    <m/>
    <m/>
    <m/>
    <m/>
    <m/>
    <m/>
    <m/>
    <m/>
    <m/>
    <m/>
    <m/>
  </r>
  <r>
    <x v="3"/>
    <s v="State College of Florida, Manatee-Sarasota"/>
    <s v="Met the criteria for Two-Year with Bachelor's in 2011-12 and 2012-13."/>
    <n v="135391"/>
    <x v="6"/>
    <n v="258433"/>
    <n v="246332"/>
    <n v="193907"/>
    <n v="176206"/>
    <n v="9332"/>
    <n v="10210"/>
    <n v="38391"/>
    <n v="1416"/>
    <n v="15387"/>
    <n v="19375"/>
    <n v="34494"/>
    <n v="6047"/>
    <n v="0"/>
    <n v="0"/>
    <n v="0"/>
    <n v="0"/>
    <m/>
    <m/>
    <m/>
    <m/>
    <m/>
    <m/>
    <m/>
    <m/>
    <m/>
    <m/>
    <m/>
    <m/>
  </r>
  <r>
    <x v="3"/>
    <s v="Tallahassee Community College "/>
    <m/>
    <n v="137759"/>
    <x v="6"/>
    <n v="352517"/>
    <n v="336419"/>
    <n v="34131"/>
    <n v="166937"/>
    <n v="1753"/>
    <n v="5992"/>
    <n v="32092"/>
    <n v="0"/>
    <n v="284541"/>
    <n v="49461"/>
    <n v="0"/>
    <n v="114029"/>
    <n v="0"/>
    <n v="0"/>
    <n v="0"/>
    <n v="0"/>
    <m/>
    <m/>
    <m/>
    <m/>
    <m/>
    <m/>
    <m/>
    <m/>
    <m/>
    <m/>
    <m/>
    <m/>
  </r>
  <r>
    <x v="3"/>
    <s v="Valencia Community College "/>
    <m/>
    <n v="138187"/>
    <x v="6"/>
    <n v="943242"/>
    <n v="911305"/>
    <n v="711310"/>
    <n v="714104"/>
    <n v="0"/>
    <n v="61"/>
    <n v="176569"/>
    <n v="0"/>
    <n v="55363"/>
    <n v="176451"/>
    <n v="0"/>
    <n v="20689"/>
    <n v="0"/>
    <n v="0"/>
    <n v="0"/>
    <n v="0"/>
    <m/>
    <m/>
    <m/>
    <m/>
    <m/>
    <m/>
    <m/>
    <m/>
    <m/>
    <m/>
    <m/>
    <m/>
  </r>
  <r>
    <x v="3"/>
    <s v="Florida Gateway College"/>
    <m/>
    <n v="135160"/>
    <x v="7"/>
    <n v="59830"/>
    <n v="58067"/>
    <n v="30588"/>
    <n v="29424"/>
    <n v="2137"/>
    <n v="5107"/>
    <n v="23566"/>
    <n v="1662"/>
    <n v="1877"/>
    <n v="22225"/>
    <n v="626"/>
    <n v="685"/>
    <n v="0"/>
    <n v="0"/>
    <n v="0"/>
    <n v="0"/>
    <m/>
    <m/>
    <m/>
    <m/>
    <m/>
    <m/>
    <m/>
    <m/>
    <m/>
    <m/>
    <m/>
    <m/>
  </r>
  <r>
    <x v="3"/>
    <s v="Gulf Coast Community College "/>
    <s v="Met the criteria for Two-Year with Bachelor's in 2012-13."/>
    <n v="134343"/>
    <x v="7"/>
    <n v="138301"/>
    <n v="130569"/>
    <n v="90065"/>
    <n v="81983"/>
    <n v="12541"/>
    <n v="13623"/>
    <n v="31695"/>
    <n v="2224"/>
    <n v="1776"/>
    <n v="32623"/>
    <n v="1428"/>
    <n v="912"/>
    <n v="0"/>
    <n v="0"/>
    <n v="0"/>
    <n v="0"/>
    <m/>
    <m/>
    <m/>
    <m/>
    <m/>
    <m/>
    <m/>
    <m/>
    <m/>
    <m/>
    <m/>
    <m/>
  </r>
  <r>
    <x v="3"/>
    <s v="Lake-Sumter Community College "/>
    <m/>
    <n v="135188"/>
    <x v="7"/>
    <n v="97223"/>
    <n v="92752"/>
    <n v="78086"/>
    <n v="78980"/>
    <n v="0"/>
    <n v="0"/>
    <n v="6341"/>
    <n v="0"/>
    <n v="12796"/>
    <n v="8385"/>
    <n v="0"/>
    <n v="5387"/>
    <n v="0"/>
    <n v="0"/>
    <n v="0"/>
    <n v="0"/>
    <m/>
    <m/>
    <m/>
    <m/>
    <m/>
    <m/>
    <m/>
    <m/>
    <m/>
    <m/>
    <m/>
    <m/>
  </r>
  <r>
    <x v="3"/>
    <s v="South Florida Community College "/>
    <m/>
    <n v="137315"/>
    <x v="7"/>
    <n v="47356"/>
    <n v="46647"/>
    <n v="4870"/>
    <n v="16841"/>
    <n v="2284"/>
    <n v="7661"/>
    <n v="5590"/>
    <n v="1251"/>
    <n v="27204"/>
    <n v="5529"/>
    <n v="1281"/>
    <n v="9523"/>
    <n v="6157"/>
    <n v="5812"/>
    <n v="0"/>
    <n v="0"/>
    <m/>
    <m/>
    <m/>
    <m/>
    <m/>
    <m/>
    <m/>
    <m/>
    <m/>
    <m/>
    <m/>
    <m/>
  </r>
  <r>
    <x v="3"/>
    <s v="St. Johns River Community College "/>
    <s v="Met the criteria for Two-Year with Bachelor's in 2011-12 and 2012-13."/>
    <n v="137281"/>
    <x v="7"/>
    <n v="143030"/>
    <n v="137839"/>
    <n v="96680"/>
    <n v="93684"/>
    <n v="9314"/>
    <n v="10476"/>
    <n v="31509"/>
    <n v="0"/>
    <n v="5527"/>
    <n v="31045"/>
    <n v="0"/>
    <n v="2634"/>
    <n v="0"/>
    <n v="0"/>
    <n v="0"/>
    <n v="0"/>
    <m/>
    <m/>
    <m/>
    <m/>
    <m/>
    <m/>
    <m/>
    <m/>
    <m/>
    <m/>
    <m/>
    <m/>
  </r>
  <r>
    <x v="3"/>
    <s v="Florida Keys Community College "/>
    <m/>
    <n v="133960"/>
    <x v="8"/>
    <n v="27535"/>
    <n v="24784"/>
    <n v="20266"/>
    <n v="19559"/>
    <n v="1058"/>
    <n v="562"/>
    <n v="3723"/>
    <n v="0"/>
    <n v="2488"/>
    <n v="4478"/>
    <n v="0"/>
    <n v="185"/>
    <n v="0"/>
    <n v="0"/>
    <n v="0"/>
    <n v="0"/>
    <m/>
    <m/>
    <m/>
    <m/>
    <m/>
    <m/>
    <m/>
    <m/>
    <m/>
    <m/>
    <m/>
    <m/>
  </r>
  <r>
    <x v="3"/>
    <s v="North Florida Community College "/>
    <m/>
    <n v="136145"/>
    <x v="8"/>
    <n v="26319"/>
    <n v="24486"/>
    <n v="1165"/>
    <n v="10909"/>
    <n v="358"/>
    <n v="920"/>
    <n v="5494"/>
    <n v="0"/>
    <n v="19302"/>
    <n v="5966"/>
    <n v="0"/>
    <n v="6691"/>
    <n v="0"/>
    <n v="0"/>
    <n v="0"/>
    <n v="0"/>
    <m/>
    <m/>
    <m/>
    <m/>
    <m/>
    <m/>
    <m/>
    <m/>
    <m/>
    <m/>
    <m/>
    <m/>
  </r>
  <r>
    <x v="4"/>
    <s v="Georgia State University "/>
    <m/>
    <n v="139940"/>
    <x v="0"/>
    <n v="0"/>
    <n v="652503.5"/>
    <m/>
    <n v="618126.5"/>
    <m/>
    <n v="9829"/>
    <m/>
    <m/>
    <m/>
    <n v="21925"/>
    <n v="0"/>
    <n v="2623"/>
    <m/>
    <n v="0"/>
    <n v="0"/>
    <n v="0"/>
    <m/>
    <m/>
    <m/>
    <m/>
    <m/>
    <m/>
    <m/>
    <m/>
    <m/>
    <m/>
    <m/>
    <m/>
  </r>
  <r>
    <x v="4"/>
    <s v="University of Georgia"/>
    <m/>
    <n v="139959"/>
    <x v="0"/>
    <n v="0"/>
    <n v="752074.9"/>
    <m/>
    <n v="727648.9"/>
    <m/>
    <n v="14241"/>
    <m/>
    <m/>
    <m/>
    <n v="10176"/>
    <n v="0"/>
    <n v="0"/>
    <m/>
    <n v="9"/>
    <n v="0"/>
    <n v="0"/>
    <m/>
    <m/>
    <m/>
    <m/>
    <m/>
    <m/>
    <m/>
    <m/>
    <m/>
    <m/>
    <m/>
    <m/>
  </r>
  <r>
    <x v="4"/>
    <s v="Georgia Institute of Technology"/>
    <m/>
    <n v="139755"/>
    <x v="1"/>
    <n v="0"/>
    <n v="423928"/>
    <m/>
    <n v="409592"/>
    <m/>
    <n v="11280"/>
    <m/>
    <m/>
    <m/>
    <n v="1638"/>
    <n v="899"/>
    <n v="519"/>
    <m/>
    <n v="0"/>
    <n v="0"/>
    <n v="0"/>
    <m/>
    <m/>
    <m/>
    <m/>
    <m/>
    <m/>
    <m/>
    <m/>
    <m/>
    <m/>
    <m/>
    <m/>
  </r>
  <r>
    <x v="4"/>
    <s v="Georgia Southern University"/>
    <m/>
    <n v="139931"/>
    <x v="2"/>
    <n v="0"/>
    <n v="514241"/>
    <m/>
    <n v="460456"/>
    <m/>
    <n v="3505"/>
    <m/>
    <m/>
    <m/>
    <n v="50138"/>
    <n v="0"/>
    <n v="142"/>
    <m/>
    <n v="0"/>
    <n v="0"/>
    <n v="0"/>
    <m/>
    <m/>
    <m/>
    <m/>
    <m/>
    <m/>
    <m/>
    <m/>
    <m/>
    <m/>
    <m/>
    <m/>
  </r>
  <r>
    <x v="4"/>
    <s v="University of West Georgia"/>
    <m/>
    <n v="141334"/>
    <x v="2"/>
    <n v="0"/>
    <n v="274841"/>
    <m/>
    <n v="216653"/>
    <m/>
    <n v="8851"/>
    <m/>
    <m/>
    <m/>
    <n v="49310"/>
    <n v="0"/>
    <n v="27"/>
    <m/>
    <n v="0"/>
    <n v="0"/>
    <n v="0"/>
    <m/>
    <m/>
    <m/>
    <m/>
    <m/>
    <m/>
    <m/>
    <m/>
    <m/>
    <m/>
    <m/>
    <m/>
  </r>
  <r>
    <x v="4"/>
    <s v="Valdosta State University "/>
    <m/>
    <n v="141264"/>
    <x v="2"/>
    <n v="0"/>
    <n v="287977"/>
    <m/>
    <n v="258705"/>
    <m/>
    <n v="4509"/>
    <m/>
    <m/>
    <m/>
    <n v="24652"/>
    <n v="111"/>
    <n v="0"/>
    <m/>
    <n v="0"/>
    <n v="0"/>
    <n v="0"/>
    <m/>
    <m/>
    <m/>
    <m/>
    <m/>
    <m/>
    <m/>
    <m/>
    <m/>
    <m/>
    <m/>
    <m/>
  </r>
  <r>
    <x v="4"/>
    <s v="Albany State University "/>
    <m/>
    <n v="138716"/>
    <x v="3"/>
    <n v="0"/>
    <n v="106533"/>
    <m/>
    <n v="88298"/>
    <m/>
    <n v="2994"/>
    <m/>
    <m/>
    <m/>
    <n v="15172"/>
    <n v="0"/>
    <n v="69"/>
    <m/>
    <n v="0"/>
    <n v="0"/>
    <n v="0"/>
    <m/>
    <m/>
    <m/>
    <m/>
    <m/>
    <m/>
    <m/>
    <m/>
    <m/>
    <m/>
    <m/>
    <m/>
  </r>
  <r>
    <x v="4"/>
    <s v="Armstrong Atlantic State University"/>
    <m/>
    <n v="138789"/>
    <x v="3"/>
    <n v="0"/>
    <n v="176106"/>
    <m/>
    <n v="155414"/>
    <m/>
    <n v="3771"/>
    <m/>
    <m/>
    <m/>
    <n v="0"/>
    <n v="0"/>
    <n v="16921"/>
    <m/>
    <n v="0"/>
    <n v="0"/>
    <n v="0"/>
    <m/>
    <m/>
    <m/>
    <m/>
    <m/>
    <m/>
    <m/>
    <m/>
    <m/>
    <m/>
    <m/>
    <m/>
  </r>
  <r>
    <x v="4"/>
    <s v="Augusta State University"/>
    <s v="Reclassified: met the criteria for Four-Year 4 in 2010-11, 2011-12, and 2012-13."/>
    <n v="138983"/>
    <x v="3"/>
    <n v="0"/>
    <n v="147132"/>
    <m/>
    <n v="137963"/>
    <m/>
    <n v="767"/>
    <m/>
    <m/>
    <m/>
    <n v="8258"/>
    <n v="0"/>
    <n v="144"/>
    <m/>
    <n v="0"/>
    <n v="0"/>
    <n v="0"/>
    <m/>
    <m/>
    <m/>
    <m/>
    <m/>
    <m/>
    <m/>
    <m/>
    <m/>
    <m/>
    <m/>
    <m/>
  </r>
  <r>
    <x v="4"/>
    <s v="Columbus State University"/>
    <m/>
    <n v="139366"/>
    <x v="3"/>
    <n v="0"/>
    <n v="180948"/>
    <m/>
    <n v="149454"/>
    <m/>
    <n v="6015"/>
    <m/>
    <m/>
    <m/>
    <n v="24255"/>
    <n v="0"/>
    <n v="728"/>
    <m/>
    <n v="496"/>
    <n v="0"/>
    <n v="0"/>
    <m/>
    <m/>
    <m/>
    <m/>
    <m/>
    <m/>
    <m/>
    <m/>
    <m/>
    <m/>
    <m/>
    <m/>
  </r>
  <r>
    <x v="4"/>
    <s v="Georgia College and State University"/>
    <m/>
    <n v="139861"/>
    <x v="3"/>
    <n v="0"/>
    <n v="165640.5"/>
    <m/>
    <n v="158942.5"/>
    <m/>
    <n v="3948"/>
    <m/>
    <m/>
    <m/>
    <n v="432"/>
    <n v="0"/>
    <n v="2318"/>
    <m/>
    <n v="0"/>
    <n v="0"/>
    <n v="0"/>
    <m/>
    <m/>
    <m/>
    <m/>
    <m/>
    <m/>
    <m/>
    <m/>
    <m/>
    <m/>
    <m/>
    <m/>
  </r>
  <r>
    <x v="4"/>
    <s v="Kennesaw State University"/>
    <s v="Met the criteria for Four-Year 3 in 2011-12 and 2012-13."/>
    <n v="140164"/>
    <x v="3"/>
    <n v="0"/>
    <n v="595175"/>
    <m/>
    <n v="516677"/>
    <m/>
    <n v="2859"/>
    <m/>
    <m/>
    <m/>
    <n v="75639"/>
    <n v="0"/>
    <n v="0"/>
    <m/>
    <n v="0"/>
    <n v="0"/>
    <n v="0"/>
    <m/>
    <m/>
    <m/>
    <m/>
    <m/>
    <m/>
    <m/>
    <m/>
    <m/>
    <m/>
    <m/>
    <m/>
  </r>
  <r>
    <x v="4"/>
    <s v="North Georgia College and State University"/>
    <s v="Reclassified: met the criteria for Four-Year 4 in 2010-11, 2011-12, and 2012-13."/>
    <n v="140669"/>
    <x v="3"/>
    <n v="0"/>
    <n v="162274"/>
    <m/>
    <n v="143085"/>
    <m/>
    <n v="9559"/>
    <m/>
    <m/>
    <m/>
    <n v="9630"/>
    <n v="0"/>
    <n v="0"/>
    <m/>
    <n v="0"/>
    <n v="0"/>
    <n v="0"/>
    <m/>
    <m/>
    <m/>
    <m/>
    <m/>
    <m/>
    <m/>
    <m/>
    <m/>
    <m/>
    <m/>
    <m/>
  </r>
  <r>
    <x v="4"/>
    <s v="Clayton State University"/>
    <s v="Met the criteria for Four-Year 4 in 2012-13."/>
    <n v="139311"/>
    <x v="4"/>
    <n v="0"/>
    <n v="167161"/>
    <m/>
    <n v="141089"/>
    <m/>
    <n v="2036"/>
    <m/>
    <m/>
    <m/>
    <n v="23510"/>
    <n v="57"/>
    <n v="469"/>
    <m/>
    <n v="0"/>
    <n v="0"/>
    <n v="0"/>
    <m/>
    <m/>
    <m/>
    <m/>
    <m/>
    <m/>
    <m/>
    <m/>
    <m/>
    <m/>
    <m/>
    <m/>
  </r>
  <r>
    <x v="4"/>
    <s v="Fort Valley State University"/>
    <m/>
    <n v="139719"/>
    <x v="4"/>
    <n v="0"/>
    <n v="96447"/>
    <m/>
    <n v="85449"/>
    <m/>
    <n v="135"/>
    <m/>
    <m/>
    <m/>
    <n v="1038"/>
    <n v="0"/>
    <n v="9825"/>
    <m/>
    <n v="0"/>
    <n v="0"/>
    <n v="0"/>
    <m/>
    <m/>
    <m/>
    <m/>
    <m/>
    <m/>
    <m/>
    <m/>
    <m/>
    <m/>
    <m/>
    <m/>
  </r>
  <r>
    <x v="4"/>
    <s v="Georgia Southwestern State University"/>
    <m/>
    <n v="139764"/>
    <x v="4"/>
    <n v="0"/>
    <n v="74604"/>
    <m/>
    <n v="49806"/>
    <m/>
    <n v="573"/>
    <m/>
    <m/>
    <m/>
    <n v="16828"/>
    <n v="0"/>
    <n v="7397"/>
    <m/>
    <n v="0"/>
    <n v="0"/>
    <n v="0"/>
    <m/>
    <m/>
    <m/>
    <m/>
    <m/>
    <m/>
    <m/>
    <m/>
    <m/>
    <m/>
    <m/>
    <m/>
  </r>
  <r>
    <x v="4"/>
    <s v="Savannah State University"/>
    <m/>
    <n v="140960"/>
    <x v="4"/>
    <n v="0"/>
    <n v="118055"/>
    <m/>
    <n v="113568"/>
    <m/>
    <n v="129"/>
    <m/>
    <m/>
    <m/>
    <n v="2127"/>
    <n v="0"/>
    <n v="2231"/>
    <m/>
    <n v="0"/>
    <n v="0"/>
    <n v="0"/>
    <m/>
    <m/>
    <m/>
    <m/>
    <m/>
    <m/>
    <m/>
    <m/>
    <m/>
    <m/>
    <m/>
    <m/>
  </r>
  <r>
    <x v="4"/>
    <s v="Georgia Gwinnett College"/>
    <m/>
    <n v="447689"/>
    <x v="5"/>
    <n v="0"/>
    <n v="226020"/>
    <m/>
    <n v="226020"/>
    <m/>
    <n v="0"/>
    <m/>
    <m/>
    <m/>
    <n v="0"/>
    <n v="0"/>
    <n v="0"/>
    <m/>
    <n v="0"/>
    <n v="0"/>
    <n v="0"/>
    <m/>
    <m/>
    <m/>
    <m/>
    <m/>
    <m/>
    <m/>
    <m/>
    <m/>
    <m/>
    <m/>
    <m/>
  </r>
  <r>
    <x v="4"/>
    <s v="Macon State College "/>
    <m/>
    <n v="140322"/>
    <x v="5"/>
    <n v="0"/>
    <n v="137963"/>
    <m/>
    <n v="92732"/>
    <m/>
    <n v="19938"/>
    <m/>
    <m/>
    <m/>
    <n v="17604"/>
    <n v="0"/>
    <n v="7689"/>
    <m/>
    <n v="0"/>
    <n v="0"/>
    <n v="0"/>
    <m/>
    <m/>
    <m/>
    <m/>
    <m/>
    <m/>
    <m/>
    <m/>
    <m/>
    <m/>
    <m/>
    <m/>
  </r>
  <r>
    <x v="4"/>
    <s v="Dalton State College "/>
    <s v="Met the criteria for Four-Year 6 in 2011-12 and 2012-13."/>
    <n v="139463"/>
    <x v="12"/>
    <n v="0"/>
    <n v="118503"/>
    <m/>
    <n v="108902"/>
    <m/>
    <n v="6460"/>
    <m/>
    <m/>
    <m/>
    <n v="0"/>
    <n v="0"/>
    <n v="3141"/>
    <m/>
    <n v="0"/>
    <n v="0"/>
    <n v="0"/>
    <m/>
    <m/>
    <m/>
    <m/>
    <m/>
    <m/>
    <m/>
    <m/>
    <m/>
    <m/>
    <m/>
    <m/>
  </r>
  <r>
    <x v="4"/>
    <s v="Gainesville State College "/>
    <m/>
    <n v="139773"/>
    <x v="12"/>
    <n v="0"/>
    <n v="198169"/>
    <m/>
    <n v="134606"/>
    <m/>
    <n v="54103"/>
    <m/>
    <m/>
    <m/>
    <n v="9460"/>
    <n v="0"/>
    <n v="0"/>
    <m/>
    <n v="0"/>
    <n v="0"/>
    <n v="0"/>
    <m/>
    <m/>
    <m/>
    <m/>
    <m/>
    <m/>
    <m/>
    <m/>
    <m/>
    <m/>
    <m/>
    <m/>
  </r>
  <r>
    <x v="4"/>
    <s v="Gordon College "/>
    <m/>
    <n v="139968"/>
    <x v="12"/>
    <n v="0"/>
    <n v="104414"/>
    <m/>
    <n v="97694"/>
    <m/>
    <n v="4113"/>
    <m/>
    <m/>
    <m/>
    <n v="2607"/>
    <n v="0"/>
    <n v="0"/>
    <m/>
    <n v="0"/>
    <n v="0"/>
    <n v="0"/>
    <m/>
    <m/>
    <m/>
    <m/>
    <m/>
    <m/>
    <m/>
    <m/>
    <m/>
    <m/>
    <m/>
    <m/>
  </r>
  <r>
    <x v="4"/>
    <s v="Georgia Perimeter College "/>
    <m/>
    <n v="244437"/>
    <x v="6"/>
    <n v="0"/>
    <n v="551455"/>
    <m/>
    <n v="397320"/>
    <m/>
    <n v="3101"/>
    <m/>
    <m/>
    <m/>
    <n v="150941"/>
    <n v="0"/>
    <n v="93"/>
    <m/>
    <n v="0"/>
    <n v="0"/>
    <n v="0"/>
    <m/>
    <m/>
    <m/>
    <m/>
    <m/>
    <m/>
    <m/>
    <m/>
    <m/>
    <m/>
    <m/>
    <m/>
  </r>
  <r>
    <x v="4"/>
    <s v="Abraham Baldwin Agricultural College "/>
    <s v="Met the criteria for Two-Year with Bachelor's in 2011-12 and 2012-13. "/>
    <n v="138558"/>
    <x v="7"/>
    <n v="0"/>
    <n v="77815"/>
    <m/>
    <n v="70839"/>
    <m/>
    <n v="3596"/>
    <m/>
    <m/>
    <m/>
    <n v="1553"/>
    <n v="0"/>
    <n v="1827"/>
    <m/>
    <n v="0"/>
    <n v="0"/>
    <n v="0"/>
    <m/>
    <m/>
    <m/>
    <m/>
    <m/>
    <m/>
    <m/>
    <m/>
    <m/>
    <m/>
    <m/>
    <m/>
  </r>
  <r>
    <x v="4"/>
    <s v="Atlanta Metropolitan College"/>
    <m/>
    <n v="138901"/>
    <x v="7"/>
    <n v="0"/>
    <n v="71106"/>
    <m/>
    <n v="57250"/>
    <m/>
    <n v="686"/>
    <m/>
    <m/>
    <m/>
    <n v="0"/>
    <n v="0"/>
    <n v="13170"/>
    <m/>
    <n v="0"/>
    <n v="0"/>
    <n v="0"/>
    <m/>
    <m/>
    <m/>
    <m/>
    <m/>
    <m/>
    <m/>
    <m/>
    <m/>
    <m/>
    <m/>
    <m/>
  </r>
  <r>
    <x v="4"/>
    <s v="Bainbridge College "/>
    <m/>
    <n v="139010"/>
    <x v="7"/>
    <n v="0"/>
    <n v="86860"/>
    <m/>
    <n v="49852"/>
    <m/>
    <n v="12542"/>
    <m/>
    <m/>
    <m/>
    <n v="23183"/>
    <n v="0"/>
    <n v="1283"/>
    <m/>
    <n v="0"/>
    <n v="0"/>
    <n v="0"/>
    <m/>
    <m/>
    <m/>
    <m/>
    <m/>
    <m/>
    <m/>
    <m/>
    <m/>
    <m/>
    <m/>
    <m/>
  </r>
  <r>
    <x v="4"/>
    <s v="College of Coastal Georgia "/>
    <s v="Met the criteria for Two-Year with Bachelor's in 2011-12 and 2012-13. "/>
    <n v="139250"/>
    <x v="7"/>
    <n v="0"/>
    <n v="74547"/>
    <m/>
    <n v="68277"/>
    <m/>
    <n v="1083"/>
    <m/>
    <m/>
    <m/>
    <n v="0"/>
    <n v="0"/>
    <n v="5187"/>
    <m/>
    <n v="0"/>
    <n v="0"/>
    <n v="0"/>
    <m/>
    <m/>
    <m/>
    <m/>
    <m/>
    <m/>
    <m/>
    <m/>
    <m/>
    <m/>
    <m/>
    <m/>
  </r>
  <r>
    <x v="4"/>
    <s v="Darton College "/>
    <m/>
    <n v="138691"/>
    <x v="7"/>
    <n v="0"/>
    <n v="149261.5"/>
    <m/>
    <n v="84369.5"/>
    <m/>
    <n v="8579"/>
    <m/>
    <m/>
    <m/>
    <n v="48973"/>
    <n v="0"/>
    <n v="7340"/>
    <m/>
    <n v="0"/>
    <n v="0"/>
    <n v="0"/>
    <m/>
    <m/>
    <m/>
    <m/>
    <m/>
    <m/>
    <m/>
    <m/>
    <m/>
    <m/>
    <m/>
    <m/>
  </r>
  <r>
    <x v="4"/>
    <s v="East Georgia College"/>
    <m/>
    <n v="139621"/>
    <x v="7"/>
    <n v="0"/>
    <n v="75157"/>
    <m/>
    <n v="48336"/>
    <m/>
    <n v="16302"/>
    <m/>
    <m/>
    <m/>
    <n v="10122"/>
    <n v="0"/>
    <n v="397"/>
    <m/>
    <n v="0"/>
    <n v="0"/>
    <n v="0"/>
    <m/>
    <m/>
    <m/>
    <m/>
    <m/>
    <m/>
    <m/>
    <m/>
    <m/>
    <m/>
    <m/>
    <m/>
  </r>
  <r>
    <x v="4"/>
    <s v="Georgia Highlands College"/>
    <m/>
    <n v="139700"/>
    <x v="7"/>
    <n v="0"/>
    <n v="124842"/>
    <m/>
    <n v="102858"/>
    <m/>
    <n v="9918"/>
    <m/>
    <m/>
    <m/>
    <n v="7484"/>
    <n v="0"/>
    <n v="4150"/>
    <m/>
    <n v="432"/>
    <n v="0"/>
    <n v="0"/>
    <m/>
    <m/>
    <m/>
    <m/>
    <m/>
    <m/>
    <m/>
    <m/>
    <m/>
    <m/>
    <m/>
    <m/>
  </r>
  <r>
    <x v="4"/>
    <s v="Middle Georgia College "/>
    <s v="Met the criteria for Two-Year with Bachelor's in 2011-12 and 2012-13. "/>
    <n v="140483"/>
    <x v="7"/>
    <n v="0"/>
    <n v="79980"/>
    <m/>
    <n v="38781"/>
    <m/>
    <n v="21129"/>
    <m/>
    <m/>
    <m/>
    <n v="20040"/>
    <n v="0"/>
    <n v="30"/>
    <m/>
    <n v="0"/>
    <n v="0"/>
    <n v="0"/>
    <m/>
    <m/>
    <m/>
    <m/>
    <m/>
    <m/>
    <m/>
    <m/>
    <m/>
    <m/>
    <m/>
    <m/>
  </r>
  <r>
    <x v="4"/>
    <s v="South Georgia College "/>
    <m/>
    <n v="140997"/>
    <x v="8"/>
    <n v="0"/>
    <n v="58791"/>
    <m/>
    <n v="38326"/>
    <m/>
    <n v="17552"/>
    <m/>
    <m/>
    <m/>
    <n v="2058"/>
    <n v="0"/>
    <n v="855"/>
    <m/>
    <n v="0"/>
    <n v="0"/>
    <n v="0"/>
    <m/>
    <m/>
    <m/>
    <m/>
    <m/>
    <m/>
    <m/>
    <m/>
    <m/>
    <m/>
    <m/>
    <m/>
  </r>
  <r>
    <x v="4"/>
    <s v="Waycross College "/>
    <m/>
    <n v="141307"/>
    <x v="8"/>
    <n v="0"/>
    <n v="20062"/>
    <m/>
    <n v="19939"/>
    <m/>
    <n v="123"/>
    <m/>
    <m/>
    <m/>
    <n v="0"/>
    <n v="0"/>
    <n v="0"/>
    <m/>
    <n v="0"/>
    <n v="0"/>
    <n v="0"/>
    <m/>
    <m/>
    <m/>
    <m/>
    <m/>
    <m/>
    <m/>
    <m/>
    <m/>
    <m/>
    <m/>
    <m/>
  </r>
  <r>
    <x v="4"/>
    <s v="Albany Technical College"/>
    <m/>
    <n v="138682"/>
    <x v="9"/>
    <n v="157927.70000000001"/>
    <n v="120310"/>
    <n v="97891"/>
    <n v="71042"/>
    <m/>
    <m/>
    <n v="60036.7"/>
    <n v="0"/>
    <m/>
    <n v="49268"/>
    <n v="0"/>
    <m/>
    <m/>
    <m/>
    <n v="0"/>
    <n v="0"/>
    <m/>
    <m/>
    <m/>
    <m/>
    <m/>
    <m/>
    <m/>
    <m/>
    <m/>
    <m/>
    <m/>
    <m/>
  </r>
  <r>
    <x v="4"/>
    <s v="Altamaha Technical College"/>
    <m/>
    <n v="366447"/>
    <x v="9"/>
    <n v="37106.6"/>
    <n v="34176"/>
    <n v="31070"/>
    <n v="28964"/>
    <m/>
    <m/>
    <n v="6036.6"/>
    <n v="0"/>
    <m/>
    <n v="5149"/>
    <n v="63"/>
    <m/>
    <m/>
    <m/>
    <n v="0"/>
    <n v="0"/>
    <m/>
    <m/>
    <m/>
    <m/>
    <m/>
    <m/>
    <m/>
    <m/>
    <m/>
    <m/>
    <m/>
    <m/>
  </r>
  <r>
    <x v="4"/>
    <s v="Athens Technical College"/>
    <m/>
    <n v="246813"/>
    <x v="9"/>
    <n v="125489.7"/>
    <n v="98357"/>
    <n v="110302.5"/>
    <n v="85759"/>
    <m/>
    <m/>
    <n v="14240.8"/>
    <n v="946.4"/>
    <m/>
    <n v="11132"/>
    <n v="1466"/>
    <m/>
    <m/>
    <m/>
    <n v="0"/>
    <n v="0"/>
    <m/>
    <m/>
    <m/>
    <m/>
    <m/>
    <m/>
    <m/>
    <m/>
    <m/>
    <m/>
    <m/>
    <m/>
  </r>
  <r>
    <x v="4"/>
    <s v="Atlanta Technical College"/>
    <m/>
    <n v="138840"/>
    <x v="9"/>
    <n v="139261.6"/>
    <n v="118303"/>
    <n v="118905.2"/>
    <n v="99829"/>
    <m/>
    <m/>
    <n v="20356.400000000001"/>
    <n v="0"/>
    <m/>
    <n v="18474"/>
    <n v="0"/>
    <m/>
    <m/>
    <m/>
    <n v="0"/>
    <n v="0"/>
    <m/>
    <m/>
    <m/>
    <m/>
    <m/>
    <m/>
    <m/>
    <m/>
    <m/>
    <m/>
    <m/>
    <m/>
  </r>
  <r>
    <x v="4"/>
    <s v="Augusta Technical College"/>
    <m/>
    <n v="138956"/>
    <x v="9"/>
    <n v="119168.20000000001"/>
    <n v="103667"/>
    <n v="103669.6"/>
    <n v="90953"/>
    <m/>
    <m/>
    <n v="15498.6"/>
    <n v="0"/>
    <m/>
    <n v="12714"/>
    <n v="0"/>
    <m/>
    <m/>
    <m/>
    <n v="0"/>
    <n v="0"/>
    <m/>
    <m/>
    <m/>
    <m/>
    <m/>
    <m/>
    <m/>
    <m/>
    <m/>
    <m/>
    <m/>
    <m/>
  </r>
  <r>
    <x v="4"/>
    <s v="Central Georgia Technical College"/>
    <m/>
    <n v="140304"/>
    <x v="9"/>
    <n v="185092.40000000002"/>
    <n v="119728"/>
    <n v="129573.4"/>
    <n v="78866"/>
    <m/>
    <m/>
    <n v="54868.3"/>
    <n v="650.70000000000005"/>
    <m/>
    <n v="38249"/>
    <n v="2613"/>
    <m/>
    <m/>
    <m/>
    <n v="0"/>
    <n v="0"/>
    <m/>
    <m/>
    <m/>
    <m/>
    <m/>
    <m/>
    <m/>
    <m/>
    <m/>
    <m/>
    <m/>
    <m/>
  </r>
  <r>
    <x v="4"/>
    <s v="Chattahoochee Technical College"/>
    <m/>
    <n v="140331"/>
    <x v="9"/>
    <n v="308698.5"/>
    <n v="247327"/>
    <n v="244988.5"/>
    <n v="191143"/>
    <m/>
    <m/>
    <n v="63710"/>
    <n v="0"/>
    <m/>
    <n v="56184"/>
    <n v="0"/>
    <m/>
    <m/>
    <m/>
    <n v="0"/>
    <n v="0"/>
    <m/>
    <m/>
    <m/>
    <m/>
    <m/>
    <m/>
    <m/>
    <m/>
    <m/>
    <m/>
    <m/>
    <m/>
  </r>
  <r>
    <x v="4"/>
    <s v="Columbus Technical College"/>
    <m/>
    <n v="139357"/>
    <x v="9"/>
    <n v="95272.099999999991"/>
    <n v="93927"/>
    <n v="79356.2"/>
    <n v="77544"/>
    <m/>
    <m/>
    <n v="15915.9"/>
    <n v="0"/>
    <m/>
    <n v="16383"/>
    <n v="0"/>
    <m/>
    <m/>
    <m/>
    <n v="0"/>
    <n v="0"/>
    <m/>
    <m/>
    <m/>
    <m/>
    <m/>
    <m/>
    <m/>
    <m/>
    <m/>
    <m/>
    <m/>
    <m/>
  </r>
  <r>
    <x v="4"/>
    <s v="Georgia Northwestern Technical College"/>
    <m/>
    <n v="139384"/>
    <x v="9"/>
    <n v="174431.8"/>
    <n v="140965"/>
    <n v="128342.2"/>
    <n v="103194"/>
    <m/>
    <m/>
    <n v="46089.599999999999"/>
    <n v="0"/>
    <m/>
    <n v="37771"/>
    <n v="0"/>
    <m/>
    <m/>
    <m/>
    <n v="0"/>
    <n v="0"/>
    <m/>
    <m/>
    <m/>
    <m/>
    <m/>
    <m/>
    <m/>
    <m/>
    <m/>
    <m/>
    <m/>
    <m/>
  </r>
  <r>
    <x v="4"/>
    <s v="Georgia Piedmont Technical College"/>
    <m/>
    <n v="244446"/>
    <x v="9"/>
    <n v="119339.8"/>
    <n v="91584"/>
    <n v="83241.5"/>
    <n v="65412"/>
    <m/>
    <m/>
    <n v="36098.300000000003"/>
    <n v="0"/>
    <m/>
    <n v="26172"/>
    <n v="0"/>
    <m/>
    <m/>
    <m/>
    <n v="0"/>
    <n v="0"/>
    <m/>
    <m/>
    <m/>
    <m/>
    <m/>
    <m/>
    <m/>
    <m/>
    <m/>
    <m/>
    <m/>
    <m/>
  </r>
  <r>
    <x v="4"/>
    <s v="Gwinnett Technical College"/>
    <m/>
    <n v="140012"/>
    <x v="9"/>
    <n v="173572.7"/>
    <n v="153524"/>
    <n v="130399.6"/>
    <n v="114522"/>
    <m/>
    <m/>
    <n v="43173.1"/>
    <n v="0"/>
    <m/>
    <n v="39002"/>
    <n v="0"/>
    <m/>
    <m/>
    <m/>
    <n v="0"/>
    <n v="0"/>
    <m/>
    <m/>
    <m/>
    <m/>
    <m/>
    <m/>
    <m/>
    <m/>
    <m/>
    <m/>
    <m/>
    <m/>
  </r>
  <r>
    <x v="4"/>
    <s v="Lanier Technical College"/>
    <m/>
    <n v="140243"/>
    <x v="9"/>
    <n v="92952.5"/>
    <n v="76494"/>
    <n v="61222"/>
    <n v="52494"/>
    <m/>
    <m/>
    <n v="31730.5"/>
    <n v="0"/>
    <m/>
    <n v="24000"/>
    <n v="0"/>
    <m/>
    <m/>
    <m/>
    <n v="0"/>
    <n v="0"/>
    <m/>
    <m/>
    <m/>
    <m/>
    <m/>
    <m/>
    <m/>
    <m/>
    <m/>
    <m/>
    <m/>
    <m/>
  </r>
  <r>
    <x v="4"/>
    <s v="Middle Georgia Technical College"/>
    <m/>
    <n v="140085"/>
    <x v="9"/>
    <n v="110618"/>
    <n v="94353"/>
    <n v="85972.5"/>
    <n v="69665"/>
    <m/>
    <m/>
    <n v="24645.5"/>
    <n v="0"/>
    <m/>
    <n v="24688"/>
    <n v="0"/>
    <m/>
    <m/>
    <m/>
    <n v="0"/>
    <n v="0"/>
    <m/>
    <m/>
    <m/>
    <m/>
    <m/>
    <m/>
    <m/>
    <m/>
    <m/>
    <m/>
    <m/>
    <m/>
  </r>
  <r>
    <x v="4"/>
    <s v="Moultrie Technical College"/>
    <m/>
    <n v="140599"/>
    <x v="9"/>
    <n v="64625.799999999996"/>
    <n v="47434"/>
    <n v="51189.7"/>
    <n v="37011"/>
    <m/>
    <m/>
    <n v="13436.1"/>
    <n v="0"/>
    <m/>
    <n v="10423"/>
    <n v="0"/>
    <m/>
    <m/>
    <m/>
    <n v="0"/>
    <n v="0"/>
    <m/>
    <m/>
    <m/>
    <m/>
    <m/>
    <m/>
    <m/>
    <m/>
    <m/>
    <m/>
    <m/>
    <m/>
  </r>
  <r>
    <x v="4"/>
    <s v="North Georgia Technical College"/>
    <m/>
    <n v="140678"/>
    <x v="9"/>
    <n v="72260.299999999988"/>
    <n v="60703"/>
    <n v="55573.4"/>
    <n v="47492"/>
    <m/>
    <m/>
    <n v="13700.5"/>
    <n v="2986.4"/>
    <m/>
    <n v="10823"/>
    <n v="2388"/>
    <m/>
    <m/>
    <m/>
    <n v="0"/>
    <n v="0"/>
    <m/>
    <m/>
    <m/>
    <m/>
    <m/>
    <m/>
    <m/>
    <m/>
    <m/>
    <m/>
    <m/>
    <m/>
  </r>
  <r>
    <x v="4"/>
    <s v="Oconee Fall Line Technical College"/>
    <m/>
    <n v="420431"/>
    <x v="9"/>
    <n v="59677.2"/>
    <n v="42833"/>
    <n v="50085.2"/>
    <n v="34075"/>
    <m/>
    <m/>
    <n v="9147.2999999999993"/>
    <n v="444.7"/>
    <n v="0"/>
    <n v="8758"/>
    <n v="0"/>
    <m/>
    <n v="0"/>
    <m/>
    <n v="0"/>
    <n v="0"/>
    <n v="0"/>
    <m/>
    <n v="0"/>
    <m/>
    <n v="0"/>
    <n v="0"/>
    <n v="0"/>
    <m/>
    <m/>
    <m/>
    <n v="0"/>
    <m/>
  </r>
  <r>
    <x v="4"/>
    <s v="Ogeechee Technical College"/>
    <m/>
    <n v="366465"/>
    <x v="9"/>
    <n v="71441.200000000012"/>
    <n v="58494"/>
    <n v="52442.8"/>
    <n v="45914"/>
    <m/>
    <m/>
    <n v="18998.400000000001"/>
    <n v="0"/>
    <m/>
    <n v="12580"/>
    <n v="0"/>
    <m/>
    <m/>
    <m/>
    <n v="0"/>
    <n v="0"/>
    <m/>
    <m/>
    <m/>
    <m/>
    <m/>
    <m/>
    <m/>
    <m/>
    <m/>
    <m/>
    <m/>
    <m/>
  </r>
  <r>
    <x v="4"/>
    <s v="Okefenokee Technical College"/>
    <m/>
    <n v="248776"/>
    <x v="9"/>
    <n v="35327.800000000003"/>
    <n v="30438"/>
    <n v="31224.3"/>
    <n v="26860"/>
    <m/>
    <m/>
    <n v="4103.5"/>
    <n v="0"/>
    <m/>
    <n v="3578"/>
    <n v="0"/>
    <m/>
    <m/>
    <m/>
    <n v="0"/>
    <n v="0"/>
    <m/>
    <m/>
    <m/>
    <m/>
    <m/>
    <m/>
    <m/>
    <m/>
    <m/>
    <m/>
    <m/>
    <m/>
  </r>
  <r>
    <x v="4"/>
    <s v="Savannah Technical College"/>
    <m/>
    <n v="140942"/>
    <x v="9"/>
    <n v="135656.69999999998"/>
    <n v="110208"/>
    <n v="104294.9"/>
    <n v="85278"/>
    <m/>
    <m/>
    <n v="31361.8"/>
    <n v="0"/>
    <m/>
    <n v="24216"/>
    <n v="714"/>
    <m/>
    <m/>
    <m/>
    <n v="0"/>
    <n v="0"/>
    <m/>
    <m/>
    <m/>
    <m/>
    <m/>
    <m/>
    <m/>
    <m/>
    <m/>
    <m/>
    <m/>
    <m/>
  </r>
  <r>
    <x v="4"/>
    <s v="South Georgia Technical College"/>
    <m/>
    <n v="141006"/>
    <x v="9"/>
    <n v="73009.099999999991"/>
    <n v="49479.7"/>
    <n v="60842.7"/>
    <n v="41739.699999999997"/>
    <m/>
    <m/>
    <n v="12166.4"/>
    <n v="0"/>
    <m/>
    <n v="7740"/>
    <n v="0"/>
    <m/>
    <m/>
    <m/>
    <n v="0"/>
    <n v="0"/>
    <m/>
    <m/>
    <m/>
    <m/>
    <m/>
    <m/>
    <m/>
    <m/>
    <m/>
    <m/>
    <m/>
    <m/>
  </r>
  <r>
    <x v="4"/>
    <s v="Southeastern Technical College"/>
    <m/>
    <n v="368911"/>
    <x v="9"/>
    <n v="45997.2"/>
    <n v="40742"/>
    <n v="36896.199999999997"/>
    <n v="33368"/>
    <m/>
    <m/>
    <n v="9101"/>
    <n v="0"/>
    <m/>
    <n v="7374"/>
    <n v="0"/>
    <m/>
    <m/>
    <m/>
    <n v="0"/>
    <n v="0"/>
    <m/>
    <m/>
    <m/>
    <m/>
    <m/>
    <m/>
    <m/>
    <m/>
    <m/>
    <m/>
    <m/>
    <m/>
  </r>
  <r>
    <x v="4"/>
    <s v="Southern Crescent Technical College"/>
    <m/>
    <n v="139986"/>
    <x v="9"/>
    <n v="144060.79999999999"/>
    <n v="125226"/>
    <n v="111574"/>
    <n v="96114"/>
    <m/>
    <m/>
    <n v="32486.799999999999"/>
    <n v="0"/>
    <m/>
    <n v="29112"/>
    <n v="0"/>
    <m/>
    <m/>
    <m/>
    <n v="0"/>
    <n v="0"/>
    <m/>
    <m/>
    <m/>
    <m/>
    <m/>
    <m/>
    <m/>
    <m/>
    <m/>
    <m/>
    <m/>
    <m/>
  </r>
  <r>
    <x v="4"/>
    <s v="Southwest Georgia Technical College"/>
    <m/>
    <n v="141158"/>
    <x v="9"/>
    <n v="39895.300000000003"/>
    <n v="36765"/>
    <n v="31703.7"/>
    <n v="29083"/>
    <m/>
    <m/>
    <n v="8191.6"/>
    <n v="0"/>
    <m/>
    <n v="7682"/>
    <n v="0"/>
    <m/>
    <m/>
    <m/>
    <n v="0"/>
    <n v="0"/>
    <m/>
    <m/>
    <m/>
    <m/>
    <m/>
    <m/>
    <m/>
    <m/>
    <m/>
    <m/>
    <m/>
    <m/>
  </r>
  <r>
    <x v="4"/>
    <s v="West Georgia Technical College"/>
    <m/>
    <n v="139278"/>
    <x v="9"/>
    <n v="181609.9"/>
    <n v="144792"/>
    <n v="149538.5"/>
    <n v="118777"/>
    <m/>
    <m/>
    <n v="32071.4"/>
    <n v="0"/>
    <m/>
    <n v="26015"/>
    <n v="0"/>
    <m/>
    <m/>
    <m/>
    <n v="0"/>
    <n v="0"/>
    <m/>
    <m/>
    <m/>
    <m/>
    <m/>
    <m/>
    <m/>
    <m/>
    <m/>
    <m/>
    <m/>
    <m/>
  </r>
  <r>
    <x v="4"/>
    <s v="Wiregrass Georgia Technical College"/>
    <m/>
    <n v="141255"/>
    <x v="9"/>
    <n v="137751.6"/>
    <n v="99442"/>
    <n v="108685.3"/>
    <n v="75578"/>
    <m/>
    <m/>
    <n v="29066.3"/>
    <n v="0"/>
    <m/>
    <n v="23864"/>
    <n v="0"/>
    <m/>
    <m/>
    <m/>
    <n v="0"/>
    <n v="0"/>
    <m/>
    <m/>
    <m/>
    <m/>
    <m/>
    <m/>
    <m/>
    <m/>
    <m/>
    <m/>
    <m/>
    <m/>
  </r>
  <r>
    <x v="4"/>
    <s v="Georgia Health Sciences University"/>
    <m/>
    <n v="140401"/>
    <x v="11"/>
    <n v="0"/>
    <n v="13505"/>
    <m/>
    <n v="7042"/>
    <m/>
    <n v="2931"/>
    <m/>
    <m/>
    <m/>
    <n v="2748"/>
    <n v="0"/>
    <n v="784"/>
    <m/>
    <n v="0"/>
    <n v="0"/>
    <n v="0"/>
    <m/>
    <m/>
    <m/>
    <m/>
    <m/>
    <m/>
    <m/>
    <m/>
    <m/>
    <m/>
    <m/>
    <m/>
  </r>
  <r>
    <x v="4"/>
    <s v="Southern Polytechnic State University"/>
    <m/>
    <n v="141097"/>
    <x v="11"/>
    <n v="0"/>
    <n v="136728"/>
    <m/>
    <n v="119705"/>
    <m/>
    <n v="34"/>
    <m/>
    <m/>
    <m/>
    <n v="9030"/>
    <n v="0"/>
    <n v="7959"/>
    <m/>
    <n v="0"/>
    <n v="0"/>
    <n v="0"/>
    <m/>
    <m/>
    <m/>
    <m/>
    <m/>
    <m/>
    <m/>
    <m/>
    <m/>
    <m/>
    <m/>
    <m/>
  </r>
  <r>
    <x v="5"/>
    <s v="University of Kentucky"/>
    <m/>
    <n v="157085"/>
    <x v="0"/>
    <n v="555786"/>
    <n v="570649"/>
    <n v="530749"/>
    <n v="539245"/>
    <n v="2209"/>
    <n v="3155"/>
    <n v="20681"/>
    <n v="2144"/>
    <n v="3"/>
    <n v="25869"/>
    <n v="2380"/>
    <m/>
    <m/>
    <m/>
    <n v="84631"/>
    <n v="21782"/>
    <n v="71470"/>
    <n v="7108"/>
    <n v="1628"/>
    <n v="2260"/>
    <n v="10068"/>
    <n v="1459"/>
    <n v="6"/>
    <n v="11624"/>
    <n v="790"/>
    <m/>
    <m/>
    <m/>
  </r>
  <r>
    <x v="5"/>
    <s v="University of Louisville"/>
    <m/>
    <n v="157289"/>
    <x v="0"/>
    <n v="397187.5"/>
    <n v="400603"/>
    <n v="360351"/>
    <n v="358825"/>
    <n v="10081.5"/>
    <n v="11074"/>
    <n v="26755"/>
    <m/>
    <m/>
    <n v="30704"/>
    <m/>
    <m/>
    <m/>
    <m/>
    <n v="79200"/>
    <n v="78010"/>
    <n v="70359.5"/>
    <n v="69120"/>
    <n v="4384.5"/>
    <n v="3946"/>
    <n v="4456"/>
    <m/>
    <m/>
    <n v="4944"/>
    <m/>
    <m/>
    <m/>
    <m/>
  </r>
  <r>
    <x v="5"/>
    <s v="Eastern Kentucky University "/>
    <m/>
    <n v="156620"/>
    <x v="2"/>
    <n v="366498"/>
    <n v="360534"/>
    <n v="291063"/>
    <n v="280171"/>
    <n v="24080"/>
    <n v="20650"/>
    <n v="42081"/>
    <n v="9274"/>
    <m/>
    <n v="50221"/>
    <n v="9492"/>
    <m/>
    <m/>
    <m/>
    <n v="37637"/>
    <n v="36361"/>
    <n v="21407"/>
    <n v="19692"/>
    <n v="1157"/>
    <n v="745"/>
    <n v="14044"/>
    <n v="1029"/>
    <m/>
    <n v="14709"/>
    <n v="1215"/>
    <m/>
    <m/>
    <m/>
  </r>
  <r>
    <x v="5"/>
    <s v="Morehead State University "/>
    <m/>
    <n v="157386"/>
    <x v="2"/>
    <n v="188450"/>
    <n v="198085"/>
    <n v="127125"/>
    <n v="129231"/>
    <n v="18007"/>
    <n v="22754"/>
    <n v="33647"/>
    <n v="9671"/>
    <m/>
    <n v="36730"/>
    <n v="9370"/>
    <m/>
    <m/>
    <m/>
    <n v="22629"/>
    <n v="22827"/>
    <n v="5429"/>
    <n v="4851"/>
    <n v="354"/>
    <n v="315"/>
    <n v="15850"/>
    <n v="996"/>
    <m/>
    <n v="16962"/>
    <n v="699"/>
    <m/>
    <m/>
    <m/>
  </r>
  <r>
    <x v="5"/>
    <s v="Murray State University "/>
    <m/>
    <n v="157401"/>
    <x v="2"/>
    <n v="222642"/>
    <n v="237858"/>
    <n v="193484"/>
    <n v="205682"/>
    <n v="8053"/>
    <n v="8737"/>
    <n v="14749"/>
    <n v="6356"/>
    <m/>
    <n v="17233"/>
    <n v="6206"/>
    <m/>
    <m/>
    <m/>
    <n v="31159"/>
    <n v="30978"/>
    <n v="16352"/>
    <n v="15413"/>
    <n v="3231"/>
    <n v="2896"/>
    <n v="9433"/>
    <n v="2143"/>
    <m/>
    <n v="10928"/>
    <n v="1741"/>
    <m/>
    <m/>
    <m/>
  </r>
  <r>
    <x v="5"/>
    <s v="Western Kentucky University "/>
    <m/>
    <n v="157951"/>
    <x v="2"/>
    <n v="459602"/>
    <n v="456331"/>
    <n v="344823.5"/>
    <n v="341655"/>
    <n v="44604"/>
    <n v="41116"/>
    <n v="59447"/>
    <n v="8812.5"/>
    <n v="1915"/>
    <n v="62989"/>
    <n v="8898"/>
    <n v="1673"/>
    <m/>
    <m/>
    <n v="50140.5"/>
    <n v="48384"/>
    <n v="21614"/>
    <n v="20871"/>
    <n v="2352"/>
    <n v="1708"/>
    <n v="25442.5"/>
    <n v="693"/>
    <n v="39"/>
    <n v="25240"/>
    <n v="529"/>
    <n v="36"/>
    <m/>
    <m/>
  </r>
  <r>
    <x v="5"/>
    <s v="Kentucky State University "/>
    <m/>
    <n v="157058"/>
    <x v="3"/>
    <n v="63778"/>
    <n v="64203"/>
    <n v="53254"/>
    <n v="51426"/>
    <n v="98"/>
    <n v="51"/>
    <n v="10417"/>
    <m/>
    <n v="9"/>
    <n v="12717"/>
    <m/>
    <n v="9"/>
    <m/>
    <m/>
    <n v="3997"/>
    <n v="3673"/>
    <n v="2101"/>
    <n v="1941"/>
    <m/>
    <m/>
    <n v="1896"/>
    <m/>
    <m/>
    <n v="1732"/>
    <m/>
    <m/>
    <m/>
    <m/>
  </r>
  <r>
    <x v="5"/>
    <s v="Northern Kentucky University "/>
    <s v="Met the criteria for Four-Year 3 in 2012-13."/>
    <n v="157447"/>
    <x v="3"/>
    <n v="334722"/>
    <n v="331152"/>
    <n v="281387"/>
    <n v="271898"/>
    <n v="12633"/>
    <n v="10703"/>
    <n v="40702"/>
    <m/>
    <m/>
    <n v="48551"/>
    <m/>
    <m/>
    <m/>
    <m/>
    <n v="41331"/>
    <n v="40550"/>
    <n v="30967"/>
    <n v="29346"/>
    <n v="1184"/>
    <n v="1186"/>
    <n v="9180"/>
    <m/>
    <m/>
    <n v="10018"/>
    <m/>
    <m/>
    <m/>
    <m/>
  </r>
  <r>
    <x v="5"/>
    <s v="Bluegrass Community and Technical College"/>
    <m/>
    <n v="157173"/>
    <x v="6"/>
    <n v="286292"/>
    <n v="266924"/>
    <n v="175488"/>
    <n v="158650"/>
    <n v="28505"/>
    <n v="24521"/>
    <n v="82251"/>
    <n v="48"/>
    <m/>
    <n v="83608"/>
    <n v="145"/>
    <m/>
    <m/>
    <m/>
    <n v="0"/>
    <n v="0"/>
    <m/>
    <s v=" "/>
    <m/>
    <m/>
    <m/>
    <m/>
    <m/>
    <s v=" "/>
    <m/>
    <m/>
    <m/>
    <m/>
  </r>
  <r>
    <x v="5"/>
    <s v="Jefferson Community and Technical College "/>
    <m/>
    <n v="156921"/>
    <x v="6"/>
    <n v="266410"/>
    <n v="246842"/>
    <n v="201553"/>
    <n v="188942"/>
    <n v="14359"/>
    <n v="10238"/>
    <n v="49659"/>
    <n v="839"/>
    <m/>
    <n v="47007"/>
    <n v="655"/>
    <m/>
    <m/>
    <m/>
    <n v="0"/>
    <n v="0"/>
    <m/>
    <s v=" "/>
    <m/>
    <m/>
    <m/>
    <m/>
    <m/>
    <s v=" "/>
    <m/>
    <m/>
    <m/>
    <m/>
  </r>
  <r>
    <x v="5"/>
    <s v="Ashland Community and Technical College"/>
    <m/>
    <n v="156231"/>
    <x v="7"/>
    <n v="86732"/>
    <n v="76000"/>
    <n v="57455"/>
    <n v="48786"/>
    <n v="9567"/>
    <n v="6989"/>
    <n v="19710"/>
    <m/>
    <m/>
    <n v="20225"/>
    <m/>
    <m/>
    <m/>
    <m/>
    <n v="0"/>
    <n v="0"/>
    <m/>
    <m/>
    <m/>
    <m/>
    <m/>
    <m/>
    <m/>
    <s v=" "/>
    <m/>
    <m/>
    <m/>
    <m/>
  </r>
  <r>
    <x v="5"/>
    <s v="Big Sandy Community and Technical College "/>
    <m/>
    <n v="157553"/>
    <x v="7"/>
    <n v="87803"/>
    <n v="80232"/>
    <n v="40278"/>
    <n v="36055"/>
    <n v="10727"/>
    <n v="9965"/>
    <n v="36272"/>
    <n v="526"/>
    <m/>
    <n v="33641"/>
    <n v="571"/>
    <m/>
    <m/>
    <m/>
    <n v="0"/>
    <n v="0"/>
    <m/>
    <m/>
    <m/>
    <m/>
    <m/>
    <m/>
    <m/>
    <s v=" "/>
    <m/>
    <m/>
    <m/>
    <m/>
  </r>
  <r>
    <x v="5"/>
    <s v="Elizabethtown Community and Technical College "/>
    <m/>
    <n v="156648"/>
    <x v="7"/>
    <n v="127667"/>
    <n v="117167"/>
    <n v="92546"/>
    <n v="81643"/>
    <n v="2157"/>
    <n v="1698"/>
    <n v="32848"/>
    <n v="116"/>
    <m/>
    <n v="33826"/>
    <m/>
    <m/>
    <m/>
    <m/>
    <n v="0"/>
    <n v="0"/>
    <m/>
    <s v=" "/>
    <m/>
    <m/>
    <m/>
    <m/>
    <m/>
    <s v=" "/>
    <m/>
    <m/>
    <m/>
    <m/>
  </r>
  <r>
    <x v="5"/>
    <s v="Hazard Community and Technical College"/>
    <s v="Reclassified: met the criteria for classification as a Two-Year 2 in 2010-11, 2011-12, and 2012-13."/>
    <n v="156790"/>
    <x v="7"/>
    <n v="68363"/>
    <n v="61640"/>
    <n v="45057"/>
    <n v="35333"/>
    <n v="452"/>
    <n v="1012"/>
    <n v="21049"/>
    <n v="1805"/>
    <m/>
    <n v="24059"/>
    <n v="1236"/>
    <m/>
    <m/>
    <m/>
    <n v="0"/>
    <n v="0"/>
    <m/>
    <s v=" "/>
    <m/>
    <m/>
    <m/>
    <m/>
    <m/>
    <s v=" "/>
    <m/>
    <m/>
    <m/>
    <m/>
  </r>
  <r>
    <x v="5"/>
    <s v="Hopkinsville Community College "/>
    <m/>
    <n v="156860"/>
    <x v="7"/>
    <n v="78930"/>
    <n v="71907"/>
    <n v="56762"/>
    <n v="50996"/>
    <n v="2034"/>
    <n v="439"/>
    <n v="20134"/>
    <m/>
    <m/>
    <n v="20472"/>
    <m/>
    <m/>
    <m/>
    <m/>
    <n v="0"/>
    <n v="0"/>
    <m/>
    <s v=" "/>
    <m/>
    <m/>
    <m/>
    <m/>
    <m/>
    <s v=" "/>
    <m/>
    <m/>
    <m/>
    <m/>
  </r>
  <r>
    <x v="5"/>
    <s v="Madisonville Community College"/>
    <m/>
    <n v="157304"/>
    <x v="7"/>
    <n v="62671"/>
    <n v="61354"/>
    <n v="49346"/>
    <n v="43048"/>
    <n v="157"/>
    <n v="258"/>
    <n v="13168"/>
    <m/>
    <m/>
    <n v="18048"/>
    <m/>
    <m/>
    <m/>
    <m/>
    <n v="0"/>
    <n v="0"/>
    <m/>
    <m/>
    <m/>
    <m/>
    <m/>
    <m/>
    <m/>
    <s v=" "/>
    <m/>
    <m/>
    <m/>
    <m/>
  </r>
  <r>
    <x v="5"/>
    <s v="Maysville Community and Technical College "/>
    <m/>
    <n v="157331"/>
    <x v="7"/>
    <n v="103971"/>
    <n v="94962"/>
    <n v="32774"/>
    <n v="31681"/>
    <n v="15945"/>
    <n v="12802"/>
    <n v="52856"/>
    <n v="2396"/>
    <m/>
    <n v="48982"/>
    <n v="1497"/>
    <m/>
    <m/>
    <m/>
    <n v="0"/>
    <n v="0"/>
    <m/>
    <s v=" "/>
    <m/>
    <m/>
    <m/>
    <m/>
    <m/>
    <s v=" "/>
    <m/>
    <m/>
    <m/>
    <m/>
  </r>
  <r>
    <x v="5"/>
    <s v="Owensboro Community and Technical College "/>
    <m/>
    <n v="247940"/>
    <x v="7"/>
    <n v="96873"/>
    <n v="86353"/>
    <n v="84098"/>
    <n v="63277"/>
    <n v="534"/>
    <n v="260"/>
    <n v="12241"/>
    <m/>
    <m/>
    <n v="22816"/>
    <m/>
    <m/>
    <m/>
    <m/>
    <n v="0"/>
    <n v="0"/>
    <m/>
    <m/>
    <m/>
    <m/>
    <m/>
    <m/>
    <m/>
    <s v=" "/>
    <m/>
    <m/>
    <m/>
    <m/>
  </r>
  <r>
    <x v="5"/>
    <s v="Somerset Community and Technical College "/>
    <m/>
    <n v="157711"/>
    <x v="7"/>
    <n v="173310"/>
    <n v="145726"/>
    <n v="100379"/>
    <n v="79781"/>
    <n v="6808"/>
    <n v="5140"/>
    <n v="60329"/>
    <n v="5794"/>
    <m/>
    <n v="56070"/>
    <n v="4735"/>
    <m/>
    <m/>
    <m/>
    <n v="0"/>
    <n v="0"/>
    <m/>
    <s v=" "/>
    <m/>
    <m/>
    <m/>
    <m/>
    <m/>
    <s v=" "/>
    <m/>
    <m/>
    <m/>
    <m/>
  </r>
  <r>
    <x v="5"/>
    <s v="Southeast Kentucky Community and Technical College"/>
    <m/>
    <n v="157739"/>
    <x v="7"/>
    <n v="72001"/>
    <n v="66619"/>
    <n v="23373"/>
    <n v="22592"/>
    <n v="26834"/>
    <n v="25073"/>
    <n v="19281"/>
    <n v="2513"/>
    <m/>
    <n v="17156"/>
    <n v="1798"/>
    <m/>
    <m/>
    <m/>
    <n v="0"/>
    <n v="0"/>
    <m/>
    <s v=" "/>
    <m/>
    <m/>
    <m/>
    <m/>
    <m/>
    <s v=" "/>
    <m/>
    <m/>
    <m/>
    <m/>
  </r>
  <r>
    <x v="5"/>
    <s v="West Kentucky Community and Technical College"/>
    <m/>
    <n v="157483"/>
    <x v="7"/>
    <n v="128318"/>
    <n v="123428"/>
    <n v="84238"/>
    <n v="80075"/>
    <n v="1248"/>
    <n v="1165"/>
    <n v="42350"/>
    <n v="482"/>
    <m/>
    <n v="41755"/>
    <n v="433"/>
    <m/>
    <m/>
    <m/>
    <n v="0"/>
    <n v="0"/>
    <m/>
    <s v=" "/>
    <m/>
    <m/>
    <m/>
    <m/>
    <m/>
    <s v=" "/>
    <m/>
    <m/>
    <m/>
    <m/>
  </r>
  <r>
    <x v="5"/>
    <s v="Henderson Community College "/>
    <m/>
    <n v="156851"/>
    <x v="8"/>
    <n v="43236"/>
    <n v="38213"/>
    <n v="24502"/>
    <n v="21390"/>
    <n v="477"/>
    <n v="541"/>
    <n v="17896"/>
    <n v="361"/>
    <m/>
    <n v="15990"/>
    <n v="292"/>
    <m/>
    <m/>
    <m/>
    <n v="0"/>
    <n v="0"/>
    <m/>
    <m/>
    <m/>
    <m/>
    <m/>
    <m/>
    <m/>
    <s v=" "/>
    <m/>
    <m/>
    <m/>
    <m/>
  </r>
  <r>
    <x v="5"/>
    <s v="Gateway Community and Technical College"/>
    <m/>
    <n v="157438"/>
    <x v="9"/>
    <n v="75156"/>
    <n v="72782"/>
    <n v="70221"/>
    <n v="64496"/>
    <m/>
    <n v="0"/>
    <n v="4935"/>
    <m/>
    <m/>
    <n v="8286"/>
    <m/>
    <m/>
    <m/>
    <m/>
    <n v="0"/>
    <n v="0"/>
    <m/>
    <m/>
    <m/>
    <m/>
    <m/>
    <m/>
    <m/>
    <s v=" "/>
    <m/>
    <m/>
    <m/>
    <m/>
  </r>
  <r>
    <x v="5"/>
    <s v="Southcentral Kentucky Community and Technical College"/>
    <m/>
    <n v="156338"/>
    <x v="9"/>
    <n v="69358"/>
    <n v="78633"/>
    <n v="58870"/>
    <n v="50892"/>
    <n v="693"/>
    <n v="627"/>
    <n v="9795"/>
    <m/>
    <m/>
    <n v="27114"/>
    <m/>
    <m/>
    <m/>
    <m/>
    <n v="0"/>
    <n v="0"/>
    <m/>
    <s v=" "/>
    <m/>
    <m/>
    <m/>
    <m/>
    <m/>
    <s v=" "/>
    <m/>
    <m/>
    <m/>
    <m/>
  </r>
  <r>
    <x v="6"/>
    <m/>
    <m/>
    <m/>
    <x v="13"/>
    <m/>
    <m/>
    <m/>
    <m/>
    <m/>
    <m/>
    <m/>
    <m/>
    <m/>
    <m/>
    <m/>
    <m/>
    <m/>
    <m/>
    <m/>
    <m/>
    <m/>
    <m/>
    <m/>
    <m/>
    <m/>
    <m/>
    <m/>
    <m/>
    <m/>
    <m/>
    <m/>
    <m/>
  </r>
  <r>
    <x v="7"/>
    <s v="University of Maryland College Park"/>
    <m/>
    <n v="163286"/>
    <x v="0"/>
    <n v="799939"/>
    <n v="790575"/>
    <n v="766563"/>
    <n v="755161"/>
    <n v="18027"/>
    <n v="19758"/>
    <n v="14961"/>
    <n v="388"/>
    <n v="0"/>
    <n v="15047"/>
    <n v="609"/>
    <m/>
    <n v="0"/>
    <m/>
    <n v="158873"/>
    <n v="159162"/>
    <n v="114938"/>
    <n v="117978"/>
    <n v="37212"/>
    <n v="33489"/>
    <n v="5774"/>
    <n v="949"/>
    <n v="0"/>
    <n v="6629"/>
    <n v="1066"/>
    <m/>
    <n v="0"/>
    <m/>
  </r>
  <r>
    <x v="7"/>
    <s v="Morgan State University"/>
    <m/>
    <n v="163453"/>
    <x v="1"/>
    <n v="191053"/>
    <n v="185758"/>
    <n v="188521"/>
    <n v="181726"/>
    <n v="404"/>
    <n v="955"/>
    <n v="2128"/>
    <n v="0"/>
    <n v="0"/>
    <n v="3077"/>
    <n v="0"/>
    <n v="0"/>
    <n v="0"/>
    <m/>
    <n v="20593"/>
    <n v="22198"/>
    <n v="18313"/>
    <n v="19337"/>
    <n v="583"/>
    <n v="215"/>
    <n v="1697"/>
    <n v="0"/>
    <n v="0"/>
    <n v="2646"/>
    <n v="0"/>
    <n v="0"/>
    <n v="0"/>
    <m/>
  </r>
  <r>
    <x v="7"/>
    <s v="University of Maryland, Baltimore County"/>
    <m/>
    <n v="163268"/>
    <x v="1"/>
    <n v="297770"/>
    <n v="307922"/>
    <n v="266582"/>
    <n v="272600"/>
    <n v="5529"/>
    <n v="7010"/>
    <n v="25659"/>
    <n v="0"/>
    <n v="0"/>
    <n v="28312"/>
    <n v="0"/>
    <n v="0"/>
    <n v="0"/>
    <m/>
    <n v="33838"/>
    <n v="34414"/>
    <n v="26158"/>
    <n v="25662"/>
    <n v="2146"/>
    <n v="1302"/>
    <n v="5534"/>
    <n v="0"/>
    <n v="0"/>
    <n v="7450"/>
    <m/>
    <m/>
    <n v="0"/>
    <m/>
  </r>
  <r>
    <x v="7"/>
    <s v="Towson University "/>
    <m/>
    <n v="164076"/>
    <x v="2"/>
    <n v="506306.5"/>
    <n v="516241"/>
    <n v="470902.5"/>
    <n v="474267"/>
    <n v="9374"/>
    <n v="10589"/>
    <n v="25793"/>
    <n v="237"/>
    <n v="0"/>
    <n v="31332"/>
    <n v="53"/>
    <n v="0"/>
    <n v="0"/>
    <m/>
    <n v="57519"/>
    <n v="56892"/>
    <n v="36863"/>
    <n v="34603"/>
    <n v="12597"/>
    <n v="12873"/>
    <n v="7732"/>
    <n v="327"/>
    <n v="0"/>
    <n v="9356"/>
    <n v="60"/>
    <n v="0"/>
    <n v="0"/>
    <m/>
  </r>
  <r>
    <x v="7"/>
    <s v="Bowie State University "/>
    <m/>
    <n v="162007"/>
    <x v="3"/>
    <n v="122617"/>
    <n v="118219"/>
    <n v="111003"/>
    <n v="105556"/>
    <n v="1017"/>
    <n v="0"/>
    <n v="10597"/>
    <n v="0"/>
    <n v="0"/>
    <n v="12663"/>
    <n v="0"/>
    <n v="0"/>
    <n v="0"/>
    <m/>
    <n v="15966"/>
    <n v="15827"/>
    <n v="15050"/>
    <n v="14645"/>
    <n v="236"/>
    <n v="347"/>
    <n v="680"/>
    <n v="0"/>
    <n v="0"/>
    <n v="835"/>
    <m/>
    <m/>
    <n v="0"/>
    <m/>
  </r>
  <r>
    <x v="7"/>
    <s v="Frostburg State University "/>
    <m/>
    <n v="162584"/>
    <x v="3"/>
    <n v="136980"/>
    <n v="133424.5"/>
    <n v="120267"/>
    <n v="114034.5"/>
    <n v="2334"/>
    <n v="2515"/>
    <n v="14298"/>
    <n v="81"/>
    <n v="0"/>
    <n v="16875"/>
    <n v="0"/>
    <n v="0"/>
    <n v="0"/>
    <m/>
    <n v="10914.5"/>
    <n v="12410.5"/>
    <n v="4152.5"/>
    <n v="3731.5"/>
    <n v="1894"/>
    <n v="857"/>
    <n v="4868"/>
    <n v="0"/>
    <n v="0"/>
    <n v="7822"/>
    <m/>
    <m/>
    <n v="0"/>
    <m/>
  </r>
  <r>
    <x v="7"/>
    <s v="Salisbury University "/>
    <m/>
    <n v="163851"/>
    <x v="3"/>
    <n v="231853"/>
    <n v="237704"/>
    <n v="211326"/>
    <n v="213904"/>
    <n v="1391"/>
    <n v="722"/>
    <n v="16697"/>
    <n v="2439"/>
    <n v="0"/>
    <n v="22202"/>
    <n v="876"/>
    <m/>
    <n v="0"/>
    <m/>
    <n v="11568"/>
    <n v="11379"/>
    <n v="5917"/>
    <n v="4958"/>
    <n v="159"/>
    <n v="548"/>
    <n v="2702"/>
    <n v="2790"/>
    <n v="0"/>
    <n v="4287"/>
    <n v="1586"/>
    <m/>
    <n v="0"/>
    <m/>
  </r>
  <r>
    <x v="7"/>
    <s v="University of Baltimore"/>
    <s v="Met the criteria for Four-Year 3 in 2012-13."/>
    <n v="161873"/>
    <x v="3"/>
    <n v="71004"/>
    <n v="73693"/>
    <n v="57496"/>
    <n v="59629"/>
    <n v="967"/>
    <n v="1578"/>
    <n v="12541"/>
    <n v="0"/>
    <n v="0"/>
    <n v="12486"/>
    <m/>
    <m/>
    <n v="0"/>
    <m/>
    <n v="56542"/>
    <n v="55850"/>
    <n v="46274"/>
    <n v="44988"/>
    <n v="1754"/>
    <n v="2106"/>
    <n v="8514"/>
    <n v="0"/>
    <n v="0"/>
    <n v="8756"/>
    <m/>
    <m/>
    <n v="0"/>
    <m/>
  </r>
  <r>
    <x v="7"/>
    <s v="University of Maryland Eastern Shore "/>
    <m/>
    <n v="163338"/>
    <x v="3"/>
    <n v="114098.5"/>
    <n v="110514.5"/>
    <n v="106429.5"/>
    <n v="101176"/>
    <n v="2637"/>
    <n v="2295.5"/>
    <n v="5032"/>
    <n v="0"/>
    <n v="0"/>
    <n v="7043"/>
    <m/>
    <m/>
    <n v="0"/>
    <m/>
    <n v="14028.5"/>
    <n v="16201.5"/>
    <n v="13716.5"/>
    <n v="15892.5"/>
    <n v="99"/>
    <n v="170"/>
    <n v="213"/>
    <n v="0"/>
    <n v="0"/>
    <n v="139"/>
    <m/>
    <m/>
    <n v="0"/>
    <m/>
  </r>
  <r>
    <x v="7"/>
    <s v="Coppin State University"/>
    <s v="Reclassified: met the criteria for Four-Year 5 in 2010-11, 2011-12, and 2012-13."/>
    <n v="162283"/>
    <x v="4"/>
    <n v="90877"/>
    <n v="85693"/>
    <n v="81079"/>
    <n v="73954"/>
    <n v="0"/>
    <n v="1175"/>
    <n v="9798"/>
    <n v="0"/>
    <n v="0"/>
    <n v="10564"/>
    <n v="0"/>
    <n v="0"/>
    <n v="0"/>
    <m/>
    <n v="6866"/>
    <n v="6265"/>
    <n v="5747"/>
    <n v="4964"/>
    <n v="336"/>
    <n v="819"/>
    <n v="783"/>
    <n v="0"/>
    <n v="0"/>
    <n v="482"/>
    <m/>
    <m/>
    <n v="0"/>
    <m/>
  </r>
  <r>
    <x v="7"/>
    <s v="Saint Mary's College of Maryland"/>
    <m/>
    <n v="163912"/>
    <x v="5"/>
    <n v="65152.5"/>
    <n v="63667"/>
    <n v="65152.5"/>
    <n v="63667"/>
    <n v="0"/>
    <m/>
    <n v="0"/>
    <n v="0"/>
    <n v="0"/>
    <m/>
    <m/>
    <m/>
    <n v="0"/>
    <m/>
    <n v="1577"/>
    <n v="1133"/>
    <n v="1577"/>
    <n v="1133"/>
    <m/>
    <m/>
    <n v="0"/>
    <n v="0"/>
    <n v="0"/>
    <m/>
    <m/>
    <m/>
    <n v="0"/>
    <m/>
  </r>
  <r>
    <x v="7"/>
    <s v="Anne Arundel Community College "/>
    <m/>
    <n v="161767"/>
    <x v="6"/>
    <n v="331724"/>
    <n v="324283"/>
    <n v="247819"/>
    <n v="234858"/>
    <n v="4294"/>
    <n v="4278"/>
    <n v="79373"/>
    <n v="238"/>
    <n v="0"/>
    <n v="84859"/>
    <n v="288"/>
    <m/>
    <n v="0"/>
    <m/>
    <n v="0"/>
    <n v="0"/>
    <m/>
    <m/>
    <m/>
    <m/>
    <m/>
    <m/>
    <m/>
    <m/>
    <m/>
    <m/>
    <m/>
    <m/>
  </r>
  <r>
    <x v="7"/>
    <s v="College of Southern Maryland"/>
    <m/>
    <n v="162122"/>
    <x v="6"/>
    <n v="169607"/>
    <n v="172118"/>
    <n v="112709"/>
    <n v="110877"/>
    <n v="4684"/>
    <n v="4148"/>
    <n v="50522"/>
    <n v="832"/>
    <n v="860"/>
    <n v="56099"/>
    <n v="635"/>
    <n v="359"/>
    <n v="0"/>
    <m/>
    <n v="0"/>
    <n v="0"/>
    <m/>
    <m/>
    <m/>
    <m/>
    <m/>
    <m/>
    <m/>
    <m/>
    <m/>
    <m/>
    <m/>
    <m/>
  </r>
  <r>
    <x v="7"/>
    <s v="Community College of Baltimore County (all campuses)"/>
    <m/>
    <n v="434672"/>
    <x v="6"/>
    <n v="483407.5"/>
    <n v="468089"/>
    <n v="390798"/>
    <n v="367911"/>
    <n v="36171.5"/>
    <n v="41700.5"/>
    <n v="56039"/>
    <n v="399"/>
    <n v="0"/>
    <n v="58180.5"/>
    <n v="297"/>
    <m/>
    <n v="0"/>
    <m/>
    <n v="0"/>
    <n v="0"/>
    <m/>
    <m/>
    <m/>
    <m/>
    <m/>
    <m/>
    <m/>
    <m/>
    <m/>
    <m/>
    <m/>
    <m/>
  </r>
  <r>
    <x v="7"/>
    <s v="Howard Community College "/>
    <m/>
    <n v="162779"/>
    <x v="6"/>
    <n v="191227"/>
    <n v="194446"/>
    <n v="165234"/>
    <n v="165771"/>
    <n v="7512"/>
    <n v="7910"/>
    <n v="18362"/>
    <n v="0"/>
    <n v="119"/>
    <n v="20765"/>
    <m/>
    <m/>
    <n v="0"/>
    <m/>
    <n v="0"/>
    <n v="0"/>
    <m/>
    <m/>
    <m/>
    <m/>
    <m/>
    <m/>
    <m/>
    <m/>
    <m/>
    <m/>
    <m/>
    <m/>
  </r>
  <r>
    <x v="7"/>
    <s v="Montgomery College (all campuses)"/>
    <m/>
    <n v="163426"/>
    <x v="6"/>
    <n v="538774"/>
    <n v="786047.5"/>
    <n v="485280"/>
    <n v="593873.9"/>
    <n v="3237"/>
    <n v="112854.9"/>
    <n v="50257"/>
    <n v="0"/>
    <n v="0"/>
    <n v="79318.7"/>
    <m/>
    <m/>
    <n v="0"/>
    <m/>
    <n v="0"/>
    <n v="0"/>
    <m/>
    <m/>
    <m/>
    <m/>
    <m/>
    <m/>
    <m/>
    <m/>
    <m/>
    <m/>
    <m/>
    <m/>
  </r>
  <r>
    <x v="7"/>
    <s v="Prince George's Community College "/>
    <m/>
    <n v="163657"/>
    <x v="6"/>
    <n v="391184"/>
    <n v="378850"/>
    <n v="221513"/>
    <n v="214080"/>
    <n v="124659"/>
    <n v="118361"/>
    <n v="45012"/>
    <n v="0"/>
    <n v="0"/>
    <n v="46409"/>
    <m/>
    <m/>
    <n v="0"/>
    <m/>
    <n v="0"/>
    <n v="0"/>
    <m/>
    <m/>
    <m/>
    <m/>
    <m/>
    <m/>
    <m/>
    <m/>
    <m/>
    <m/>
    <m/>
    <m/>
  </r>
  <r>
    <x v="7"/>
    <s v="Allegany College of Maryland"/>
    <m/>
    <n v="161688"/>
    <x v="7"/>
    <n v="79998"/>
    <n v="75627"/>
    <n v="54308"/>
    <n v="49704"/>
    <n v="13184"/>
    <n v="15099"/>
    <n v="10469"/>
    <n v="2037"/>
    <n v="0"/>
    <n v="9173"/>
    <n v="1651"/>
    <m/>
    <n v="0"/>
    <m/>
    <n v="0"/>
    <n v="0"/>
    <m/>
    <m/>
    <m/>
    <m/>
    <m/>
    <m/>
    <m/>
    <m/>
    <m/>
    <m/>
    <m/>
    <m/>
  </r>
  <r>
    <x v="7"/>
    <s v="Baltimore City Community College"/>
    <m/>
    <n v="161864"/>
    <x v="7"/>
    <n v="151159"/>
    <n v="85360"/>
    <n v="119734"/>
    <n v="50590"/>
    <n v="3374"/>
    <n v="10276"/>
    <n v="28051"/>
    <n v="0"/>
    <n v="0"/>
    <n v="24494"/>
    <m/>
    <m/>
    <n v="0"/>
    <m/>
    <n v="0"/>
    <n v="0"/>
    <m/>
    <m/>
    <m/>
    <m/>
    <m/>
    <m/>
    <m/>
    <m/>
    <m/>
    <m/>
    <m/>
    <m/>
  </r>
  <r>
    <x v="7"/>
    <s v="Carroll Community College"/>
    <m/>
    <n v="405872"/>
    <x v="7"/>
    <n v="81913.5"/>
    <n v="83916"/>
    <n v="72208.5"/>
    <n v="71610"/>
    <n v="8"/>
    <n v="404"/>
    <n v="9568"/>
    <n v="129"/>
    <n v="0"/>
    <n v="11830"/>
    <n v="72"/>
    <m/>
    <n v="0"/>
    <m/>
    <n v="0"/>
    <n v="0"/>
    <m/>
    <m/>
    <m/>
    <m/>
    <m/>
    <m/>
    <m/>
    <m/>
    <m/>
    <m/>
    <m/>
    <m/>
  </r>
  <r>
    <x v="7"/>
    <s v="Frederick Community College "/>
    <m/>
    <n v="162557"/>
    <x v="7"/>
    <n v="124210"/>
    <n v="120450"/>
    <n v="105611"/>
    <n v="101080"/>
    <n v="3061"/>
    <n v="5185"/>
    <n v="15538"/>
    <n v="0"/>
    <n v="0"/>
    <n v="14185"/>
    <m/>
    <m/>
    <n v="0"/>
    <m/>
    <n v="0"/>
    <n v="0"/>
    <m/>
    <m/>
    <m/>
    <m/>
    <m/>
    <m/>
    <m/>
    <m/>
    <m/>
    <m/>
    <m/>
    <m/>
  </r>
  <r>
    <x v="7"/>
    <s v="Hagerstown Community College "/>
    <m/>
    <n v="162690"/>
    <x v="7"/>
    <n v="95008"/>
    <n v="95709"/>
    <n v="74544"/>
    <n v="71430"/>
    <n v="6491"/>
    <n v="7072"/>
    <n v="13860"/>
    <n v="0"/>
    <n v="0"/>
    <n v="17207"/>
    <m/>
    <m/>
    <n v="113"/>
    <m/>
    <n v="0"/>
    <n v="0"/>
    <m/>
    <m/>
    <m/>
    <m/>
    <m/>
    <m/>
    <m/>
    <m/>
    <m/>
    <m/>
    <m/>
    <m/>
  </r>
  <r>
    <x v="7"/>
    <s v="Harford Community College "/>
    <m/>
    <n v="162706"/>
    <x v="7"/>
    <n v="134794"/>
    <n v="135462.5"/>
    <n v="103584"/>
    <n v="102279.5"/>
    <n v="1907"/>
    <n v="1821"/>
    <n v="29303"/>
    <n v="0"/>
    <n v="0"/>
    <n v="31362"/>
    <m/>
    <m/>
    <n v="0"/>
    <m/>
    <n v="0"/>
    <n v="0"/>
    <m/>
    <m/>
    <m/>
    <m/>
    <m/>
    <m/>
    <m/>
    <m/>
    <m/>
    <m/>
    <m/>
    <m/>
  </r>
  <r>
    <x v="7"/>
    <s v="Wor-Wic Community College "/>
    <m/>
    <n v="164313"/>
    <x v="7"/>
    <n v="76900"/>
    <n v="71490.5"/>
    <n v="66734"/>
    <n v="61755.5"/>
    <n v="1564"/>
    <n v="1810"/>
    <n v="8503"/>
    <n v="99"/>
    <n v="0"/>
    <n v="7853"/>
    <n v="72"/>
    <m/>
    <n v="0"/>
    <m/>
    <n v="0"/>
    <n v="0"/>
    <m/>
    <m/>
    <m/>
    <m/>
    <m/>
    <m/>
    <m/>
    <m/>
    <m/>
    <m/>
    <m/>
    <m/>
  </r>
  <r>
    <x v="7"/>
    <s v="Cecil Community College "/>
    <m/>
    <n v="162104"/>
    <x v="8"/>
    <n v="49051"/>
    <n v="50854"/>
    <n v="38745"/>
    <n v="38408"/>
    <n v="665"/>
    <n v="779"/>
    <n v="9641"/>
    <n v="0"/>
    <n v="0"/>
    <n v="11667"/>
    <m/>
    <m/>
    <n v="0"/>
    <m/>
    <n v="0"/>
    <n v="0"/>
    <m/>
    <m/>
    <m/>
    <m/>
    <m/>
    <m/>
    <m/>
    <m/>
    <m/>
    <m/>
    <m/>
    <m/>
  </r>
  <r>
    <x v="7"/>
    <s v="Chesapeake College "/>
    <m/>
    <n v="162168"/>
    <x v="8"/>
    <n v="52932"/>
    <n v="49835"/>
    <n v="34103"/>
    <n v="32698"/>
    <n v="8976"/>
    <n v="7932"/>
    <n v="8911"/>
    <n v="942"/>
    <n v="0"/>
    <n v="8341"/>
    <n v="864"/>
    <n v="0"/>
    <n v="0"/>
    <m/>
    <n v="0"/>
    <n v="0"/>
    <m/>
    <m/>
    <m/>
    <m/>
    <m/>
    <m/>
    <m/>
    <m/>
    <m/>
    <m/>
    <m/>
    <m/>
  </r>
  <r>
    <x v="7"/>
    <s v="Garrett College "/>
    <m/>
    <n v="162609"/>
    <x v="8"/>
    <n v="23845.75"/>
    <n v="21878"/>
    <n v="20284.75"/>
    <n v="17521"/>
    <n v="837"/>
    <n v="901"/>
    <n v="2511"/>
    <n v="213"/>
    <n v="0"/>
    <n v="3288"/>
    <n v="168"/>
    <m/>
    <n v="0"/>
    <m/>
    <n v="0"/>
    <n v="0"/>
    <m/>
    <m/>
    <m/>
    <m/>
    <m/>
    <m/>
    <m/>
    <m/>
    <m/>
    <m/>
    <m/>
    <m/>
  </r>
  <r>
    <x v="7"/>
    <s v="University of Maryland University College"/>
    <m/>
    <n v="163204"/>
    <x v="11"/>
    <n v="467863"/>
    <n v="524542"/>
    <n v="0"/>
    <m/>
    <n v="42577"/>
    <n v="603"/>
    <n v="425286"/>
    <n v="0"/>
    <n v="0"/>
    <n v="523939"/>
    <m/>
    <m/>
    <n v="0"/>
    <m/>
    <n v="189917"/>
    <n v="196973"/>
    <m/>
    <m/>
    <m/>
    <n v="2943"/>
    <n v="189917"/>
    <n v="0"/>
    <n v="0"/>
    <n v="194030"/>
    <m/>
    <m/>
    <n v="0"/>
    <m/>
  </r>
  <r>
    <x v="7"/>
    <s v="University of Maryland, Baltimore"/>
    <m/>
    <n v="163259"/>
    <x v="11"/>
    <n v="15749"/>
    <n v="15932"/>
    <n v="7122"/>
    <n v="8025"/>
    <n v="4929"/>
    <n v="4651"/>
    <n v="3698"/>
    <m/>
    <m/>
    <n v="3256"/>
    <m/>
    <m/>
    <m/>
    <m/>
    <n v="43283"/>
    <n v="44739"/>
    <n v="26472"/>
    <n v="25962"/>
    <n v="6701"/>
    <n v="8624"/>
    <n v="9299"/>
    <n v="669"/>
    <n v="142"/>
    <n v="9182"/>
    <n v="521"/>
    <n v="450"/>
    <m/>
    <m/>
  </r>
  <r>
    <x v="8"/>
    <s v="Mississippi State University"/>
    <m/>
    <n v="176080"/>
    <x v="0"/>
    <n v="442000"/>
    <n v="449246"/>
    <n v="406119"/>
    <n v="412245"/>
    <n v="11862"/>
    <n v="11809"/>
    <n v="23828"/>
    <n v="189"/>
    <n v="0"/>
    <n v="24859"/>
    <n v="333"/>
    <m/>
    <n v="2"/>
    <m/>
    <n v="64674"/>
    <n v="62456"/>
    <n v="46886"/>
    <n v="44186"/>
    <n v="2721"/>
    <n v="2566"/>
    <n v="14596"/>
    <n v="450"/>
    <n v="21"/>
    <n v="15236"/>
    <n v="468"/>
    <s v=" "/>
    <m/>
    <m/>
  </r>
  <r>
    <x v="8"/>
    <s v="University of Southern Mississippi"/>
    <s v="Met the criteria for Four-Year 2 in 2012-13."/>
    <n v="176372"/>
    <x v="0"/>
    <n v="348323"/>
    <n v="350824"/>
    <n v="274414"/>
    <n v="272389"/>
    <n v="38610"/>
    <n v="39105"/>
    <n v="34886"/>
    <n v="413"/>
    <n v="0"/>
    <n v="38904"/>
    <n v="393"/>
    <n v="33"/>
    <n v="0"/>
    <m/>
    <n v="58574"/>
    <n v="54828"/>
    <n v="36161"/>
    <n v="34817"/>
    <n v="5089"/>
    <n v="5276"/>
    <n v="17161"/>
    <n v="157"/>
    <n v="6"/>
    <n v="14638"/>
    <n v="78"/>
    <n v="0"/>
    <m/>
    <n v="19"/>
  </r>
  <r>
    <x v="8"/>
    <s v="Jackson State University "/>
    <m/>
    <n v="175856"/>
    <x v="1"/>
    <n v="171406"/>
    <n v="165458"/>
    <n v="155157"/>
    <n v="135003"/>
    <n v="7941"/>
    <n v="7415"/>
    <n v="8308"/>
    <m/>
    <m/>
    <n v="23040"/>
    <m/>
    <m/>
    <m/>
    <m/>
    <n v="34161"/>
    <n v="33604"/>
    <n v="27375"/>
    <n v="19702"/>
    <n v="5704"/>
    <n v="8438"/>
    <n v="1082"/>
    <m/>
    <m/>
    <n v="5464"/>
    <m/>
    <s v=" "/>
    <m/>
    <m/>
  </r>
  <r>
    <x v="8"/>
    <s v="University of Mississippi"/>
    <m/>
    <n v="176017"/>
    <x v="1"/>
    <n v="442900"/>
    <n v="463056"/>
    <n v="398995"/>
    <n v="416290"/>
    <n v="25715"/>
    <n v="25739"/>
    <n v="9905"/>
    <n v="8285"/>
    <m/>
    <n v="10979"/>
    <n v="10048"/>
    <m/>
    <m/>
    <m/>
    <n v="58767"/>
    <n v="58054"/>
    <n v="52323"/>
    <n v="51010"/>
    <n v="1863"/>
    <n v="2070"/>
    <n v="2910"/>
    <n v="1671"/>
    <m/>
    <n v="3783"/>
    <n v="1191"/>
    <m/>
    <m/>
    <m/>
  </r>
  <r>
    <x v="8"/>
    <s v="Alcorn State University"/>
    <m/>
    <n v="175342"/>
    <x v="3"/>
    <n v="94366"/>
    <n v="90076"/>
    <n v="77881"/>
    <n v="75779"/>
    <m/>
    <m/>
    <n v="16381"/>
    <m/>
    <n v="104"/>
    <n v="14212"/>
    <m/>
    <n v="85"/>
    <n v="0"/>
    <m/>
    <n v="12887"/>
    <n v="11918"/>
    <n v="5531"/>
    <n v="4727"/>
    <m/>
    <m/>
    <n v="7346"/>
    <m/>
    <n v="10"/>
    <n v="7189"/>
    <m/>
    <n v="2"/>
    <n v="0"/>
    <m/>
  </r>
  <r>
    <x v="8"/>
    <s v="Delta State University"/>
    <m/>
    <n v="175616"/>
    <x v="3"/>
    <n v="75114"/>
    <n v="71127"/>
    <n v="59051"/>
    <n v="56387"/>
    <n v="1666"/>
    <n v="1596"/>
    <n v="14388"/>
    <m/>
    <m/>
    <n v="13144"/>
    <m/>
    <m/>
    <n v="9"/>
    <m/>
    <n v="22851"/>
    <n v="28592"/>
    <n v="13929"/>
    <n v="14483"/>
    <n v="324"/>
    <n v="528"/>
    <n v="8598"/>
    <m/>
    <m/>
    <n v="13581"/>
    <m/>
    <m/>
    <m/>
    <m/>
  </r>
  <r>
    <x v="8"/>
    <s v="Mississippi Valley State University"/>
    <m/>
    <n v="176044"/>
    <x v="3"/>
    <n v="62282"/>
    <n v="55501"/>
    <n v="51226"/>
    <n v="43959"/>
    <n v="1338"/>
    <n v="1242"/>
    <n v="8592"/>
    <m/>
    <n v="301"/>
    <n v="9558"/>
    <m/>
    <m/>
    <n v="825"/>
    <n v="742"/>
    <n v="10419"/>
    <n v="4935"/>
    <n v="8217"/>
    <n v="3423"/>
    <n v="138"/>
    <n v="21"/>
    <n v="1860"/>
    <m/>
    <n v="204"/>
    <n v="1446"/>
    <m/>
    <m/>
    <n v="0"/>
    <n v="45"/>
  </r>
  <r>
    <x v="8"/>
    <s v="Mississippi University for Women"/>
    <m/>
    <n v="176035"/>
    <x v="4"/>
    <n v="67624"/>
    <n v="68319"/>
    <n v="39952"/>
    <n v="36176"/>
    <m/>
    <m/>
    <n v="27672"/>
    <m/>
    <m/>
    <n v="32143"/>
    <m/>
    <m/>
    <m/>
    <m/>
    <n v="4260"/>
    <n v="3894"/>
    <n v="2743"/>
    <n v="2472"/>
    <n v="328"/>
    <n v="280"/>
    <n v="1189"/>
    <m/>
    <m/>
    <n v="1142"/>
    <m/>
    <m/>
    <m/>
    <m/>
  </r>
  <r>
    <x v="8"/>
    <s v="University of Mississippi Medical Center"/>
    <m/>
    <n v="176026"/>
    <x v="11"/>
    <n v="0"/>
    <n v="0"/>
    <m/>
    <m/>
    <m/>
    <m/>
    <m/>
    <m/>
    <m/>
    <m/>
    <m/>
    <m/>
    <m/>
    <m/>
    <n v="0"/>
    <n v="0"/>
    <m/>
    <m/>
    <m/>
    <m/>
    <m/>
    <m/>
    <m/>
    <m/>
    <m/>
    <m/>
    <m/>
    <m/>
  </r>
  <r>
    <x v="8"/>
    <s v="Hinds Community College "/>
    <m/>
    <n v="175786"/>
    <x v="6"/>
    <n v="338896"/>
    <n v="297280"/>
    <n v="287701"/>
    <n v="257054"/>
    <m/>
    <m/>
    <n v="51195"/>
    <m/>
    <m/>
    <n v="40226"/>
    <m/>
    <m/>
    <m/>
    <m/>
    <n v="0"/>
    <n v="0"/>
    <m/>
    <m/>
    <m/>
    <m/>
    <m/>
    <m/>
    <m/>
    <m/>
    <m/>
    <m/>
    <m/>
    <m/>
  </r>
  <r>
    <x v="8"/>
    <s v="Itawamba Community College "/>
    <m/>
    <n v="175829"/>
    <x v="6"/>
    <n v="204086"/>
    <n v="166445"/>
    <n v="124506"/>
    <n v="106677"/>
    <m/>
    <m/>
    <n v="79580"/>
    <m/>
    <m/>
    <n v="59768"/>
    <m/>
    <m/>
    <m/>
    <m/>
    <n v="0"/>
    <n v="0"/>
    <m/>
    <m/>
    <m/>
    <m/>
    <m/>
    <m/>
    <m/>
    <m/>
    <m/>
    <m/>
    <m/>
    <m/>
  </r>
  <r>
    <x v="8"/>
    <s v="Mississippi Gulf Coast Community College "/>
    <m/>
    <n v="176071"/>
    <x v="6"/>
    <n v="254461"/>
    <n v="252657"/>
    <n v="204991"/>
    <n v="199468"/>
    <m/>
    <m/>
    <n v="49470"/>
    <m/>
    <m/>
    <n v="53189"/>
    <m/>
    <m/>
    <m/>
    <m/>
    <n v="0"/>
    <n v="0"/>
    <m/>
    <m/>
    <m/>
    <m/>
    <m/>
    <m/>
    <m/>
    <m/>
    <m/>
    <m/>
    <m/>
    <m/>
  </r>
  <r>
    <x v="8"/>
    <s v="Northwest Mississippi Community College "/>
    <m/>
    <n v="176178"/>
    <x v="6"/>
    <n v="215284"/>
    <n v="205226"/>
    <n v="178486"/>
    <n v="171749"/>
    <m/>
    <m/>
    <n v="36798"/>
    <m/>
    <m/>
    <n v="33477"/>
    <m/>
    <m/>
    <m/>
    <m/>
    <n v="0"/>
    <n v="0"/>
    <m/>
    <m/>
    <m/>
    <m/>
    <m/>
    <m/>
    <m/>
    <m/>
    <m/>
    <m/>
    <m/>
    <m/>
  </r>
  <r>
    <x v="8"/>
    <s v="Copiah-Lincoln Community College "/>
    <m/>
    <n v="175573"/>
    <x v="7"/>
    <n v="99639"/>
    <n v="88280"/>
    <n v="78979"/>
    <n v="71948"/>
    <m/>
    <m/>
    <n v="20660"/>
    <m/>
    <m/>
    <n v="16332"/>
    <m/>
    <m/>
    <m/>
    <m/>
    <n v="0"/>
    <n v="0"/>
    <m/>
    <m/>
    <m/>
    <m/>
    <m/>
    <m/>
    <m/>
    <m/>
    <m/>
    <m/>
    <m/>
    <m/>
  </r>
  <r>
    <x v="8"/>
    <s v="East Central Community College "/>
    <m/>
    <n v="175643"/>
    <x v="7"/>
    <n v="70659"/>
    <n v="67933"/>
    <n v="59097"/>
    <n v="55708"/>
    <m/>
    <m/>
    <n v="11562"/>
    <m/>
    <m/>
    <n v="12225"/>
    <m/>
    <m/>
    <m/>
    <m/>
    <n v="0"/>
    <n v="0"/>
    <m/>
    <m/>
    <m/>
    <m/>
    <m/>
    <m/>
    <m/>
    <m/>
    <m/>
    <m/>
    <m/>
    <m/>
  </r>
  <r>
    <x v="8"/>
    <s v="East Mississippi Community College "/>
    <m/>
    <n v="175652"/>
    <x v="7"/>
    <n v="129678"/>
    <n v="120367"/>
    <n v="87110"/>
    <n v="79368"/>
    <m/>
    <m/>
    <n v="42568"/>
    <m/>
    <m/>
    <n v="40999"/>
    <m/>
    <m/>
    <m/>
    <m/>
    <n v="0"/>
    <n v="0"/>
    <m/>
    <m/>
    <m/>
    <m/>
    <m/>
    <m/>
    <m/>
    <m/>
    <m/>
    <m/>
    <m/>
    <m/>
  </r>
  <r>
    <x v="8"/>
    <s v="Holmes Community College "/>
    <s v="Met criteria for Two-Year 1 in 2012-13."/>
    <n v="175810"/>
    <x v="7"/>
    <n v="164122"/>
    <n v="156700"/>
    <n v="135843"/>
    <n v="124130"/>
    <m/>
    <m/>
    <n v="28279"/>
    <m/>
    <m/>
    <n v="32570"/>
    <m/>
    <m/>
    <m/>
    <m/>
    <n v="0"/>
    <n v="0"/>
    <m/>
    <m/>
    <m/>
    <m/>
    <m/>
    <m/>
    <m/>
    <m/>
    <m/>
    <m/>
    <m/>
    <m/>
  </r>
  <r>
    <x v="8"/>
    <s v="Jones County Junior College "/>
    <m/>
    <n v="175883"/>
    <x v="7"/>
    <n v="139066"/>
    <n v="117935"/>
    <n v="117067"/>
    <n v="101064"/>
    <m/>
    <m/>
    <n v="21999"/>
    <m/>
    <m/>
    <n v="16871"/>
    <m/>
    <m/>
    <m/>
    <m/>
    <n v="0"/>
    <n v="0"/>
    <m/>
    <m/>
    <m/>
    <m/>
    <m/>
    <m/>
    <m/>
    <m/>
    <m/>
    <m/>
    <m/>
    <m/>
  </r>
  <r>
    <x v="8"/>
    <s v="Meridian Community College "/>
    <m/>
    <n v="175935"/>
    <x v="7"/>
    <n v="101121.5"/>
    <n v="95678"/>
    <n v="86567.5"/>
    <n v="80178"/>
    <m/>
    <m/>
    <n v="14554"/>
    <m/>
    <m/>
    <n v="15500"/>
    <m/>
    <m/>
    <m/>
    <m/>
    <n v="0"/>
    <n v="0"/>
    <m/>
    <m/>
    <m/>
    <m/>
    <m/>
    <m/>
    <m/>
    <m/>
    <m/>
    <m/>
    <m/>
    <m/>
  </r>
  <r>
    <x v="8"/>
    <s v="Mississippi Delta Community College "/>
    <m/>
    <n v="176008"/>
    <x v="7"/>
    <n v="88891"/>
    <n v="82651"/>
    <n v="74233"/>
    <n v="71122"/>
    <m/>
    <m/>
    <n v="14658"/>
    <m/>
    <m/>
    <n v="11529"/>
    <m/>
    <m/>
    <m/>
    <m/>
    <n v="0"/>
    <n v="0"/>
    <m/>
    <m/>
    <m/>
    <m/>
    <m/>
    <m/>
    <m/>
    <m/>
    <m/>
    <m/>
    <m/>
    <m/>
  </r>
  <r>
    <x v="8"/>
    <s v="Northeast Mississippi Community College "/>
    <m/>
    <n v="176169"/>
    <x v="7"/>
    <n v="98233"/>
    <n v="92138"/>
    <n v="82970"/>
    <n v="77194"/>
    <m/>
    <m/>
    <n v="15263"/>
    <m/>
    <m/>
    <n v="14944"/>
    <m/>
    <m/>
    <m/>
    <m/>
    <n v="0"/>
    <n v="0"/>
    <m/>
    <m/>
    <m/>
    <m/>
    <m/>
    <m/>
    <m/>
    <m/>
    <m/>
    <m/>
    <m/>
    <m/>
  </r>
  <r>
    <x v="8"/>
    <s v="Pearl River Community College "/>
    <m/>
    <n v="176239"/>
    <x v="7"/>
    <n v="129908"/>
    <n v="117840"/>
    <n v="110906"/>
    <n v="97731"/>
    <m/>
    <m/>
    <n v="19002"/>
    <m/>
    <m/>
    <n v="20109"/>
    <m/>
    <m/>
    <m/>
    <m/>
    <n v="0"/>
    <n v="0"/>
    <m/>
    <m/>
    <m/>
    <m/>
    <m/>
    <m/>
    <m/>
    <m/>
    <m/>
    <m/>
    <m/>
    <m/>
  </r>
  <r>
    <x v="8"/>
    <s v="Coahoma Community College "/>
    <m/>
    <n v="175519"/>
    <x v="8"/>
    <n v="72371"/>
    <n v="57285"/>
    <n v="66559"/>
    <n v="52057"/>
    <m/>
    <m/>
    <n v="5812"/>
    <m/>
    <m/>
    <n v="5228"/>
    <m/>
    <m/>
    <m/>
    <m/>
    <n v="0"/>
    <n v="0"/>
    <m/>
    <m/>
    <m/>
    <m/>
    <m/>
    <m/>
    <m/>
    <m/>
    <m/>
    <m/>
    <m/>
    <m/>
  </r>
  <r>
    <x v="8"/>
    <s v="Southwest Mississippi Community College"/>
    <m/>
    <n v="176354"/>
    <x v="8"/>
    <n v="57111"/>
    <n v="57081"/>
    <n v="47205"/>
    <n v="47527"/>
    <m/>
    <m/>
    <n v="9906"/>
    <m/>
    <m/>
    <n v="9554"/>
    <m/>
    <m/>
    <m/>
    <m/>
    <n v="0"/>
    <n v="0"/>
    <m/>
    <m/>
    <m/>
    <m/>
    <m/>
    <m/>
    <m/>
    <m/>
    <m/>
    <m/>
    <m/>
    <m/>
  </r>
  <r>
    <x v="9"/>
    <s v="North Carolina State University "/>
    <m/>
    <n v="199193"/>
    <x v="0"/>
    <n v="730688"/>
    <n v="726227"/>
    <n v="651413"/>
    <n v="639845"/>
    <n v="2287"/>
    <n v="3023"/>
    <n v="76769"/>
    <n v="0"/>
    <n v="219"/>
    <n v="82595"/>
    <m/>
    <n v="764"/>
    <m/>
    <m/>
    <n v="141726"/>
    <n v="144607"/>
    <n v="115456"/>
    <n v="116294"/>
    <n v="5786"/>
    <n v="6316"/>
    <n v="20283"/>
    <n v="0"/>
    <n v="201"/>
    <n v="21448"/>
    <m/>
    <n v="549"/>
    <m/>
    <m/>
  </r>
  <r>
    <x v="9"/>
    <s v="University of North Carolina at Chapel Hill "/>
    <m/>
    <n v="199120"/>
    <x v="0"/>
    <n v="512048"/>
    <n v="511926"/>
    <n v="497036"/>
    <n v="498597"/>
    <n v="427"/>
    <n v="423"/>
    <n v="14582"/>
    <n v="3"/>
    <n v="0"/>
    <n v="12906"/>
    <m/>
    <m/>
    <m/>
    <m/>
    <n v="187268"/>
    <n v="191332"/>
    <n v="161566"/>
    <n v="163550"/>
    <n v="14426"/>
    <n v="12045"/>
    <n v="11177"/>
    <n v="90"/>
    <n v="9"/>
    <n v="15652"/>
    <n v="70"/>
    <n v="15"/>
    <m/>
    <m/>
  </r>
  <r>
    <x v="9"/>
    <s v="University of North Carolina at Greensboro"/>
    <m/>
    <n v="199148"/>
    <x v="0"/>
    <n v="420880"/>
    <n v="397024"/>
    <n v="351372"/>
    <n v="340572"/>
    <n v="350"/>
    <n v="422"/>
    <n v="69074"/>
    <n v="84"/>
    <n v="0"/>
    <n v="56018"/>
    <n v="12"/>
    <m/>
    <m/>
    <m/>
    <n v="71544"/>
    <n v="67094"/>
    <n v="55256"/>
    <n v="53586"/>
    <n v="2850"/>
    <n v="2904"/>
    <n v="13159"/>
    <n v="279"/>
    <n v="0"/>
    <n v="10488"/>
    <n v="116"/>
    <m/>
    <m/>
    <m/>
  </r>
  <r>
    <x v="9"/>
    <s v="East Carolina University "/>
    <s v="Reclassified: met the criteria for Four-Year 2 in 2010-11, 2011-12, and 2012-13."/>
    <n v="198464"/>
    <x v="1"/>
    <n v="597340"/>
    <n v="569352"/>
    <n v="502635"/>
    <n v="485756"/>
    <n v="7662"/>
    <n v="9731"/>
    <n v="87043"/>
    <n v="0"/>
    <n v="0"/>
    <n v="73865"/>
    <m/>
    <m/>
    <m/>
    <m/>
    <n v="103726"/>
    <n v="90686"/>
    <n v="54865"/>
    <n v="50066"/>
    <n v="7099"/>
    <n v="6044"/>
    <n v="41762"/>
    <n v="0"/>
    <n v="0"/>
    <n v="34576"/>
    <m/>
    <m/>
    <m/>
    <m/>
  </r>
  <r>
    <x v="9"/>
    <s v="University of North Carolina at Charlotte"/>
    <s v="Met the criteria for Four-Year 1 in 2012-13."/>
    <n v="199139"/>
    <x v="1"/>
    <n v="566448"/>
    <n v="583305"/>
    <n v="543221"/>
    <n v="548071"/>
    <n v="240"/>
    <n v="174"/>
    <n v="22975"/>
    <n v="12"/>
    <n v="0"/>
    <n v="34885"/>
    <n v="175"/>
    <m/>
    <m/>
    <m/>
    <n v="71816"/>
    <n v="72536"/>
    <n v="59266"/>
    <n v="58687"/>
    <n v="2424"/>
    <n v="2814"/>
    <n v="10099"/>
    <n v="27"/>
    <n v="0"/>
    <n v="11035"/>
    <m/>
    <m/>
    <m/>
    <m/>
  </r>
  <r>
    <x v="9"/>
    <s v="Appalachian State University "/>
    <m/>
    <n v="197869"/>
    <x v="2"/>
    <n v="465831"/>
    <n v="474596"/>
    <n v="447444"/>
    <n v="454841"/>
    <n v="8773"/>
    <n v="7772"/>
    <n v="9614"/>
    <n v="0"/>
    <n v="0"/>
    <n v="11983"/>
    <m/>
    <m/>
    <m/>
    <m/>
    <n v="37025"/>
    <n v="35405"/>
    <n v="22532"/>
    <n v="22583"/>
    <n v="9215"/>
    <n v="6519"/>
    <n v="5278"/>
    <n v="0"/>
    <n v="0"/>
    <n v="6303"/>
    <m/>
    <m/>
    <m/>
    <m/>
  </r>
  <r>
    <x v="9"/>
    <s v="North Carolina A&amp;T State University"/>
    <m/>
    <n v="199102"/>
    <x v="2"/>
    <n v="269574"/>
    <n v="257242"/>
    <n v="246539"/>
    <n v="237778"/>
    <n v="1866"/>
    <n v="356"/>
    <n v="21065"/>
    <n v="104"/>
    <n v="0"/>
    <n v="18908"/>
    <n v="200"/>
    <m/>
    <m/>
    <m/>
    <n v="32637"/>
    <n v="33326"/>
    <n v="23326"/>
    <n v="23551"/>
    <n v="2553"/>
    <n v="2204"/>
    <n v="6758"/>
    <n v="0"/>
    <n v="0"/>
    <n v="7571"/>
    <m/>
    <m/>
    <m/>
    <m/>
  </r>
  <r>
    <x v="9"/>
    <s v="North Carolina Central University "/>
    <m/>
    <n v="199157"/>
    <x v="2"/>
    <n v="191123"/>
    <n v="188237"/>
    <n v="170621"/>
    <n v="163622"/>
    <n v="165"/>
    <n v="364"/>
    <n v="20337"/>
    <n v="0"/>
    <n v="0"/>
    <n v="24251"/>
    <m/>
    <m/>
    <m/>
    <m/>
    <n v="41457"/>
    <n v="39583"/>
    <n v="33173"/>
    <n v="32143"/>
    <n v="1059"/>
    <n v="590"/>
    <n v="7225"/>
    <n v="0"/>
    <n v="0"/>
    <n v="6850"/>
    <m/>
    <m/>
    <m/>
    <m/>
  </r>
  <r>
    <x v="9"/>
    <s v="University of North Carolina at Wilmington"/>
    <m/>
    <n v="199218"/>
    <x v="2"/>
    <n v="349604"/>
    <n v="360308"/>
    <n v="316370"/>
    <n v="324104"/>
    <n v="11371"/>
    <n v="3509"/>
    <n v="21466"/>
    <n v="42"/>
    <n v="355"/>
    <n v="31905"/>
    <n v="240"/>
    <n v="550"/>
    <m/>
    <m/>
    <n v="20233"/>
    <n v="20388"/>
    <n v="16250"/>
    <n v="15336"/>
    <n v="1181"/>
    <n v="883"/>
    <n v="2662"/>
    <n v="105"/>
    <n v="35"/>
    <n v="4065"/>
    <n v="21"/>
    <n v="83"/>
    <m/>
    <m/>
  </r>
  <r>
    <x v="9"/>
    <s v="Western Carolina University "/>
    <m/>
    <n v="200004"/>
    <x v="2"/>
    <n v="215841"/>
    <n v="221922"/>
    <n v="192524"/>
    <n v="196818"/>
    <n v="2882"/>
    <n v="2039"/>
    <n v="20423"/>
    <n v="12"/>
    <n v="0"/>
    <n v="23065"/>
    <m/>
    <m/>
    <m/>
    <m/>
    <n v="31213"/>
    <n v="29833"/>
    <n v="17721"/>
    <n v="17060"/>
    <n v="644"/>
    <n v="1321"/>
    <n v="12740"/>
    <n v="108"/>
    <n v="0"/>
    <n v="11452"/>
    <m/>
    <m/>
    <m/>
    <m/>
  </r>
  <r>
    <x v="9"/>
    <s v="Fayetteville State University "/>
    <m/>
    <n v="198543"/>
    <x v="3"/>
    <n v="148382"/>
    <n v="148822"/>
    <n v="121779"/>
    <n v="118553"/>
    <n v="2976"/>
    <n v="2480"/>
    <n v="23525"/>
    <n v="99"/>
    <n v="3"/>
    <n v="27789"/>
    <m/>
    <m/>
    <m/>
    <m/>
    <n v="10848"/>
    <n v="11372"/>
    <n v="6176"/>
    <n v="6381"/>
    <n v="1996"/>
    <n v="2297"/>
    <n v="2676"/>
    <n v="0"/>
    <n v="0"/>
    <n v="2694"/>
    <m/>
    <m/>
    <m/>
    <m/>
  </r>
  <r>
    <x v="9"/>
    <s v="University of North Carolina at Pembroke"/>
    <m/>
    <n v="199281"/>
    <x v="4"/>
    <n v="158452"/>
    <n v="152310"/>
    <n v="121438"/>
    <n v="116973"/>
    <n v="4301"/>
    <n v="4103"/>
    <n v="32199"/>
    <n v="514"/>
    <n v="0"/>
    <n v="30338"/>
    <n v="896"/>
    <m/>
    <m/>
    <m/>
    <n v="11674"/>
    <n v="11853"/>
    <n v="3950"/>
    <n v="5871"/>
    <n v="1325"/>
    <n v="1534"/>
    <n v="6222"/>
    <n v="177"/>
    <n v="0"/>
    <n v="4094"/>
    <n v="354"/>
    <m/>
    <m/>
    <m/>
  </r>
  <r>
    <x v="9"/>
    <s v="Winston-Salem State University "/>
    <m/>
    <n v="199999"/>
    <x v="4"/>
    <n v="170464"/>
    <n v="155479"/>
    <n v="137482"/>
    <n v="122922"/>
    <n v="12639"/>
    <n v="9868"/>
    <n v="20343"/>
    <n v="0"/>
    <n v="0"/>
    <n v="22689"/>
    <m/>
    <m/>
    <m/>
    <m/>
    <n v="11354"/>
    <n v="11017"/>
    <n v="9579"/>
    <n v="9200"/>
    <n v="235"/>
    <n v="209"/>
    <n v="1534"/>
    <n v="6"/>
    <n v="0"/>
    <n v="1545"/>
    <n v="63"/>
    <m/>
    <m/>
    <m/>
  </r>
  <r>
    <x v="9"/>
    <s v="Elizabeth City State University "/>
    <m/>
    <n v="198507"/>
    <x v="5"/>
    <n v="95275"/>
    <n v="84812"/>
    <n v="76745"/>
    <n v="64962"/>
    <n v="1580"/>
    <n v="936"/>
    <n v="16950"/>
    <n v="0"/>
    <n v="0"/>
    <n v="18914"/>
    <m/>
    <m/>
    <m/>
    <m/>
    <n v="1530"/>
    <n v="2090"/>
    <n v="815"/>
    <n v="1182"/>
    <n v="33"/>
    <m/>
    <n v="682"/>
    <n v="0"/>
    <n v="0"/>
    <n v="908"/>
    <m/>
    <m/>
    <m/>
    <m/>
  </r>
  <r>
    <x v="9"/>
    <s v="University of North Carolina at Asheville"/>
    <m/>
    <n v="199111"/>
    <x v="5"/>
    <n v="101367"/>
    <n v="97712"/>
    <n v="99229"/>
    <n v="95609"/>
    <n v="1566"/>
    <n v="1530"/>
    <n v="102"/>
    <n v="470"/>
    <n v="0"/>
    <n v="30"/>
    <n v="543"/>
    <m/>
    <m/>
    <m/>
    <n v="542"/>
    <n v="491"/>
    <n v="479"/>
    <n v="491"/>
    <n v="63"/>
    <m/>
    <n v="0"/>
    <n v="0"/>
    <n v="0"/>
    <m/>
    <m/>
    <m/>
    <m/>
    <m/>
  </r>
  <r>
    <x v="9"/>
    <s v="Asheville-Buncombe Technical Community College"/>
    <m/>
    <n v="197887"/>
    <x v="6"/>
    <n v="170479"/>
    <n v="169156"/>
    <n v="128539"/>
    <n v="109938"/>
    <n v="3660"/>
    <n v="2807"/>
    <n v="38280"/>
    <n v="0"/>
    <n v="0"/>
    <n v="56411"/>
    <n v="0"/>
    <n v="0"/>
    <m/>
    <m/>
    <n v="0"/>
    <n v="0"/>
    <m/>
    <m/>
    <m/>
    <m/>
    <m/>
    <m/>
    <m/>
    <m/>
    <m/>
    <m/>
    <m/>
    <m/>
  </r>
  <r>
    <x v="9"/>
    <s v="Cape Fear Community College"/>
    <m/>
    <n v="198154"/>
    <x v="6"/>
    <n v="222712"/>
    <n v="216572"/>
    <n v="160180"/>
    <n v="154535"/>
    <n v="2115"/>
    <n v="808"/>
    <n v="60417"/>
    <n v="0"/>
    <n v="0"/>
    <n v="61229"/>
    <n v="0"/>
    <n v="0"/>
    <m/>
    <m/>
    <n v="0"/>
    <n v="0"/>
    <m/>
    <m/>
    <m/>
    <m/>
    <m/>
    <m/>
    <m/>
    <m/>
    <m/>
    <m/>
    <m/>
    <m/>
  </r>
  <r>
    <x v="9"/>
    <s v="Central Piedmont Community College "/>
    <m/>
    <n v="198260"/>
    <x v="6"/>
    <n v="406206"/>
    <n v="403022"/>
    <n v="291855"/>
    <n v="284295"/>
    <n v="2167"/>
    <n v="2678"/>
    <n v="108291"/>
    <n v="0"/>
    <n v="3893"/>
    <n v="112870"/>
    <n v="0"/>
    <n v="3179"/>
    <m/>
    <m/>
    <n v="0"/>
    <n v="0"/>
    <m/>
    <m/>
    <m/>
    <m/>
    <m/>
    <m/>
    <m/>
    <m/>
    <m/>
    <m/>
    <m/>
    <m/>
  </r>
  <r>
    <x v="9"/>
    <s v="Fayetteville Technical Community College"/>
    <m/>
    <n v="198534"/>
    <x v="6"/>
    <n v="236595"/>
    <n v="255208"/>
    <n v="143996"/>
    <n v="149662"/>
    <n v="2305"/>
    <n v="1606"/>
    <n v="89164"/>
    <n v="1130"/>
    <n v="0"/>
    <n v="102851"/>
    <n v="1089"/>
    <n v="0"/>
    <m/>
    <m/>
    <n v="0"/>
    <n v="0"/>
    <m/>
    <m/>
    <m/>
    <m/>
    <m/>
    <m/>
    <m/>
    <m/>
    <m/>
    <m/>
    <m/>
    <m/>
  </r>
  <r>
    <x v="9"/>
    <s v="Forsyth Technical Community College"/>
    <m/>
    <n v="198552"/>
    <x v="6"/>
    <n v="227337"/>
    <n v="232956"/>
    <n v="148284"/>
    <n v="151483"/>
    <n v="5446"/>
    <n v="5335"/>
    <n v="72293"/>
    <n v="1314"/>
    <n v="0"/>
    <n v="75092"/>
    <n v="1046"/>
    <n v="0"/>
    <m/>
    <m/>
    <n v="0"/>
    <n v="0"/>
    <m/>
    <m/>
    <m/>
    <m/>
    <m/>
    <m/>
    <m/>
    <m/>
    <m/>
    <m/>
    <m/>
    <m/>
  </r>
  <r>
    <x v="9"/>
    <s v="Gaston College "/>
    <s v="Met the criteria for Two-Year 2 in 2011-12 and 2012-13."/>
    <n v="198570"/>
    <x v="6"/>
    <n v="149083"/>
    <n v="136184"/>
    <n v="100582"/>
    <n v="88356"/>
    <n v="2252"/>
    <n v="1290"/>
    <n v="45358"/>
    <n v="891"/>
    <n v="0"/>
    <n v="45815"/>
    <n v="723"/>
    <n v="0"/>
    <m/>
    <m/>
    <n v="0"/>
    <n v="0"/>
    <m/>
    <m/>
    <m/>
    <m/>
    <m/>
    <m/>
    <m/>
    <m/>
    <m/>
    <m/>
    <m/>
    <m/>
  </r>
  <r>
    <x v="9"/>
    <s v="Guilford Technical Community College"/>
    <m/>
    <n v="198622"/>
    <x v="6"/>
    <n v="360948"/>
    <n v="350945"/>
    <n v="251398"/>
    <n v="211110"/>
    <n v="2839"/>
    <n v="2946"/>
    <n v="106711"/>
    <n v="0"/>
    <n v="0"/>
    <n v="136889"/>
    <n v="0"/>
    <n v="0"/>
    <m/>
    <m/>
    <n v="0"/>
    <n v="0"/>
    <m/>
    <m/>
    <m/>
    <m/>
    <m/>
    <m/>
    <m/>
    <m/>
    <m/>
    <m/>
    <m/>
    <m/>
  </r>
  <r>
    <x v="9"/>
    <s v="Pitt Community College"/>
    <m/>
    <n v="199333"/>
    <x v="6"/>
    <n v="203653"/>
    <n v="198387"/>
    <n v="126498"/>
    <n v="119571"/>
    <n v="8561"/>
    <n v="7863"/>
    <n v="68594"/>
    <n v="0"/>
    <n v="0"/>
    <n v="70953"/>
    <n v="0"/>
    <n v="0"/>
    <m/>
    <m/>
    <n v="0"/>
    <n v="0"/>
    <m/>
    <m/>
    <m/>
    <m/>
    <m/>
    <m/>
    <m/>
    <m/>
    <m/>
    <m/>
    <m/>
    <m/>
  </r>
  <r>
    <x v="9"/>
    <s v="Rowan-Cabarrus Community College"/>
    <m/>
    <n v="199494"/>
    <x v="6"/>
    <n v="171180"/>
    <n v="153750"/>
    <n v="130991"/>
    <n v="115821"/>
    <n v="2663"/>
    <n v="3398"/>
    <n v="35495"/>
    <n v="168"/>
    <n v="1863"/>
    <n v="34114"/>
    <n v="0"/>
    <n v="417"/>
    <m/>
    <m/>
    <n v="0"/>
    <n v="0"/>
    <m/>
    <m/>
    <m/>
    <m/>
    <m/>
    <m/>
    <m/>
    <m/>
    <m/>
    <m/>
    <m/>
    <m/>
  </r>
  <r>
    <x v="9"/>
    <s v="Wake Technical Community College"/>
    <m/>
    <n v="199856"/>
    <x v="6"/>
    <n v="380061"/>
    <n v="399920"/>
    <n v="274597"/>
    <n v="275546"/>
    <n v="4590"/>
    <n v="4102"/>
    <n v="100769"/>
    <n v="105"/>
    <n v="0"/>
    <n v="120272"/>
    <n v="0"/>
    <n v="0"/>
    <m/>
    <m/>
    <n v="0"/>
    <n v="0"/>
    <m/>
    <m/>
    <m/>
    <m/>
    <m/>
    <m/>
    <m/>
    <m/>
    <m/>
    <m/>
    <m/>
    <m/>
  </r>
  <r>
    <x v="9"/>
    <s v="Alamance Community College"/>
    <m/>
    <n v="199786"/>
    <x v="7"/>
    <n v="117779"/>
    <n v="106618"/>
    <n v="95315"/>
    <n v="82995"/>
    <n v="3381"/>
    <n v="2592"/>
    <n v="19083"/>
    <n v="0"/>
    <n v="0"/>
    <n v="21031"/>
    <n v="0"/>
    <n v="0"/>
    <m/>
    <m/>
    <n v="0"/>
    <n v="0"/>
    <m/>
    <m/>
    <m/>
    <m/>
    <m/>
    <m/>
    <m/>
    <m/>
    <m/>
    <m/>
    <m/>
    <m/>
  </r>
  <r>
    <x v="9"/>
    <s v="Caldwell Community College &amp; Technical Institute"/>
    <m/>
    <n v="198118"/>
    <x v="7"/>
    <n v="108746"/>
    <n v="104983"/>
    <n v="65013"/>
    <n v="63586"/>
    <n v="4094"/>
    <n v="1833"/>
    <n v="34951"/>
    <n v="4688"/>
    <n v="0"/>
    <n v="34903"/>
    <n v="4583"/>
    <n v="78"/>
    <m/>
    <m/>
    <n v="0"/>
    <n v="0"/>
    <m/>
    <m/>
    <m/>
    <m/>
    <m/>
    <m/>
    <m/>
    <m/>
    <m/>
    <m/>
    <m/>
    <m/>
  </r>
  <r>
    <x v="9"/>
    <s v="Catawba Valley Community College"/>
    <m/>
    <n v="198233"/>
    <x v="7"/>
    <n v="124083"/>
    <n v="112490"/>
    <n v="77648"/>
    <n v="70013"/>
    <n v="3634"/>
    <n v="2211"/>
    <n v="41889"/>
    <n v="0"/>
    <n v="912"/>
    <n v="39756"/>
    <n v="0"/>
    <n v="510"/>
    <m/>
    <m/>
    <n v="0"/>
    <n v="0"/>
    <m/>
    <m/>
    <m/>
    <m/>
    <m/>
    <m/>
    <m/>
    <m/>
    <m/>
    <m/>
    <m/>
    <m/>
  </r>
  <r>
    <x v="9"/>
    <s v="Central Carolina Commuity College"/>
    <m/>
    <n v="198251"/>
    <x v="7"/>
    <n v="107450"/>
    <n v="96971"/>
    <n v="65826"/>
    <n v="60532"/>
    <n v="5023"/>
    <n v="2813"/>
    <n v="36601"/>
    <n v="0"/>
    <n v="0"/>
    <n v="33626"/>
    <n v="0"/>
    <n v="0"/>
    <m/>
    <m/>
    <n v="0"/>
    <n v="0"/>
    <m/>
    <m/>
    <m/>
    <m/>
    <m/>
    <m/>
    <m/>
    <m/>
    <m/>
    <m/>
    <m/>
    <m/>
  </r>
  <r>
    <x v="9"/>
    <s v="Cleveland Community College"/>
    <m/>
    <n v="198321"/>
    <x v="7"/>
    <n v="82564"/>
    <n v="70715"/>
    <n v="50903"/>
    <n v="39916"/>
    <n v="3399"/>
    <n v="1793"/>
    <n v="28160"/>
    <n v="72"/>
    <n v="30"/>
    <n v="28782"/>
    <n v="224"/>
    <n v="0"/>
    <m/>
    <m/>
    <n v="0"/>
    <n v="0"/>
    <m/>
    <m/>
    <m/>
    <m/>
    <m/>
    <m/>
    <m/>
    <m/>
    <m/>
    <m/>
    <m/>
    <m/>
  </r>
  <r>
    <x v="9"/>
    <s v="Coastal Carolina Community College "/>
    <m/>
    <n v="198330"/>
    <x v="7"/>
    <n v="102920"/>
    <n v="114812"/>
    <n v="80563"/>
    <n v="87435"/>
    <n v="933"/>
    <n v="828"/>
    <n v="21424"/>
    <n v="0"/>
    <n v="0"/>
    <n v="26549"/>
    <n v="0"/>
    <n v="0"/>
    <m/>
    <m/>
    <n v="0"/>
    <n v="0"/>
    <m/>
    <m/>
    <m/>
    <m/>
    <m/>
    <m/>
    <m/>
    <m/>
    <m/>
    <m/>
    <m/>
    <m/>
  </r>
  <r>
    <x v="9"/>
    <s v="Craven Community College "/>
    <m/>
    <n v="198367"/>
    <x v="7"/>
    <n v="80746"/>
    <n v="75891"/>
    <n v="42311"/>
    <n v="40405"/>
    <n v="898"/>
    <n v="1006"/>
    <n v="37537"/>
    <n v="0"/>
    <n v="0"/>
    <n v="34480"/>
    <n v="0"/>
    <n v="0"/>
    <m/>
    <m/>
    <n v="0"/>
    <n v="0"/>
    <m/>
    <m/>
    <m/>
    <m/>
    <m/>
    <m/>
    <m/>
    <m/>
    <m/>
    <m/>
    <m/>
    <m/>
  </r>
  <r>
    <x v="9"/>
    <s v="Davidson County Community College "/>
    <m/>
    <n v="198376"/>
    <x v="7"/>
    <n v="97386"/>
    <n v="92512"/>
    <n v="41085"/>
    <n v="42447"/>
    <n v="37"/>
    <n v="0"/>
    <n v="54613"/>
    <n v="1651"/>
    <n v="0"/>
    <n v="49620"/>
    <n v="445"/>
    <n v="0"/>
    <m/>
    <m/>
    <n v="0"/>
    <n v="0"/>
    <m/>
    <m/>
    <m/>
    <m/>
    <m/>
    <m/>
    <m/>
    <m/>
    <m/>
    <m/>
    <m/>
    <m/>
  </r>
  <r>
    <x v="9"/>
    <s v="Durham Technical Community College"/>
    <m/>
    <n v="198455"/>
    <x v="7"/>
    <n v="113114"/>
    <n v="103479"/>
    <n v="88855"/>
    <n v="80996"/>
    <n v="1637"/>
    <n v="1335"/>
    <n v="22622"/>
    <n v="0"/>
    <n v="0"/>
    <n v="21148"/>
    <n v="0"/>
    <n v="0"/>
    <m/>
    <m/>
    <n v="0"/>
    <n v="0"/>
    <m/>
    <m/>
    <m/>
    <m/>
    <m/>
    <m/>
    <m/>
    <m/>
    <m/>
    <m/>
    <m/>
    <m/>
  </r>
  <r>
    <x v="9"/>
    <s v="Edgecombe Community College"/>
    <m/>
    <n v="198491"/>
    <x v="7"/>
    <n v="81042"/>
    <n v="71632"/>
    <n v="48063"/>
    <n v="41675"/>
    <n v="1487"/>
    <n v="1511"/>
    <n v="31492"/>
    <n v="0"/>
    <n v="0"/>
    <n v="28446"/>
    <n v="0"/>
    <n v="0"/>
    <m/>
    <m/>
    <n v="0"/>
    <n v="0"/>
    <m/>
    <m/>
    <m/>
    <m/>
    <m/>
    <m/>
    <m/>
    <m/>
    <m/>
    <m/>
    <m/>
    <m/>
  </r>
  <r>
    <x v="9"/>
    <s v="Haywood Community College"/>
    <s v="Met the criteria for Two-Year 3 in 2011-12 and 2012-13."/>
    <n v="198668"/>
    <x v="7"/>
    <n v="53214"/>
    <n v="50154"/>
    <n v="30722"/>
    <n v="28524"/>
    <n v="1391"/>
    <n v="1231"/>
    <n v="21086"/>
    <n v="15"/>
    <n v="0"/>
    <n v="20321"/>
    <n v="78"/>
    <n v="0"/>
    <m/>
    <m/>
    <n v="0"/>
    <n v="0"/>
    <m/>
    <m/>
    <m/>
    <m/>
    <m/>
    <m/>
    <m/>
    <m/>
    <m/>
    <m/>
    <m/>
    <m/>
  </r>
  <r>
    <x v="9"/>
    <s v="Isothermal Community College "/>
    <s v="Met the criteria for Two-Year 3 in 2012-13."/>
    <n v="198710"/>
    <x v="7"/>
    <n v="66550"/>
    <n v="55766"/>
    <n v="44480"/>
    <n v="40890"/>
    <n v="1567"/>
    <n v="1723"/>
    <n v="20503"/>
    <n v="0"/>
    <n v="0"/>
    <n v="13153"/>
    <n v="0"/>
    <n v="0"/>
    <m/>
    <m/>
    <n v="0"/>
    <n v="0"/>
    <m/>
    <m/>
    <m/>
    <m/>
    <m/>
    <m/>
    <m/>
    <m/>
    <m/>
    <m/>
    <m/>
    <m/>
  </r>
  <r>
    <x v="9"/>
    <s v="Johnston Community College"/>
    <m/>
    <n v="198774"/>
    <x v="7"/>
    <n v="94039"/>
    <n v="92702"/>
    <n v="62956"/>
    <n v="57410"/>
    <n v="2916"/>
    <n v="1753"/>
    <n v="27921"/>
    <n v="66"/>
    <n v="180"/>
    <n v="33202"/>
    <n v="337"/>
    <n v="0"/>
    <m/>
    <m/>
    <n v="0"/>
    <n v="0"/>
    <m/>
    <m/>
    <m/>
    <m/>
    <m/>
    <m/>
    <m/>
    <m/>
    <m/>
    <m/>
    <m/>
    <m/>
  </r>
  <r>
    <x v="9"/>
    <s v="Lenoir Community College "/>
    <m/>
    <n v="198817"/>
    <x v="7"/>
    <n v="81170"/>
    <n v="71359"/>
    <n v="45873"/>
    <n v="39119"/>
    <n v="1112"/>
    <n v="1514"/>
    <n v="34185"/>
    <n v="0"/>
    <n v="0"/>
    <n v="30687"/>
    <n v="39"/>
    <n v="0"/>
    <m/>
    <m/>
    <n v="0"/>
    <n v="0"/>
    <m/>
    <m/>
    <m/>
    <m/>
    <m/>
    <m/>
    <m/>
    <m/>
    <m/>
    <m/>
    <m/>
    <m/>
  </r>
  <r>
    <x v="9"/>
    <s v="Mitchell Community College "/>
    <m/>
    <n v="198987"/>
    <x v="7"/>
    <n v="78940"/>
    <n v="77407"/>
    <n v="51525"/>
    <n v="47791"/>
    <n v="1914"/>
    <n v="2030"/>
    <n v="25501"/>
    <n v="0"/>
    <n v="0"/>
    <n v="27580"/>
    <n v="6"/>
    <n v="0"/>
    <m/>
    <m/>
    <n v="0"/>
    <n v="0"/>
    <m/>
    <m/>
    <m/>
    <m/>
    <m/>
    <m/>
    <m/>
    <m/>
    <m/>
    <m/>
    <m/>
    <m/>
  </r>
  <r>
    <x v="9"/>
    <s v="Nash Community College"/>
    <m/>
    <n v="199087"/>
    <x v="7"/>
    <n v="64602"/>
    <n v="69602"/>
    <n v="48607"/>
    <n v="47216"/>
    <n v="1787"/>
    <n v="1695"/>
    <n v="13830"/>
    <n v="378"/>
    <n v="0"/>
    <n v="20478"/>
    <n v="195"/>
    <n v="18"/>
    <m/>
    <m/>
    <n v="0"/>
    <n v="0"/>
    <m/>
    <m/>
    <m/>
    <m/>
    <m/>
    <m/>
    <m/>
    <m/>
    <m/>
    <m/>
    <m/>
    <m/>
  </r>
  <r>
    <x v="9"/>
    <s v="Randolph Community College"/>
    <m/>
    <n v="199421"/>
    <x v="7"/>
    <n v="66168"/>
    <n v="62778"/>
    <n v="46386"/>
    <n v="44586"/>
    <n v="1922"/>
    <n v="1860"/>
    <n v="16156"/>
    <n v="1341"/>
    <n v="363"/>
    <n v="16254"/>
    <n v="0"/>
    <n v="78"/>
    <m/>
    <m/>
    <n v="0"/>
    <n v="0"/>
    <m/>
    <m/>
    <m/>
    <m/>
    <m/>
    <m/>
    <m/>
    <m/>
    <m/>
    <m/>
    <m/>
    <m/>
  </r>
  <r>
    <x v="9"/>
    <s v="Robeson Community College"/>
    <m/>
    <n v="199476"/>
    <x v="7"/>
    <n v="61963"/>
    <n v="59513"/>
    <n v="49541"/>
    <n v="46686"/>
    <n v="1270"/>
    <n v="406"/>
    <n v="11152"/>
    <n v="0"/>
    <n v="0"/>
    <n v="12412"/>
    <n v="9"/>
    <n v="0"/>
    <m/>
    <m/>
    <n v="0"/>
    <n v="0"/>
    <m/>
    <m/>
    <m/>
    <m/>
    <m/>
    <m/>
    <m/>
    <m/>
    <m/>
    <m/>
    <m/>
    <m/>
  </r>
  <r>
    <x v="9"/>
    <s v="Sandhills Community College "/>
    <m/>
    <n v="199634"/>
    <x v="7"/>
    <n v="98813"/>
    <n v="91735"/>
    <n v="62879"/>
    <n v="56427"/>
    <n v="1794"/>
    <n v="1306"/>
    <n v="34080"/>
    <n v="0"/>
    <n v="60"/>
    <n v="34002"/>
    <n v="0"/>
    <n v="0"/>
    <m/>
    <m/>
    <n v="0"/>
    <n v="0"/>
    <m/>
    <m/>
    <m/>
    <m/>
    <m/>
    <m/>
    <m/>
    <m/>
    <m/>
    <m/>
    <m/>
    <m/>
  </r>
  <r>
    <x v="9"/>
    <s v="Stanly Community College"/>
    <m/>
    <n v="199740"/>
    <x v="7"/>
    <n v="70082"/>
    <n v="65452"/>
    <n v="26070"/>
    <n v="23034"/>
    <n v="2601"/>
    <n v="823"/>
    <n v="38657"/>
    <n v="2754"/>
    <n v="0"/>
    <n v="41202"/>
    <n v="393"/>
    <n v="0"/>
    <m/>
    <m/>
    <n v="0"/>
    <n v="0"/>
    <m/>
    <m/>
    <m/>
    <m/>
    <m/>
    <m/>
    <m/>
    <m/>
    <m/>
    <m/>
    <m/>
    <m/>
  </r>
  <r>
    <x v="9"/>
    <s v="Surry Community College "/>
    <m/>
    <n v="199768"/>
    <x v="7"/>
    <n v="62205"/>
    <n v="56715"/>
    <n v="44980"/>
    <n v="37713"/>
    <n v="91"/>
    <n v="249"/>
    <n v="16280"/>
    <n v="854"/>
    <n v="0"/>
    <n v="17835"/>
    <n v="918"/>
    <n v="0"/>
    <m/>
    <m/>
    <n v="0"/>
    <n v="0"/>
    <m/>
    <m/>
    <m/>
    <m/>
    <m/>
    <m/>
    <m/>
    <m/>
    <m/>
    <m/>
    <m/>
    <m/>
  </r>
  <r>
    <x v="9"/>
    <s v="Vance-Granville Community College "/>
    <m/>
    <n v="199838"/>
    <x v="7"/>
    <n v="85707"/>
    <n v="83195"/>
    <n v="56528"/>
    <n v="52119"/>
    <n v="1002"/>
    <n v="942"/>
    <n v="26690"/>
    <n v="1487"/>
    <n v="0"/>
    <n v="28236"/>
    <n v="1898"/>
    <n v="0"/>
    <m/>
    <m/>
    <n v="0"/>
    <n v="0"/>
    <m/>
    <m/>
    <m/>
    <m/>
    <m/>
    <m/>
    <m/>
    <m/>
    <m/>
    <m/>
    <m/>
    <m/>
  </r>
  <r>
    <x v="9"/>
    <s v="Wayne Community College"/>
    <m/>
    <n v="199892"/>
    <x v="7"/>
    <n v="87967"/>
    <n v="83523"/>
    <n v="48188"/>
    <n v="44563"/>
    <n v="1705"/>
    <n v="1360"/>
    <n v="37963"/>
    <n v="0"/>
    <n v="111"/>
    <n v="37417"/>
    <n v="0"/>
    <n v="183"/>
    <m/>
    <m/>
    <n v="0"/>
    <n v="0"/>
    <m/>
    <m/>
    <m/>
    <m/>
    <m/>
    <m/>
    <m/>
    <m/>
    <m/>
    <m/>
    <m/>
    <m/>
  </r>
  <r>
    <x v="9"/>
    <s v="Western Piedmont Community College "/>
    <m/>
    <n v="199908"/>
    <x v="7"/>
    <n v="78718"/>
    <n v="67513"/>
    <n v="46666"/>
    <n v="40953"/>
    <n v="679"/>
    <n v="524"/>
    <n v="31373"/>
    <n v="0"/>
    <n v="0"/>
    <n v="26036"/>
    <n v="0"/>
    <n v="0"/>
    <m/>
    <m/>
    <n v="0"/>
    <n v="0"/>
    <m/>
    <m/>
    <m/>
    <m/>
    <m/>
    <m/>
    <m/>
    <m/>
    <m/>
    <m/>
    <m/>
    <m/>
  </r>
  <r>
    <x v="9"/>
    <s v="Wilkes Community College "/>
    <m/>
    <n v="199926"/>
    <x v="7"/>
    <n v="66709"/>
    <n v="60141"/>
    <n v="48138"/>
    <n v="42428"/>
    <n v="138"/>
    <n v="728"/>
    <n v="15573"/>
    <n v="2860"/>
    <n v="0"/>
    <n v="14494"/>
    <n v="2491"/>
    <n v="0"/>
    <m/>
    <m/>
    <n v="0"/>
    <n v="0"/>
    <m/>
    <m/>
    <m/>
    <m/>
    <m/>
    <m/>
    <m/>
    <m/>
    <m/>
    <m/>
    <m/>
    <m/>
  </r>
  <r>
    <x v="9"/>
    <s v="Beaufort County Community College "/>
    <m/>
    <n v="197966"/>
    <x v="8"/>
    <n v="41143"/>
    <n v="40077"/>
    <n v="24804"/>
    <n v="23748"/>
    <n v="1305"/>
    <n v="162"/>
    <n v="14560"/>
    <n v="0"/>
    <n v="474"/>
    <n v="15656"/>
    <n v="0"/>
    <n v="511"/>
    <m/>
    <m/>
    <n v="0"/>
    <n v="0"/>
    <m/>
    <m/>
    <m/>
    <m/>
    <m/>
    <m/>
    <m/>
    <m/>
    <m/>
    <m/>
    <m/>
    <m/>
  </r>
  <r>
    <x v="9"/>
    <s v="Bladen Community College"/>
    <m/>
    <n v="198011"/>
    <x v="8"/>
    <n v="42178"/>
    <n v="37420"/>
    <n v="22444"/>
    <n v="18314"/>
    <n v="342"/>
    <n v="17"/>
    <n v="14939"/>
    <n v="2440"/>
    <n v="2013"/>
    <n v="15311"/>
    <n v="1867"/>
    <n v="1911"/>
    <m/>
    <m/>
    <n v="0"/>
    <n v="0"/>
    <m/>
    <m/>
    <m/>
    <m/>
    <m/>
    <m/>
    <m/>
    <m/>
    <m/>
    <m/>
    <m/>
    <m/>
  </r>
  <r>
    <x v="9"/>
    <s v="Blue Ridge Community College"/>
    <m/>
    <n v="198039"/>
    <x v="8"/>
    <n v="44619"/>
    <n v="43931"/>
    <n v="29847"/>
    <n v="28949"/>
    <n v="700"/>
    <n v="700"/>
    <n v="13366"/>
    <n v="79"/>
    <n v="627"/>
    <n v="14182"/>
    <n v="76"/>
    <n v="24"/>
    <m/>
    <m/>
    <n v="0"/>
    <n v="0"/>
    <m/>
    <m/>
    <m/>
    <m/>
    <m/>
    <m/>
    <m/>
    <m/>
    <m/>
    <m/>
    <m/>
    <m/>
  </r>
  <r>
    <x v="9"/>
    <s v="Brunswick Community College"/>
    <m/>
    <n v="198084"/>
    <x v="8"/>
    <n v="33401"/>
    <n v="34192"/>
    <n v="22046"/>
    <n v="21093"/>
    <n v="167"/>
    <n v="291"/>
    <n v="11010"/>
    <n v="178"/>
    <n v="0"/>
    <n v="12687"/>
    <n v="121"/>
    <n v="0"/>
    <m/>
    <m/>
    <n v="0"/>
    <n v="0"/>
    <m/>
    <m/>
    <m/>
    <m/>
    <m/>
    <m/>
    <m/>
    <m/>
    <m/>
    <m/>
    <m/>
    <m/>
  </r>
  <r>
    <x v="9"/>
    <s v="Carteret Community College"/>
    <m/>
    <n v="198206"/>
    <x v="8"/>
    <n v="39625"/>
    <n v="37113"/>
    <n v="24147"/>
    <n v="20753"/>
    <n v="1451"/>
    <n v="1321"/>
    <n v="14027"/>
    <n v="0"/>
    <n v="0"/>
    <n v="15039"/>
    <n v="0"/>
    <n v="0"/>
    <m/>
    <m/>
    <n v="0"/>
    <n v="0"/>
    <m/>
    <m/>
    <m/>
    <m/>
    <m/>
    <m/>
    <m/>
    <m/>
    <m/>
    <m/>
    <m/>
    <m/>
  </r>
  <r>
    <x v="9"/>
    <s v="College of the Albemarle"/>
    <s v="Met the criteria for Two-Year 2 in 2012-13."/>
    <n v="197814"/>
    <x v="8"/>
    <n v="59628"/>
    <n v="58793"/>
    <n v="34420"/>
    <n v="32581"/>
    <n v="1117"/>
    <n v="1116"/>
    <n v="24040"/>
    <n v="51"/>
    <n v="0"/>
    <n v="24991"/>
    <n v="105"/>
    <n v="0"/>
    <m/>
    <m/>
    <n v="0"/>
    <n v="0"/>
    <m/>
    <m/>
    <m/>
    <m/>
    <m/>
    <m/>
    <m/>
    <m/>
    <m/>
    <m/>
    <m/>
    <m/>
  </r>
  <r>
    <x v="9"/>
    <s v="Halifax Community College "/>
    <m/>
    <n v="198640"/>
    <x v="8"/>
    <n v="39829"/>
    <n v="36096"/>
    <n v="22310"/>
    <n v="24046"/>
    <n v="2388"/>
    <n v="780"/>
    <n v="15131"/>
    <n v="0"/>
    <n v="0"/>
    <n v="10499"/>
    <n v="771"/>
    <n v="0"/>
    <m/>
    <m/>
    <n v="0"/>
    <n v="0"/>
    <m/>
    <m/>
    <m/>
    <m/>
    <m/>
    <m/>
    <m/>
    <m/>
    <m/>
    <m/>
    <m/>
    <m/>
  </r>
  <r>
    <x v="9"/>
    <s v="James Sprunt Community College"/>
    <m/>
    <n v="198729"/>
    <x v="8"/>
    <n v="32735"/>
    <n v="32457"/>
    <n v="22329"/>
    <n v="22648"/>
    <n v="735"/>
    <n v="475"/>
    <n v="8995"/>
    <n v="676"/>
    <n v="0"/>
    <n v="8584"/>
    <n v="750"/>
    <n v="0"/>
    <m/>
    <m/>
    <n v="0"/>
    <n v="0"/>
    <m/>
    <m/>
    <m/>
    <m/>
    <m/>
    <m/>
    <m/>
    <m/>
    <m/>
    <m/>
    <m/>
    <m/>
  </r>
  <r>
    <x v="9"/>
    <s v="Martin Community College "/>
    <m/>
    <n v="198905"/>
    <x v="8"/>
    <n v="17598"/>
    <n v="17153"/>
    <n v="8360"/>
    <n v="7934"/>
    <n v="520"/>
    <n v="297"/>
    <n v="8544"/>
    <n v="174"/>
    <n v="0"/>
    <n v="8832"/>
    <n v="90"/>
    <n v="0"/>
    <m/>
    <m/>
    <n v="0"/>
    <n v="0"/>
    <m/>
    <m/>
    <m/>
    <m/>
    <m/>
    <m/>
    <m/>
    <m/>
    <m/>
    <m/>
    <m/>
    <m/>
  </r>
  <r>
    <x v="9"/>
    <s v="Mayland Community College"/>
    <m/>
    <n v="198914"/>
    <x v="8"/>
    <n v="25241"/>
    <n v="22821"/>
    <n v="18321"/>
    <n v="17009"/>
    <n v="3638"/>
    <n v="1761"/>
    <n v="3282"/>
    <n v="0"/>
    <n v="0"/>
    <n v="3922"/>
    <n v="129"/>
    <n v="0"/>
    <m/>
    <m/>
    <n v="0"/>
    <n v="0"/>
    <m/>
    <m/>
    <m/>
    <m/>
    <m/>
    <m/>
    <m/>
    <m/>
    <m/>
    <m/>
    <m/>
    <m/>
  </r>
  <r>
    <x v="9"/>
    <s v="McDowell Technical Community College"/>
    <m/>
    <n v="198923"/>
    <x v="8"/>
    <n v="33977"/>
    <n v="28709"/>
    <n v="26090"/>
    <n v="21862"/>
    <n v="1107"/>
    <n v="0"/>
    <n v="6471"/>
    <n v="96"/>
    <n v="213"/>
    <n v="6694"/>
    <n v="27"/>
    <n v="126"/>
    <m/>
    <m/>
    <n v="0"/>
    <n v="0"/>
    <m/>
    <m/>
    <m/>
    <m/>
    <m/>
    <m/>
    <m/>
    <m/>
    <m/>
    <m/>
    <m/>
    <m/>
  </r>
  <r>
    <x v="9"/>
    <s v="Montgomery Community College"/>
    <m/>
    <n v="199023"/>
    <x v="8"/>
    <n v="18854"/>
    <n v="17341"/>
    <n v="10933"/>
    <n v="9713"/>
    <n v="568"/>
    <n v="577"/>
    <n v="7182"/>
    <n v="171"/>
    <n v="0"/>
    <n v="7003"/>
    <n v="48"/>
    <n v="0"/>
    <m/>
    <m/>
    <n v="0"/>
    <n v="0"/>
    <m/>
    <m/>
    <m/>
    <m/>
    <m/>
    <m/>
    <m/>
    <m/>
    <m/>
    <m/>
    <m/>
    <m/>
  </r>
  <r>
    <x v="9"/>
    <s v="Pamlico Community College"/>
    <m/>
    <n v="199263"/>
    <x v="8"/>
    <n v="12899"/>
    <n v="8939"/>
    <n v="5003"/>
    <n v="3100"/>
    <n v="2335"/>
    <n v="286"/>
    <n v="5540"/>
    <n v="9"/>
    <n v="12"/>
    <n v="5502"/>
    <n v="51"/>
    <n v="0"/>
    <m/>
    <m/>
    <n v="0"/>
    <n v="0"/>
    <m/>
    <m/>
    <m/>
    <m/>
    <m/>
    <m/>
    <m/>
    <m/>
    <m/>
    <m/>
    <m/>
    <m/>
  </r>
  <r>
    <x v="9"/>
    <s v="Piedmont Community College"/>
    <m/>
    <n v="199324"/>
    <x v="8"/>
    <n v="54804"/>
    <n v="43570"/>
    <n v="33467"/>
    <n v="26766"/>
    <n v="2244"/>
    <n v="601"/>
    <n v="16170"/>
    <n v="2923"/>
    <n v="0"/>
    <n v="13247"/>
    <n v="2956"/>
    <n v="0"/>
    <m/>
    <m/>
    <n v="0"/>
    <n v="0"/>
    <m/>
    <m/>
    <m/>
    <m/>
    <m/>
    <m/>
    <m/>
    <m/>
    <m/>
    <m/>
    <m/>
    <m/>
  </r>
  <r>
    <x v="9"/>
    <s v="Richmond Community College"/>
    <s v="Met the criteria for Two-Year 2 in 2012-13."/>
    <n v="199449"/>
    <x v="8"/>
    <n v="48530"/>
    <n v="55462"/>
    <n v="36643"/>
    <n v="40903"/>
    <n v="530"/>
    <n v="373"/>
    <n v="11330"/>
    <n v="27"/>
    <n v="0"/>
    <n v="14083"/>
    <n v="103"/>
    <n v="0"/>
    <m/>
    <m/>
    <n v="0"/>
    <n v="0"/>
    <m/>
    <m/>
    <m/>
    <m/>
    <m/>
    <m/>
    <m/>
    <m/>
    <m/>
    <m/>
    <m/>
    <m/>
  </r>
  <r>
    <x v="9"/>
    <s v="Roanoke-Chowan Community College"/>
    <m/>
    <n v="199467"/>
    <x v="8"/>
    <n v="18873"/>
    <n v="18454"/>
    <n v="12284"/>
    <n v="12689"/>
    <n v="1416"/>
    <n v="23"/>
    <n v="4999"/>
    <n v="174"/>
    <n v="0"/>
    <n v="5631"/>
    <n v="111"/>
    <n v="0"/>
    <m/>
    <m/>
    <n v="0"/>
    <n v="0"/>
    <m/>
    <m/>
    <m/>
    <m/>
    <m/>
    <m/>
    <m/>
    <m/>
    <m/>
    <m/>
    <m/>
    <m/>
  </r>
  <r>
    <x v="9"/>
    <s v="Rockingham Community College "/>
    <m/>
    <n v="199485"/>
    <x v="8"/>
    <n v="53436"/>
    <n v="47516"/>
    <n v="43574"/>
    <n v="38654"/>
    <n v="0"/>
    <n v="473"/>
    <n v="9682"/>
    <n v="108"/>
    <n v="72"/>
    <n v="8266"/>
    <n v="123"/>
    <n v="0"/>
    <m/>
    <m/>
    <n v="0"/>
    <n v="0"/>
    <m/>
    <m/>
    <m/>
    <m/>
    <m/>
    <m/>
    <m/>
    <m/>
    <m/>
    <m/>
    <m/>
    <m/>
  </r>
  <r>
    <x v="9"/>
    <s v="Sampson Community College"/>
    <m/>
    <n v="199625"/>
    <x v="8"/>
    <n v="32343"/>
    <n v="31433"/>
    <n v="26486"/>
    <n v="24327"/>
    <n v="242"/>
    <n v="425"/>
    <n v="4878"/>
    <n v="737"/>
    <n v="0"/>
    <n v="5964"/>
    <n v="717"/>
    <n v="0"/>
    <m/>
    <m/>
    <n v="0"/>
    <n v="0"/>
    <m/>
    <m/>
    <m/>
    <m/>
    <m/>
    <m/>
    <m/>
    <m/>
    <m/>
    <m/>
    <m/>
    <m/>
  </r>
  <r>
    <x v="9"/>
    <s v="South Piedmont Community College"/>
    <s v="Met the criteria for Two-Year 2 in 2012-13."/>
    <n v="197850"/>
    <x v="8"/>
    <n v="52463"/>
    <n v="48373"/>
    <n v="29354"/>
    <n v="23804"/>
    <n v="1661"/>
    <n v="778"/>
    <n v="20970"/>
    <n v="478"/>
    <n v="0"/>
    <n v="23632"/>
    <n v="159"/>
    <n v="0"/>
    <m/>
    <m/>
    <n v="0"/>
    <n v="0"/>
    <m/>
    <m/>
    <m/>
    <m/>
    <m/>
    <m/>
    <m/>
    <m/>
    <m/>
    <m/>
    <m/>
    <m/>
  </r>
  <r>
    <x v="9"/>
    <s v="Southeastern Community College "/>
    <s v="Met the criteria for Two-Year 2 in 2012-13."/>
    <n v="199722"/>
    <x v="8"/>
    <n v="50838"/>
    <n v="43237"/>
    <n v="32989"/>
    <n v="26702"/>
    <n v="820"/>
    <n v="599"/>
    <n v="16507"/>
    <n v="522"/>
    <n v="0"/>
    <n v="15550"/>
    <n v="386"/>
    <n v="0"/>
    <m/>
    <m/>
    <n v="0"/>
    <n v="0"/>
    <m/>
    <m/>
    <m/>
    <m/>
    <m/>
    <m/>
    <m/>
    <m/>
    <m/>
    <m/>
    <m/>
    <m/>
  </r>
  <r>
    <x v="9"/>
    <s v="Southwestern Community College "/>
    <s v="Met the criteria for Two-Year 2 in 2012-13."/>
    <n v="199731"/>
    <x v="8"/>
    <n v="56784"/>
    <n v="56366"/>
    <n v="29738"/>
    <n v="28174"/>
    <n v="2378"/>
    <n v="2424"/>
    <n v="22455"/>
    <n v="2213"/>
    <n v="0"/>
    <n v="24278"/>
    <n v="1490"/>
    <n v="0"/>
    <m/>
    <m/>
    <n v="0"/>
    <n v="0"/>
    <m/>
    <m/>
    <m/>
    <m/>
    <m/>
    <m/>
    <m/>
    <m/>
    <m/>
    <m/>
    <m/>
    <m/>
  </r>
  <r>
    <x v="9"/>
    <s v="Tri-County Community College "/>
    <m/>
    <n v="199795"/>
    <x v="8"/>
    <n v="30327"/>
    <n v="30174"/>
    <n v="13948"/>
    <n v="12727"/>
    <n v="474"/>
    <n v="242"/>
    <n v="15342"/>
    <n v="563"/>
    <n v="0"/>
    <n v="16524"/>
    <n v="681"/>
    <n v="0"/>
    <m/>
    <m/>
    <n v="0"/>
    <n v="0"/>
    <m/>
    <m/>
    <m/>
    <m/>
    <m/>
    <m/>
    <m/>
    <m/>
    <m/>
    <m/>
    <m/>
    <m/>
  </r>
  <r>
    <x v="9"/>
    <s v="Wilson Community College"/>
    <m/>
    <n v="199953"/>
    <x v="8"/>
    <n v="50883"/>
    <n v="43485"/>
    <n v="26041"/>
    <n v="20145"/>
    <n v="1127"/>
    <n v="829"/>
    <n v="20897"/>
    <n v="0"/>
    <n v="2818"/>
    <n v="20176"/>
    <n v="0"/>
    <n v="2335"/>
    <m/>
    <m/>
    <n v="0"/>
    <n v="0"/>
    <m/>
    <m/>
    <m/>
    <m/>
    <m/>
    <m/>
    <m/>
    <m/>
    <m/>
    <m/>
    <m/>
    <m/>
  </r>
  <r>
    <x v="9"/>
    <s v="North Carolina School of the Arts"/>
    <m/>
    <n v="199184"/>
    <x v="11"/>
    <n v="0"/>
    <n v="0"/>
    <m/>
    <m/>
    <m/>
    <m/>
    <m/>
    <m/>
    <m/>
    <m/>
    <m/>
    <m/>
    <m/>
    <m/>
    <n v="0"/>
    <n v="0"/>
    <m/>
    <m/>
    <m/>
    <m/>
    <m/>
    <m/>
    <m/>
    <m/>
    <m/>
    <m/>
    <m/>
    <m/>
  </r>
  <r>
    <x v="10"/>
    <s v="Oklahoma State University Main Campus"/>
    <m/>
    <n v="207388"/>
    <x v="0"/>
    <n v="0"/>
    <n v="537599"/>
    <m/>
    <n v="486723"/>
    <m/>
    <n v="4066"/>
    <m/>
    <m/>
    <m/>
    <n v="46810"/>
    <m/>
    <m/>
    <m/>
    <m/>
    <n v="0"/>
    <n v="76920"/>
    <m/>
    <n v="56625"/>
    <m/>
    <n v="1657"/>
    <m/>
    <m/>
    <m/>
    <n v="18638"/>
    <m/>
    <m/>
    <m/>
    <m/>
  </r>
  <r>
    <x v="10"/>
    <s v="University of Oklahoma Norman Campus"/>
    <m/>
    <n v="207500"/>
    <x v="0"/>
    <n v="542963"/>
    <n v="563754"/>
    <n v="474471"/>
    <n v="487962"/>
    <n v="6059"/>
    <n v="6610"/>
    <n v="60898"/>
    <n v="316"/>
    <n v="656"/>
    <n v="64312"/>
    <n v="231"/>
    <n v="2510"/>
    <n v="563"/>
    <n v="2129"/>
    <n v="94236"/>
    <n v="93253"/>
    <n v="57912"/>
    <n v="55596"/>
    <n v="19766"/>
    <n v="19567"/>
    <n v="13679"/>
    <n v="570"/>
    <n v="2309"/>
    <n v="15049"/>
    <n v="268"/>
    <n v="2366"/>
    <m/>
    <n v="407"/>
  </r>
  <r>
    <x v="10"/>
    <s v="Northeastern State University"/>
    <m/>
    <n v="207263"/>
    <x v="2"/>
    <n v="207096"/>
    <n v="190715"/>
    <n v="172794"/>
    <n v="156067"/>
    <m/>
    <n v="1018"/>
    <n v="33255"/>
    <n v="1047"/>
    <m/>
    <n v="32814"/>
    <n v="816"/>
    <m/>
    <m/>
    <m/>
    <n v="20260"/>
    <n v="20730"/>
    <n v="18033"/>
    <n v="17144"/>
    <m/>
    <m/>
    <n v="1831"/>
    <n v="396"/>
    <m/>
    <n v="2786"/>
    <n v="800"/>
    <m/>
    <m/>
    <m/>
  </r>
  <r>
    <x v="10"/>
    <s v="University of Central Oklahoma"/>
    <m/>
    <n v="206941"/>
    <x v="2"/>
    <n v="373521"/>
    <n v="373158"/>
    <n v="336270"/>
    <n v="331193"/>
    <n v="4355"/>
    <n v="4510"/>
    <n v="29082"/>
    <n v="150"/>
    <n v="3664"/>
    <n v="33625"/>
    <n v="170"/>
    <n v="3660"/>
    <m/>
    <m/>
    <n v="28239"/>
    <n v="27514"/>
    <n v="24735"/>
    <n v="24758"/>
    <n v="71"/>
    <n v="48"/>
    <n v="1391"/>
    <n v="90"/>
    <n v="1952"/>
    <n v="1231"/>
    <n v="30"/>
    <n v="1447"/>
    <m/>
    <m/>
  </r>
  <r>
    <x v="10"/>
    <s v="Southeastern Oklahoma State University "/>
    <s v="Reclassified: met the criteria for Four-Year 4 in 2010-11, 2011-12, and 2012-13."/>
    <n v="207847"/>
    <x v="3"/>
    <n v="97592"/>
    <n v="95226"/>
    <n v="67649"/>
    <n v="64076"/>
    <m/>
    <n v="39"/>
    <n v="24179"/>
    <n v="5764"/>
    <m/>
    <n v="27567"/>
    <n v="3544"/>
    <m/>
    <m/>
    <m/>
    <n v="6177"/>
    <n v="6114"/>
    <n v="4550"/>
    <n v="3332"/>
    <m/>
    <m/>
    <n v="1390"/>
    <n v="237"/>
    <m/>
    <n v="2707"/>
    <n v="75"/>
    <m/>
    <m/>
    <m/>
  </r>
  <r>
    <x v="10"/>
    <s v="Cameron University "/>
    <m/>
    <n v="206914"/>
    <x v="4"/>
    <n v="139044"/>
    <n v="134095"/>
    <n v="107420"/>
    <n v="102459"/>
    <n v="2911"/>
    <n v="2569"/>
    <n v="19017"/>
    <n v="9696"/>
    <m/>
    <n v="19194"/>
    <n v="9873"/>
    <m/>
    <m/>
    <m/>
    <n v="7449"/>
    <n v="7839"/>
    <n v="3567"/>
    <n v="4077"/>
    <m/>
    <m/>
    <n v="2508"/>
    <n v="1374"/>
    <m/>
    <n v="2421"/>
    <n v="1341"/>
    <m/>
    <m/>
    <m/>
  </r>
  <r>
    <x v="10"/>
    <s v="East Central University "/>
    <m/>
    <n v="207041"/>
    <x v="4"/>
    <n v="106761"/>
    <n v="103379"/>
    <n v="89844"/>
    <n v="86784"/>
    <n v="426"/>
    <n v="84"/>
    <n v="8521"/>
    <n v="3560"/>
    <n v="4410"/>
    <n v="7717"/>
    <n v="3995"/>
    <n v="4799"/>
    <m/>
    <m/>
    <n v="15756"/>
    <n v="10724"/>
    <n v="5779"/>
    <n v="263"/>
    <n v="462"/>
    <n v="551"/>
    <n v="7160"/>
    <n v="1641"/>
    <n v="714"/>
    <n v="7185"/>
    <n v="1912"/>
    <n v="813"/>
    <m/>
    <m/>
  </r>
  <r>
    <x v="10"/>
    <s v="Langston University"/>
    <m/>
    <n v="207209"/>
    <x v="4"/>
    <n v="62132"/>
    <n v="56562"/>
    <n v="61185"/>
    <n v="54788"/>
    <n v="162"/>
    <m/>
    <n v="520"/>
    <n v="265"/>
    <m/>
    <n v="807"/>
    <n v="967"/>
    <m/>
    <m/>
    <m/>
    <n v="9995"/>
    <n v="10055"/>
    <n v="9032"/>
    <n v="8309"/>
    <m/>
    <m/>
    <n v="882"/>
    <n v="81"/>
    <m/>
    <n v="1395"/>
    <n v="351"/>
    <m/>
    <m/>
    <m/>
  </r>
  <r>
    <x v="10"/>
    <s v="Northwestern Oklahoma State University "/>
    <m/>
    <n v="207306"/>
    <x v="4"/>
    <n v="52469"/>
    <n v="51151"/>
    <n v="39001"/>
    <n v="36998"/>
    <n v="138"/>
    <n v="99"/>
    <n v="5053"/>
    <n v="8277"/>
    <m/>
    <n v="5160"/>
    <n v="8714"/>
    <n v="180"/>
    <m/>
    <m/>
    <n v="2309"/>
    <n v="2982"/>
    <n v="1303"/>
    <n v="1380"/>
    <n v="2"/>
    <n v="23"/>
    <n v="206"/>
    <n v="798"/>
    <m/>
    <n v="234"/>
    <n v="1345"/>
    <m/>
    <m/>
    <m/>
  </r>
  <r>
    <x v="10"/>
    <s v="Southwestern Oklahoma State University"/>
    <m/>
    <n v="207865"/>
    <x v="4"/>
    <n v="124777"/>
    <n v="119697"/>
    <n v="110061"/>
    <n v="104838"/>
    <n v="1566"/>
    <n v="687"/>
    <n v="10192"/>
    <n v="1707"/>
    <n v="1251"/>
    <n v="12930"/>
    <n v="1194"/>
    <n v="48"/>
    <m/>
    <m/>
    <n v="14178"/>
    <n v="15387"/>
    <n v="8985"/>
    <n v="8781"/>
    <n v="10"/>
    <n v="1989"/>
    <n v="1292"/>
    <n v="3891"/>
    <m/>
    <n v="2418"/>
    <n v="2199"/>
    <m/>
    <m/>
    <m/>
  </r>
  <r>
    <x v="10"/>
    <s v="Oklahoma Panhandle State University "/>
    <m/>
    <n v="207351"/>
    <x v="5"/>
    <n v="39218"/>
    <n v="42508"/>
    <n v="34003"/>
    <n v="35702"/>
    <m/>
    <m/>
    <n v="5050"/>
    <n v="165"/>
    <m/>
    <n v="6719"/>
    <n v="87"/>
    <m/>
    <m/>
    <m/>
    <n v="0"/>
    <n v="0"/>
    <m/>
    <m/>
    <m/>
    <m/>
    <m/>
    <m/>
    <m/>
    <m/>
    <m/>
    <m/>
    <m/>
    <m/>
  </r>
  <r>
    <x v="10"/>
    <s v="Rogers State University"/>
    <m/>
    <n v="207661"/>
    <x v="5"/>
    <n v="104846"/>
    <n v="106177"/>
    <n v="72813"/>
    <n v="73815"/>
    <n v="2951"/>
    <n v="2922"/>
    <n v="26519"/>
    <n v="2563"/>
    <m/>
    <n v="27187"/>
    <n v="2253"/>
    <m/>
    <m/>
    <m/>
    <n v="0"/>
    <n v="0"/>
    <m/>
    <m/>
    <m/>
    <m/>
    <m/>
    <m/>
    <m/>
    <m/>
    <m/>
    <m/>
    <m/>
    <m/>
  </r>
  <r>
    <x v="10"/>
    <s v="University of Science and Arts of Oklahoma"/>
    <m/>
    <n v="207722"/>
    <x v="5"/>
    <n v="30810"/>
    <n v="28393"/>
    <n v="30690"/>
    <n v="28330"/>
    <n v="120"/>
    <n v="63"/>
    <m/>
    <m/>
    <m/>
    <m/>
    <m/>
    <m/>
    <m/>
    <m/>
    <n v="0"/>
    <n v="0"/>
    <m/>
    <m/>
    <m/>
    <m/>
    <m/>
    <m/>
    <m/>
    <m/>
    <m/>
    <m/>
    <m/>
    <m/>
  </r>
  <r>
    <x v="10"/>
    <s v="Oklahoma State University Technical Branch-Okmulgee "/>
    <s v="Met the criteria for Two-Year 1 institution in 2012-13."/>
    <n v="207397"/>
    <x v="12"/>
    <n v="95815"/>
    <n v="96340"/>
    <n v="75353"/>
    <n v="74115"/>
    <n v="10254"/>
    <n v="10223"/>
    <n v="10208"/>
    <m/>
    <m/>
    <n v="12002"/>
    <m/>
    <m/>
    <m/>
    <m/>
    <n v="0"/>
    <n v="0"/>
    <m/>
    <m/>
    <m/>
    <m/>
    <m/>
    <m/>
    <m/>
    <m/>
    <m/>
    <m/>
    <m/>
    <m/>
  </r>
  <r>
    <x v="10"/>
    <s v="Oklahoma State University-Oklahoma City "/>
    <s v="Met the criteria for Two-Year 2 institution in 2012-13."/>
    <n v="207564"/>
    <x v="12"/>
    <n v="169257"/>
    <n v="162903"/>
    <n v="111532"/>
    <n v="103082"/>
    <n v="5012"/>
    <n v="4166"/>
    <n v="47470"/>
    <n v="5170"/>
    <m/>
    <n v="50967"/>
    <n v="4588"/>
    <m/>
    <n v="73"/>
    <n v="100"/>
    <n v="0"/>
    <n v="0"/>
    <m/>
    <m/>
    <m/>
    <m/>
    <m/>
    <m/>
    <m/>
    <m/>
    <m/>
    <m/>
    <m/>
    <m/>
  </r>
  <r>
    <x v="10"/>
    <s v="Oklahoma City Community College "/>
    <m/>
    <n v="207449"/>
    <x v="6"/>
    <n v="323628"/>
    <n v="275005"/>
    <n v="189505"/>
    <n v="191522"/>
    <n v="20424"/>
    <n v="20563"/>
    <n v="52316"/>
    <m/>
    <n v="60962"/>
    <n v="62499"/>
    <m/>
    <m/>
    <n v="421"/>
    <n v="421"/>
    <n v="0"/>
    <n v="0"/>
    <m/>
    <m/>
    <m/>
    <m/>
    <m/>
    <m/>
    <m/>
    <m/>
    <m/>
    <m/>
    <m/>
    <m/>
  </r>
  <r>
    <x v="10"/>
    <s v="Rose State College "/>
    <m/>
    <n v="207670"/>
    <x v="6"/>
    <n v="162006"/>
    <n v="152987"/>
    <n v="121773"/>
    <n v="112226"/>
    <n v="5722"/>
    <n v="3864"/>
    <n v="31677"/>
    <n v="169"/>
    <n v="2665"/>
    <n v="34531"/>
    <n v="468"/>
    <n v="1898"/>
    <m/>
    <m/>
    <n v="0"/>
    <n v="0"/>
    <m/>
    <m/>
    <m/>
    <m/>
    <m/>
    <m/>
    <m/>
    <m/>
    <m/>
    <m/>
    <m/>
    <m/>
  </r>
  <r>
    <x v="10"/>
    <s v="Tulsa Community College "/>
    <m/>
    <n v="207935"/>
    <x v="6"/>
    <n v="397010"/>
    <n v="382906"/>
    <n v="290409"/>
    <n v="273968"/>
    <n v="18548"/>
    <n v="19227"/>
    <n v="88053"/>
    <m/>
    <m/>
    <n v="89711"/>
    <m/>
    <m/>
    <m/>
    <m/>
    <n v="0"/>
    <n v="0"/>
    <m/>
    <m/>
    <m/>
    <m/>
    <m/>
    <m/>
    <m/>
    <m/>
    <m/>
    <m/>
    <m/>
    <m/>
  </r>
  <r>
    <x v="10"/>
    <s v="Carl Albert State College"/>
    <s v="Reclassified: met the criteria for Two-Year 2 institution in 2010-11, 2011-12, and 2012-13."/>
    <n v="206923"/>
    <x v="7"/>
    <n v="63341"/>
    <n v="62913"/>
    <n v="23647"/>
    <n v="46623"/>
    <m/>
    <m/>
    <n v="14516"/>
    <n v="177"/>
    <n v="25001"/>
    <n v="14748"/>
    <n v="1542"/>
    <m/>
    <m/>
    <m/>
    <n v="0"/>
    <n v="0"/>
    <m/>
    <m/>
    <m/>
    <m/>
    <m/>
    <m/>
    <m/>
    <m/>
    <m/>
    <m/>
    <m/>
    <m/>
  </r>
  <r>
    <x v="10"/>
    <s v="Northern Oklahoma College "/>
    <m/>
    <n v="207281"/>
    <x v="7"/>
    <n v="120330"/>
    <n v="98353"/>
    <n v="82422"/>
    <n v="72760"/>
    <n v="9788"/>
    <n v="738"/>
    <n v="12089"/>
    <n v="15674"/>
    <n v="357"/>
    <n v="9432"/>
    <n v="15079"/>
    <n v="344"/>
    <m/>
    <m/>
    <n v="0"/>
    <n v="0"/>
    <m/>
    <m/>
    <m/>
    <m/>
    <m/>
    <m/>
    <m/>
    <m/>
    <m/>
    <m/>
    <m/>
    <m/>
  </r>
  <r>
    <x v="10"/>
    <s v="Connors State College "/>
    <s v="Met the criteria for Two-Year 2 institution in 2012-13."/>
    <n v="206996"/>
    <x v="8"/>
    <n v="58495"/>
    <n v="59443"/>
    <n v="37804"/>
    <n v="43886"/>
    <n v="9473"/>
    <n v="5312"/>
    <n v="4895"/>
    <n v="6323"/>
    <m/>
    <n v="7408"/>
    <n v="2837"/>
    <m/>
    <m/>
    <m/>
    <n v="0"/>
    <n v="0"/>
    <m/>
    <m/>
    <m/>
    <m/>
    <m/>
    <m/>
    <m/>
    <m/>
    <m/>
    <m/>
    <m/>
    <m/>
  </r>
  <r>
    <x v="10"/>
    <s v="Eastern Oklahoma State College "/>
    <m/>
    <n v="207050"/>
    <x v="8"/>
    <n v="45357"/>
    <n v="42460"/>
    <n v="33741"/>
    <n v="31959"/>
    <n v="2461"/>
    <n v="960"/>
    <n v="6102"/>
    <n v="3053"/>
    <m/>
    <n v="6474"/>
    <n v="3067"/>
    <m/>
    <m/>
    <m/>
    <n v="0"/>
    <n v="0"/>
    <m/>
    <m/>
    <m/>
    <m/>
    <m/>
    <m/>
    <m/>
    <m/>
    <m/>
    <m/>
    <m/>
    <m/>
  </r>
  <r>
    <x v="10"/>
    <s v="Murray State College "/>
    <m/>
    <n v="207236"/>
    <x v="8"/>
    <n v="59204"/>
    <n v="56231"/>
    <n v="37440"/>
    <n v="32886"/>
    <n v="2772"/>
    <n v="2621"/>
    <n v="11207"/>
    <n v="7749"/>
    <n v="36"/>
    <n v="12930"/>
    <n v="7760"/>
    <n v="34"/>
    <m/>
    <m/>
    <n v="0"/>
    <n v="0"/>
    <m/>
    <m/>
    <m/>
    <m/>
    <m/>
    <m/>
    <m/>
    <m/>
    <m/>
    <m/>
    <m/>
    <m/>
  </r>
  <r>
    <x v="10"/>
    <s v="Northeastern Oklahoma A &amp; M College "/>
    <m/>
    <n v="207290"/>
    <x v="8"/>
    <n v="63634"/>
    <n v="61592"/>
    <n v="49728"/>
    <n v="48910"/>
    <n v="1586"/>
    <n v="105"/>
    <n v="10937"/>
    <n v="1383"/>
    <m/>
    <n v="11382"/>
    <n v="1195"/>
    <m/>
    <m/>
    <m/>
    <n v="0"/>
    <n v="0"/>
    <m/>
    <m/>
    <m/>
    <m/>
    <m/>
    <m/>
    <m/>
    <m/>
    <m/>
    <m/>
    <m/>
    <m/>
  </r>
  <r>
    <x v="10"/>
    <s v="Redlands Community College"/>
    <m/>
    <n v="207069"/>
    <x v="8"/>
    <n v="49031"/>
    <n v="40630"/>
    <n v="25983"/>
    <n v="23316"/>
    <n v="6878"/>
    <n v="1608"/>
    <n v="14415"/>
    <n v="1755"/>
    <m/>
    <n v="14098"/>
    <n v="1608"/>
    <m/>
    <m/>
    <m/>
    <n v="0"/>
    <n v="0"/>
    <m/>
    <m/>
    <m/>
    <m/>
    <m/>
    <m/>
    <m/>
    <m/>
    <m/>
    <m/>
    <m/>
    <m/>
  </r>
  <r>
    <x v="10"/>
    <s v="Seminole State College "/>
    <m/>
    <n v="207740"/>
    <x v="8"/>
    <n v="45684"/>
    <n v="36897"/>
    <n v="29558"/>
    <n v="28095"/>
    <n v="7727"/>
    <n v="105"/>
    <n v="8288"/>
    <n v="111"/>
    <m/>
    <n v="8592"/>
    <n v="105"/>
    <m/>
    <m/>
    <m/>
    <n v="0"/>
    <n v="0"/>
    <m/>
    <m/>
    <m/>
    <m/>
    <m/>
    <m/>
    <m/>
    <m/>
    <m/>
    <m/>
    <m/>
    <m/>
  </r>
  <r>
    <x v="10"/>
    <s v="Western Oklahoma State College "/>
    <s v="Met the criteria for Two-Year 2 institution in 2011-12 and 2012-13."/>
    <n v="208035"/>
    <x v="8"/>
    <n v="63048"/>
    <n v="64584"/>
    <n v="20713"/>
    <n v="18950"/>
    <n v="6022"/>
    <n v="4760"/>
    <n v="34238"/>
    <n v="1715"/>
    <n v="360"/>
    <n v="39105"/>
    <n v="1478"/>
    <n v="291"/>
    <m/>
    <m/>
    <n v="0"/>
    <n v="0"/>
    <m/>
    <m/>
    <m/>
    <m/>
    <m/>
    <m/>
    <m/>
    <m/>
    <m/>
    <m/>
    <m/>
    <m/>
  </r>
  <r>
    <x v="11"/>
    <s v="Clemson University"/>
    <m/>
    <n v="217882"/>
    <x v="0"/>
    <n v="491334"/>
    <n v="500847"/>
    <n v="451941"/>
    <n v="460203"/>
    <n v="15418"/>
    <n v="7816"/>
    <n v="23975"/>
    <m/>
    <m/>
    <n v="32828"/>
    <n v="0"/>
    <n v="0"/>
    <m/>
    <m/>
    <n v="77271"/>
    <n v="79236"/>
    <n v="57340"/>
    <n v="57004"/>
    <n v="15684"/>
    <n v="16428"/>
    <n v="4247"/>
    <m/>
    <m/>
    <n v="5804"/>
    <m/>
    <m/>
    <m/>
    <m/>
  </r>
  <r>
    <x v="11"/>
    <s v="University of South Carolina-Columbia"/>
    <m/>
    <n v="218663"/>
    <x v="0"/>
    <n v="674943"/>
    <n v="705386"/>
    <n v="637395"/>
    <n v="664128"/>
    <n v="15367"/>
    <n v="14946"/>
    <n v="17159"/>
    <n v="3833"/>
    <n v="1189"/>
    <n v="22319"/>
    <n v="2851"/>
    <n v="1142"/>
    <m/>
    <m/>
    <n v="118222"/>
    <n v="113207"/>
    <n v="73946"/>
    <n v="73066"/>
    <n v="9895"/>
    <n v="9585"/>
    <n v="32293"/>
    <n v="174"/>
    <n v="1914"/>
    <n v="28059"/>
    <n v="498"/>
    <n v="1999"/>
    <m/>
    <m/>
  </r>
  <r>
    <x v="11"/>
    <s v="College of Charleston"/>
    <m/>
    <n v="217819"/>
    <x v="2"/>
    <n v="302217"/>
    <n v="309549"/>
    <n v="299380"/>
    <n v="305193"/>
    <n v="1795"/>
    <n v="2604"/>
    <n v="1042"/>
    <m/>
    <m/>
    <n v="1752"/>
    <n v="0"/>
    <n v="0"/>
    <m/>
    <m/>
    <n v="19054"/>
    <n v="18280"/>
    <n v="10693"/>
    <n v="10042"/>
    <n v="7511"/>
    <n v="6874"/>
    <n v="766"/>
    <m/>
    <n v="84"/>
    <n v="1313"/>
    <n v="45"/>
    <n v="6"/>
    <m/>
    <m/>
  </r>
  <r>
    <x v="11"/>
    <s v="Winthrop University "/>
    <m/>
    <n v="218964"/>
    <x v="2"/>
    <n v="143669"/>
    <n v="145009.5"/>
    <n v="139272"/>
    <n v="139061.5"/>
    <n v="1273"/>
    <n v="1159"/>
    <n v="3124"/>
    <m/>
    <m/>
    <n v="4789"/>
    <n v="0"/>
    <n v="0"/>
    <m/>
    <m/>
    <n v="18582"/>
    <n v="18444.5"/>
    <n v="14482"/>
    <n v="13114.5"/>
    <n v="2381"/>
    <n v="2812"/>
    <n v="1719"/>
    <m/>
    <m/>
    <n v="2518"/>
    <m/>
    <m/>
    <m/>
    <m/>
  </r>
  <r>
    <x v="11"/>
    <s v="The Citadel, the Military College of South Carolina "/>
    <s v="Met the criteria for Four-Year 3 in 2011-12 and 2012-13."/>
    <n v="217864"/>
    <x v="3"/>
    <n v="87469"/>
    <n v="90936"/>
    <n v="86618"/>
    <n v="89404"/>
    <n v="231"/>
    <n v="216"/>
    <n v="620"/>
    <m/>
    <m/>
    <n v="1253"/>
    <n v="63"/>
    <n v="0"/>
    <m/>
    <m/>
    <n v="16062"/>
    <n v="13943"/>
    <n v="12780"/>
    <n v="11300"/>
    <n v="1752"/>
    <n v="1272"/>
    <n v="1530"/>
    <m/>
    <m/>
    <n v="1371"/>
    <m/>
    <m/>
    <m/>
    <m/>
  </r>
  <r>
    <x v="11"/>
    <s v="Coastal Carolina University"/>
    <m/>
    <n v="218724"/>
    <x v="4"/>
    <n v="249232"/>
    <n v="256094"/>
    <n v="233193"/>
    <n v="237455"/>
    <n v="1928"/>
    <n v="1984"/>
    <n v="14111"/>
    <m/>
    <m/>
    <n v="16655"/>
    <n v="0"/>
    <n v="0"/>
    <m/>
    <m/>
    <n v="9268"/>
    <n v="9584"/>
    <n v="5224"/>
    <n v="5566"/>
    <n v="1810"/>
    <n v="1971"/>
    <n v="2234"/>
    <m/>
    <m/>
    <n v="2047"/>
    <m/>
    <m/>
    <m/>
    <m/>
  </r>
  <r>
    <x v="11"/>
    <s v="Francis Marion University "/>
    <m/>
    <n v="218061"/>
    <x v="4"/>
    <n v="105516"/>
    <n v="102284"/>
    <n v="104723"/>
    <n v="100855"/>
    <n v="517"/>
    <n v="206"/>
    <n v="276"/>
    <m/>
    <m/>
    <n v="1223"/>
    <n v="0"/>
    <n v="0"/>
    <m/>
    <m/>
    <n v="4967"/>
    <n v="4789"/>
    <n v="3461"/>
    <n v="2661"/>
    <n v="1425"/>
    <n v="1612"/>
    <n v="81"/>
    <m/>
    <m/>
    <n v="516"/>
    <m/>
    <m/>
    <m/>
    <m/>
  </r>
  <r>
    <x v="11"/>
    <s v="South Carolina State University "/>
    <m/>
    <n v="218733"/>
    <x v="4"/>
    <n v="112443"/>
    <n v="101567"/>
    <n v="108344"/>
    <n v="98666"/>
    <n v="0"/>
    <m/>
    <n v="3286"/>
    <m/>
    <n v="813"/>
    <n v="2901"/>
    <n v="0"/>
    <n v="0"/>
    <m/>
    <m/>
    <n v="10494"/>
    <n v="10031"/>
    <n v="8973"/>
    <n v="8951"/>
    <m/>
    <m/>
    <n v="1359"/>
    <m/>
    <n v="162"/>
    <n v="1080"/>
    <m/>
    <m/>
    <m/>
    <m/>
  </r>
  <r>
    <x v="11"/>
    <s v="Lander University"/>
    <m/>
    <n v="218229"/>
    <x v="5"/>
    <n v="86311"/>
    <n v="86752.010000000009"/>
    <n v="79212"/>
    <n v="79165.010000000009"/>
    <n v="906"/>
    <n v="1109"/>
    <n v="6133"/>
    <n v="60"/>
    <m/>
    <n v="6439"/>
    <n v="39"/>
    <n v="0"/>
    <m/>
    <m/>
    <n v="1674"/>
    <n v="1869"/>
    <n v="1137"/>
    <n v="1089"/>
    <n v="255"/>
    <n v="288"/>
    <n v="282"/>
    <m/>
    <m/>
    <n v="492"/>
    <m/>
    <m/>
    <m/>
    <m/>
  </r>
  <r>
    <x v="11"/>
    <s v="University of South Carolina-Aiken"/>
    <m/>
    <n v="218645"/>
    <x v="5"/>
    <n v="90109"/>
    <n v="87317"/>
    <n v="82281"/>
    <n v="78819"/>
    <n v="5702"/>
    <n v="4158"/>
    <n v="2126"/>
    <m/>
    <m/>
    <n v="4340"/>
    <n v="0"/>
    <n v="0"/>
    <m/>
    <m/>
    <n v="1222"/>
    <n v="1326"/>
    <n v="602"/>
    <n v="658"/>
    <n v="272"/>
    <n v="209"/>
    <n v="348"/>
    <m/>
    <m/>
    <n v="459"/>
    <m/>
    <m/>
    <m/>
    <m/>
  </r>
  <r>
    <x v="11"/>
    <s v="University of South Carolina-Beaufort"/>
    <m/>
    <n v="218654"/>
    <x v="5"/>
    <n v="53991"/>
    <n v="52909"/>
    <n v="48167"/>
    <n v="47308"/>
    <n v="5824"/>
    <n v="5601"/>
    <m/>
    <m/>
    <m/>
    <n v="0"/>
    <n v="0"/>
    <n v="0"/>
    <m/>
    <m/>
    <n v="0"/>
    <n v="0"/>
    <m/>
    <m/>
    <m/>
    <m/>
    <m/>
    <m/>
    <m/>
    <m/>
    <m/>
    <m/>
    <m/>
    <m/>
  </r>
  <r>
    <x v="11"/>
    <s v="University of South Carolina-Upstate"/>
    <m/>
    <n v="218742"/>
    <x v="5"/>
    <n v="161721"/>
    <n v="157748"/>
    <n v="134150"/>
    <n v="130380"/>
    <n v="11924"/>
    <n v="10252"/>
    <n v="15524"/>
    <n v="33"/>
    <n v="90"/>
    <n v="17053"/>
    <n v="0"/>
    <n v="63"/>
    <m/>
    <m/>
    <n v="1357"/>
    <n v="1648"/>
    <n v="448"/>
    <n v="682"/>
    <n v="327"/>
    <n v="81"/>
    <n v="576"/>
    <m/>
    <n v="6"/>
    <n v="885"/>
    <m/>
    <m/>
    <m/>
    <m/>
  </r>
  <r>
    <x v="11"/>
    <s v="Greenville Technical College "/>
    <m/>
    <n v="218113"/>
    <x v="6"/>
    <n v="374512.12"/>
    <n v="360568.12"/>
    <n v="282519.12"/>
    <n v="272793.12"/>
    <n v="16745"/>
    <n v="16512"/>
    <n v="75248"/>
    <m/>
    <m/>
    <n v="71263"/>
    <n v="0"/>
    <m/>
    <m/>
    <m/>
    <n v="0"/>
    <n v="0"/>
    <m/>
    <m/>
    <m/>
    <m/>
    <m/>
    <m/>
    <m/>
    <m/>
    <m/>
    <m/>
    <m/>
    <m/>
  </r>
  <r>
    <x v="11"/>
    <s v="Horry-Georgetown Technical College "/>
    <m/>
    <n v="218140"/>
    <x v="6"/>
    <n v="185537.02000000002"/>
    <n v="185736.02000000002"/>
    <n v="152615.02000000002"/>
    <n v="148481.02000000002"/>
    <n v="7547"/>
    <n v="6588"/>
    <n v="25375"/>
    <m/>
    <m/>
    <n v="30667"/>
    <n v="0"/>
    <m/>
    <m/>
    <m/>
    <n v="0"/>
    <n v="0"/>
    <m/>
    <m/>
    <m/>
    <m/>
    <m/>
    <m/>
    <m/>
    <m/>
    <m/>
    <m/>
    <m/>
    <m/>
  </r>
  <r>
    <x v="11"/>
    <s v="Midlands Technical College "/>
    <m/>
    <n v="218353"/>
    <x v="6"/>
    <n v="271208.90000000002"/>
    <n v="316422.89999999997"/>
    <n v="219434.90000000002"/>
    <n v="251413.89999999997"/>
    <n v="13433"/>
    <n v="16017"/>
    <n v="38341"/>
    <m/>
    <m/>
    <n v="48992"/>
    <n v="0"/>
    <m/>
    <m/>
    <m/>
    <n v="0"/>
    <n v="0"/>
    <m/>
    <m/>
    <m/>
    <m/>
    <m/>
    <m/>
    <m/>
    <m/>
    <m/>
    <m/>
    <m/>
    <m/>
  </r>
  <r>
    <x v="11"/>
    <s v="Tri-County Technical College "/>
    <m/>
    <n v="218885"/>
    <x v="6"/>
    <n v="185910.28"/>
    <n v="175414.28"/>
    <n v="146653.28"/>
    <n v="140257.28"/>
    <n v="3549"/>
    <n v="3298"/>
    <n v="35708"/>
    <m/>
    <m/>
    <n v="31859"/>
    <n v="0"/>
    <m/>
    <m/>
    <m/>
    <n v="0"/>
    <n v="0"/>
    <m/>
    <m/>
    <m/>
    <m/>
    <m/>
    <m/>
    <m/>
    <m/>
    <m/>
    <m/>
    <m/>
    <m/>
  </r>
  <r>
    <x v="11"/>
    <s v="Trident Technical College "/>
    <m/>
    <n v="218894"/>
    <x v="6"/>
    <n v="408457.47"/>
    <n v="422526.47"/>
    <n v="306852.46999999997"/>
    <n v="307021.46999999997"/>
    <n v="12324"/>
    <n v="13900"/>
    <n v="89281"/>
    <m/>
    <m/>
    <n v="101605"/>
    <n v="0"/>
    <m/>
    <m/>
    <m/>
    <n v="0"/>
    <n v="0"/>
    <m/>
    <m/>
    <m/>
    <m/>
    <m/>
    <m/>
    <m/>
    <m/>
    <m/>
    <m/>
    <m/>
    <m/>
  </r>
  <r>
    <x v="11"/>
    <s v="Aiken Technical College "/>
    <m/>
    <n v="217615"/>
    <x v="7"/>
    <n v="83052.09"/>
    <n v="80006.09"/>
    <n v="67322.09"/>
    <n v="64857.09"/>
    <n v="4535"/>
    <n v="4038"/>
    <n v="11195"/>
    <m/>
    <m/>
    <n v="11111"/>
    <n v="0"/>
    <m/>
    <m/>
    <m/>
    <n v="0"/>
    <n v="0"/>
    <m/>
    <m/>
    <m/>
    <m/>
    <m/>
    <m/>
    <m/>
    <m/>
    <m/>
    <m/>
    <m/>
    <m/>
  </r>
  <r>
    <x v="11"/>
    <s v="Central Carolina Technical College "/>
    <m/>
    <n v="218858"/>
    <x v="7"/>
    <n v="106029.22"/>
    <n v="106942.22"/>
    <n v="80725.22"/>
    <n v="77755.22"/>
    <n v="9420"/>
    <n v="10094"/>
    <n v="15884"/>
    <m/>
    <m/>
    <n v="19093"/>
    <n v="0"/>
    <m/>
    <m/>
    <m/>
    <n v="0"/>
    <n v="0"/>
    <m/>
    <m/>
    <m/>
    <m/>
    <m/>
    <m/>
    <m/>
    <m/>
    <m/>
    <m/>
    <m/>
    <m/>
  </r>
  <r>
    <x v="11"/>
    <s v="Florence-Darlington Technical College "/>
    <s v="Reclassified: Met the criteria for Two-year 1 in 2010-11, 2011-12, and 2012-13."/>
    <n v="218025"/>
    <x v="6"/>
    <n v="165741.02000000002"/>
    <n v="161634.02000000002"/>
    <n v="118345.02000000002"/>
    <n v="112039.02000000002"/>
    <n v="10551"/>
    <n v="10506"/>
    <n v="30519"/>
    <n v="6326"/>
    <m/>
    <n v="33562"/>
    <n v="5527"/>
    <m/>
    <m/>
    <m/>
    <n v="0"/>
    <n v="0"/>
    <m/>
    <m/>
    <m/>
    <m/>
    <m/>
    <m/>
    <m/>
    <m/>
    <m/>
    <m/>
    <m/>
    <m/>
  </r>
  <r>
    <x v="11"/>
    <s v="Orangeburg-Calhoun Technical College "/>
    <m/>
    <n v="218487"/>
    <x v="7"/>
    <n v="79795.86"/>
    <n v="74626.86"/>
    <n v="64238.86"/>
    <n v="58061.86"/>
    <n v="8403"/>
    <n v="8304"/>
    <n v="7154"/>
    <m/>
    <m/>
    <n v="8261"/>
    <n v="0"/>
    <m/>
    <m/>
    <m/>
    <n v="0"/>
    <n v="0"/>
    <m/>
    <m/>
    <m/>
    <m/>
    <m/>
    <m/>
    <m/>
    <m/>
    <m/>
    <m/>
    <m/>
    <m/>
  </r>
  <r>
    <x v="11"/>
    <s v="Piedmont Technical College "/>
    <s v="Reclassified: Met the criteria for Two-year 1 in 2010-11, 2011-12, and 2012-13."/>
    <n v="218520"/>
    <x v="6"/>
    <n v="168991.87"/>
    <n v="171967.87"/>
    <n v="99839.87"/>
    <n v="103926.87"/>
    <n v="17335"/>
    <n v="17391"/>
    <n v="39953"/>
    <n v="11864"/>
    <m/>
    <n v="41203"/>
    <n v="9447"/>
    <m/>
    <m/>
    <m/>
    <n v="0"/>
    <n v="0"/>
    <m/>
    <m/>
    <m/>
    <m/>
    <m/>
    <m/>
    <m/>
    <m/>
    <m/>
    <m/>
    <m/>
    <m/>
  </r>
  <r>
    <x v="11"/>
    <s v="Spartanburg Community College "/>
    <m/>
    <n v="218830"/>
    <x v="7"/>
    <n v="152161.12"/>
    <n v="149257.12"/>
    <n v="122516.12"/>
    <n v="115356.12"/>
    <n v="6791"/>
    <n v="9119"/>
    <n v="22854"/>
    <m/>
    <m/>
    <n v="24782"/>
    <n v="0"/>
    <m/>
    <m/>
    <m/>
    <n v="0"/>
    <n v="0"/>
    <m/>
    <m/>
    <m/>
    <m/>
    <m/>
    <m/>
    <m/>
    <m/>
    <m/>
    <m/>
    <m/>
    <m/>
  </r>
  <r>
    <x v="11"/>
    <s v="York Technical College "/>
    <m/>
    <n v="218991"/>
    <x v="7"/>
    <n v="151048.74"/>
    <n v="131772.74"/>
    <n v="107025.73999999999"/>
    <n v="99221.739999999991"/>
    <n v="8725"/>
    <n v="5484"/>
    <n v="28140"/>
    <n v="7152"/>
    <n v="6"/>
    <n v="22602"/>
    <n v="4465"/>
    <m/>
    <m/>
    <m/>
    <n v="0"/>
    <n v="0"/>
    <m/>
    <m/>
    <m/>
    <m/>
    <m/>
    <m/>
    <m/>
    <m/>
    <m/>
    <m/>
    <m/>
    <m/>
  </r>
  <r>
    <x v="11"/>
    <s v="Denmark Technical College "/>
    <s v="Met the criteria for Two-Year 2 in 2012-13."/>
    <n v="217989"/>
    <x v="8"/>
    <n v="38934.33"/>
    <n v="65405.33"/>
    <n v="34670.33"/>
    <n v="64700.33"/>
    <n v="711"/>
    <n v="621"/>
    <n v="3553"/>
    <m/>
    <m/>
    <n v="84"/>
    <n v="0"/>
    <m/>
    <m/>
    <m/>
    <n v="0"/>
    <n v="0"/>
    <m/>
    <m/>
    <m/>
    <m/>
    <m/>
    <m/>
    <m/>
    <m/>
    <m/>
    <m/>
    <m/>
    <m/>
  </r>
  <r>
    <x v="11"/>
    <s v="Northeastern Technical College "/>
    <m/>
    <n v="217837"/>
    <x v="8"/>
    <n v="34578.79"/>
    <n v="31508.79"/>
    <n v="24247.79"/>
    <n v="20847.79"/>
    <n v="385"/>
    <n v="234"/>
    <n v="4923"/>
    <n v="5023"/>
    <m/>
    <n v="6322"/>
    <n v="4105"/>
    <m/>
    <m/>
    <m/>
    <n v="0"/>
    <n v="0"/>
    <m/>
    <m/>
    <m/>
    <m/>
    <m/>
    <m/>
    <m/>
    <m/>
    <m/>
    <m/>
    <m/>
    <m/>
  </r>
  <r>
    <x v="11"/>
    <s v="Technical College of the Lowcountry"/>
    <m/>
    <n v="217712"/>
    <x v="8"/>
    <n v="65141.969999999994"/>
    <n v="58877.969999999994"/>
    <n v="51761.969999999994"/>
    <n v="45833.969999999994"/>
    <n v="1632"/>
    <n v="1728"/>
    <n v="11748"/>
    <m/>
    <m/>
    <n v="11316"/>
    <m/>
    <m/>
    <m/>
    <m/>
    <n v="0"/>
    <n v="0"/>
    <m/>
    <m/>
    <m/>
    <m/>
    <m/>
    <m/>
    <m/>
    <m/>
    <m/>
    <m/>
    <m/>
    <m/>
  </r>
  <r>
    <x v="11"/>
    <s v="University of South Carolina-Lancaster"/>
    <m/>
    <n v="218672"/>
    <x v="8"/>
    <n v="37044"/>
    <n v="38169"/>
    <n v="36185"/>
    <n v="36547"/>
    <n v="505"/>
    <n v="461"/>
    <n v="354"/>
    <m/>
    <m/>
    <n v="1161"/>
    <m/>
    <m/>
    <m/>
    <m/>
    <n v="0"/>
    <n v="0"/>
    <m/>
    <m/>
    <m/>
    <m/>
    <m/>
    <m/>
    <m/>
    <m/>
    <m/>
    <m/>
    <m/>
    <m/>
  </r>
  <r>
    <x v="11"/>
    <s v="University of South Carolina-Salkehatchie"/>
    <m/>
    <n v="218681"/>
    <x v="8"/>
    <n v="24064"/>
    <n v="23859"/>
    <n v="24064"/>
    <n v="23859"/>
    <n v="0"/>
    <m/>
    <m/>
    <m/>
    <m/>
    <n v="0"/>
    <m/>
    <m/>
    <m/>
    <m/>
    <n v="0"/>
    <n v="0"/>
    <m/>
    <m/>
    <m/>
    <m/>
    <m/>
    <m/>
    <m/>
    <m/>
    <m/>
    <m/>
    <m/>
    <m/>
  </r>
  <r>
    <x v="11"/>
    <s v="University of South Carolina-Sumter"/>
    <m/>
    <n v="218690"/>
    <x v="8"/>
    <n v="28405"/>
    <n v="24119"/>
    <n v="24391"/>
    <n v="21026"/>
    <n v="3777"/>
    <n v="2742"/>
    <n v="237"/>
    <m/>
    <m/>
    <n v="351"/>
    <m/>
    <m/>
    <m/>
    <m/>
    <n v="0"/>
    <n v="0"/>
    <m/>
    <m/>
    <m/>
    <m/>
    <m/>
    <m/>
    <m/>
    <m/>
    <m/>
    <m/>
    <m/>
    <m/>
  </r>
  <r>
    <x v="11"/>
    <s v="University of South Carolina-Union"/>
    <m/>
    <n v="218706"/>
    <x v="8"/>
    <n v="14034"/>
    <n v="13401"/>
    <n v="11533"/>
    <n v="11160"/>
    <n v="2501"/>
    <n v="2241"/>
    <m/>
    <m/>
    <m/>
    <n v="0"/>
    <m/>
    <m/>
    <m/>
    <m/>
    <n v="0"/>
    <n v="0"/>
    <m/>
    <m/>
    <m/>
    <m/>
    <m/>
    <m/>
    <m/>
    <m/>
    <m/>
    <m/>
    <m/>
    <m/>
  </r>
  <r>
    <x v="11"/>
    <s v="Willamsburg Technical College "/>
    <m/>
    <n v="218955"/>
    <x v="8"/>
    <n v="16747.490000000002"/>
    <n v="14907.490000000002"/>
    <n v="16267.490000000002"/>
    <n v="13991.490000000002"/>
    <n v="348"/>
    <n v="893"/>
    <n v="132"/>
    <m/>
    <m/>
    <n v="23"/>
    <m/>
    <m/>
    <m/>
    <m/>
    <n v="0"/>
    <n v="0"/>
    <m/>
    <m/>
    <m/>
    <m/>
    <m/>
    <m/>
    <m/>
    <m/>
    <m/>
    <m/>
    <m/>
    <m/>
  </r>
  <r>
    <x v="11"/>
    <s v="Medical University of South Carolina"/>
    <m/>
    <n v="218335"/>
    <x v="11"/>
    <n v="0"/>
    <n v="0"/>
    <m/>
    <m/>
    <m/>
    <m/>
    <m/>
    <m/>
    <m/>
    <m/>
    <m/>
    <m/>
    <m/>
    <m/>
    <m/>
    <m/>
    <m/>
    <m/>
    <m/>
    <m/>
    <m/>
    <m/>
    <m/>
    <m/>
    <m/>
    <m/>
    <m/>
    <m/>
  </r>
  <r>
    <x v="12"/>
    <s v="University of Memphis"/>
    <m/>
    <n v="220862"/>
    <x v="0"/>
    <n v="436950"/>
    <n v="438097"/>
    <n v="342254"/>
    <n v="334733"/>
    <n v="18793"/>
    <n v="21559"/>
    <n v="53887"/>
    <n v="150"/>
    <n v="18709"/>
    <n v="59381"/>
    <m/>
    <n v="19113"/>
    <n v="3157"/>
    <n v="3311"/>
    <n v="75706"/>
    <n v="114980"/>
    <n v="46191"/>
    <n v="44740"/>
    <n v="842"/>
    <n v="828"/>
    <n v="18120"/>
    <n v="132"/>
    <n v="4094"/>
    <n v="17973"/>
    <n v="195"/>
    <n v="44740"/>
    <n v="6327"/>
    <n v="6504"/>
  </r>
  <r>
    <x v="12"/>
    <s v="University of Tennessee, Knoxville"/>
    <m/>
    <n v="221759"/>
    <x v="0"/>
    <n v="661664"/>
    <n v="579517"/>
    <n v="572222"/>
    <n v="568029"/>
    <n v="24"/>
    <n v="6"/>
    <n v="1920"/>
    <n v="0"/>
    <n v="83546"/>
    <n v="6735"/>
    <m/>
    <n v="1256"/>
    <n v="3952"/>
    <n v="3491"/>
    <n v="92816.900000000009"/>
    <n v="170066"/>
    <n v="78665.600000000006"/>
    <n v="76364.5"/>
    <n v="353"/>
    <n v="2867"/>
    <n v="9244"/>
    <n v="0"/>
    <n v="1893.3"/>
    <n v="11777"/>
    <n v="60"/>
    <n v="76364.5"/>
    <n v="2661"/>
    <n v="2633"/>
  </r>
  <r>
    <x v="12"/>
    <s v="Tennessee State University "/>
    <m/>
    <n v="221838"/>
    <x v="1"/>
    <n v="183269"/>
    <n v="178356"/>
    <n v="143834"/>
    <n v="139643"/>
    <n v="24389"/>
    <n v="22571"/>
    <n v="13721"/>
    <n v="0"/>
    <n v="926"/>
    <n v="14815"/>
    <m/>
    <n v="928"/>
    <n v="399"/>
    <n v="399"/>
    <n v="30967"/>
    <n v="43428"/>
    <n v="15785"/>
    <n v="14349"/>
    <n v="9246"/>
    <n v="7342"/>
    <n v="4974"/>
    <n v="0"/>
    <n v="279"/>
    <n v="6366"/>
    <m/>
    <n v="14349"/>
    <n v="683"/>
    <n v="1022"/>
  </r>
  <r>
    <x v="12"/>
    <s v="Austin Peay State University "/>
    <m/>
    <n v="219602"/>
    <x v="2"/>
    <n v="240204"/>
    <n v="246089"/>
    <n v="161169"/>
    <n v="157266"/>
    <n v="14314"/>
    <n v="15175"/>
    <n v="61326"/>
    <n v="0"/>
    <n v="2877"/>
    <n v="68341"/>
    <m/>
    <n v="4461"/>
    <n v="518"/>
    <n v="846"/>
    <n v="14309"/>
    <n v="18603"/>
    <n v="5362"/>
    <n v="4412"/>
    <n v="330"/>
    <n v="219"/>
    <n v="8046"/>
    <n v="0"/>
    <n v="359"/>
    <n v="9339"/>
    <m/>
    <n v="4412"/>
    <n v="212"/>
    <n v="221"/>
  </r>
  <r>
    <x v="12"/>
    <s v="East Tennessee State University "/>
    <m/>
    <n v="220075"/>
    <x v="2"/>
    <n v="323990"/>
    <n v="319703"/>
    <n v="239606"/>
    <n v="227427"/>
    <n v="8300"/>
    <n v="7650"/>
    <n v="45642"/>
    <n v="8559"/>
    <n v="19323"/>
    <n v="56141"/>
    <n v="7377"/>
    <n v="19104"/>
    <n v="2560"/>
    <n v="2004"/>
    <n v="35731"/>
    <n v="55440"/>
    <n v="19506"/>
    <n v="19355"/>
    <n v="958"/>
    <n v="666"/>
    <n v="11005"/>
    <n v="354"/>
    <n v="1846"/>
    <n v="13245"/>
    <n v="510"/>
    <n v="19355"/>
    <n v="2062"/>
    <n v="2309"/>
  </r>
  <r>
    <x v="12"/>
    <s v="Middle Tennessee State University "/>
    <m/>
    <n v="220978"/>
    <x v="2"/>
    <n v="615412"/>
    <n v="593427"/>
    <n v="529290"/>
    <n v="504449"/>
    <n v="200"/>
    <n v="831"/>
    <n v="58547"/>
    <n v="237"/>
    <n v="22585"/>
    <n v="60957"/>
    <n v="546"/>
    <n v="21999"/>
    <n v="4553"/>
    <n v="4645"/>
    <n v="45612"/>
    <n v="73838"/>
    <n v="27998"/>
    <n v="29085"/>
    <n v="4436"/>
    <n v="2757"/>
    <n v="9689"/>
    <n v="261"/>
    <n v="1192"/>
    <n v="10870"/>
    <n v="75"/>
    <n v="29085"/>
    <n v="2036"/>
    <n v="1966"/>
  </r>
  <r>
    <x v="12"/>
    <s v="Tennessee Technological University "/>
    <m/>
    <n v="221847"/>
    <x v="2"/>
    <n v="214326"/>
    <n v="257176"/>
    <n v="177351"/>
    <n v="157890"/>
    <n v="7171"/>
    <n v="6610"/>
    <n v="18429"/>
    <n v="0"/>
    <n v="7424"/>
    <n v="18835"/>
    <m/>
    <n v="68906"/>
    <n v="3951"/>
    <n v="4935"/>
    <n v="18144"/>
    <n v="18208"/>
    <n v="6516"/>
    <n v="4855"/>
    <n v="1463"/>
    <n v="343"/>
    <n v="6488"/>
    <n v="0"/>
    <n v="2048"/>
    <n v="6679"/>
    <m/>
    <n v="4855"/>
    <n v="1629"/>
    <n v="1476"/>
  </r>
  <r>
    <x v="12"/>
    <s v="University of Tennessee at Chattanooga"/>
    <m/>
    <n v="221740"/>
    <x v="2"/>
    <n v="251180.3"/>
    <n v="267469"/>
    <n v="234245"/>
    <n v="250147"/>
    <n v="4434"/>
    <n v="817"/>
    <n v="10464"/>
    <n v="0"/>
    <n v="920"/>
    <n v="13788"/>
    <m/>
    <n v="1671"/>
    <n v="1117.3"/>
    <n v="1046"/>
    <n v="26225"/>
    <n v="44520"/>
    <n v="20337"/>
    <n v="19497"/>
    <n v="49"/>
    <n v="0"/>
    <n v="3687"/>
    <n v="1158"/>
    <n v="393"/>
    <n v="3896"/>
    <n v="1101"/>
    <n v="19497"/>
    <n v="601"/>
    <n v="529"/>
  </r>
  <r>
    <x v="12"/>
    <s v="University of Tennessee at Martin"/>
    <m/>
    <n v="221768"/>
    <x v="4"/>
    <n v="204980"/>
    <n v="199005"/>
    <n v="168049"/>
    <n v="167355"/>
    <n v="20985"/>
    <n v="17391"/>
    <n v="13869"/>
    <n v="1758"/>
    <n v="93"/>
    <n v="12415"/>
    <n v="1522"/>
    <n v="27"/>
    <n v="226"/>
    <n v="295"/>
    <n v="7227"/>
    <n v="8496"/>
    <n v="2164"/>
    <n v="1814"/>
    <n v="15"/>
    <n v="6"/>
    <n v="5015"/>
    <n v="33"/>
    <m/>
    <n v="4859"/>
    <m/>
    <n v="1814"/>
    <m/>
    <n v="3"/>
  </r>
  <r>
    <x v="12"/>
    <s v="Chattanooga State Technical Community College "/>
    <m/>
    <n v="219824"/>
    <x v="6"/>
    <n v="212732"/>
    <n v="207145"/>
    <n v="117490"/>
    <n v="118451"/>
    <n v="17000"/>
    <n v="14871"/>
    <n v="42832"/>
    <m/>
    <n v="34763"/>
    <n v="44759"/>
    <m/>
    <n v="28511"/>
    <n v="647"/>
    <n v="553"/>
    <n v="0"/>
    <n v="0"/>
    <m/>
    <m/>
    <m/>
    <m/>
    <m/>
    <m/>
    <m/>
    <m/>
    <m/>
    <m/>
    <m/>
    <m/>
  </r>
  <r>
    <x v="12"/>
    <s v="Nashville State Technical Community College"/>
    <m/>
    <n v="221184"/>
    <x v="6"/>
    <n v="195813.5"/>
    <n v="190771.5"/>
    <n v="110553.5"/>
    <n v="108033.5"/>
    <n v="39276"/>
    <n v="33324"/>
    <n v="40886"/>
    <n v="0"/>
    <n v="4958"/>
    <n v="43910"/>
    <m/>
    <n v="5385"/>
    <n v="140"/>
    <n v="119"/>
    <n v="0"/>
    <n v="0"/>
    <m/>
    <m/>
    <m/>
    <m/>
    <m/>
    <m/>
    <m/>
    <m/>
    <m/>
    <m/>
    <m/>
    <m/>
  </r>
  <r>
    <x v="12"/>
    <s v="Pellissippi State Technical Community College"/>
    <m/>
    <n v="221643"/>
    <x v="6"/>
    <n v="235683"/>
    <n v="224003"/>
    <n v="148976"/>
    <n v="140532"/>
    <n v="52538"/>
    <n v="48234"/>
    <n v="28832"/>
    <n v="1323"/>
    <n v="3779"/>
    <n v="28193"/>
    <n v="1397"/>
    <n v="5405"/>
    <n v="235"/>
    <n v="242"/>
    <n v="0"/>
    <n v="0"/>
    <m/>
    <m/>
    <m/>
    <m/>
    <m/>
    <m/>
    <m/>
    <m/>
    <m/>
    <m/>
    <m/>
    <m/>
  </r>
  <r>
    <x v="12"/>
    <s v="Southwest Tennessee Community College"/>
    <m/>
    <n v="221485"/>
    <x v="6"/>
    <n v="282378"/>
    <n v="256704"/>
    <n v="490"/>
    <n v="25837"/>
    <n v="242139"/>
    <n v="192290"/>
    <n v="30085"/>
    <n v="1734"/>
    <n v="7888"/>
    <n v="31866"/>
    <n v="522"/>
    <n v="6135"/>
    <n v="42"/>
    <n v="54"/>
    <n v="0"/>
    <n v="0"/>
    <m/>
    <m/>
    <m/>
    <m/>
    <m/>
    <m/>
    <m/>
    <m/>
    <m/>
    <m/>
    <m/>
    <m/>
  </r>
  <r>
    <x v="12"/>
    <s v="Volunteer State Community College "/>
    <m/>
    <n v="222053"/>
    <x v="6"/>
    <n v="172295"/>
    <n v="160612"/>
    <n v="99124"/>
    <n v="93076"/>
    <n v="23836"/>
    <n v="19438"/>
    <n v="40994"/>
    <n v="288"/>
    <n v="7473"/>
    <n v="42708"/>
    <n v="294"/>
    <n v="4710"/>
    <n v="580"/>
    <n v="386"/>
    <n v="0"/>
    <n v="0"/>
    <m/>
    <m/>
    <m/>
    <m/>
    <m/>
    <m/>
    <m/>
    <m/>
    <m/>
    <m/>
    <m/>
    <m/>
  </r>
  <r>
    <x v="12"/>
    <s v="Cleveland State Community College "/>
    <m/>
    <n v="219879"/>
    <x v="7"/>
    <n v="79753"/>
    <n v="76262"/>
    <n v="45868"/>
    <n v="37164"/>
    <n v="10230"/>
    <n v="7469"/>
    <n v="10832"/>
    <n v="309"/>
    <n v="10992"/>
    <n v="10505"/>
    <n v="105"/>
    <n v="19698"/>
    <n v="1522"/>
    <n v="1321"/>
    <n v="0"/>
    <n v="0"/>
    <m/>
    <m/>
    <m/>
    <m/>
    <m/>
    <m/>
    <m/>
    <m/>
    <m/>
    <m/>
    <m/>
    <m/>
  </r>
  <r>
    <x v="12"/>
    <s v="Columbia State Community College "/>
    <m/>
    <n v="219888"/>
    <x v="7"/>
    <n v="110306"/>
    <n v="104855"/>
    <n v="45404"/>
    <n v="39110"/>
    <n v="36640"/>
    <n v="34314"/>
    <n v="16570"/>
    <n v="5886"/>
    <n v="5733"/>
    <n v="18687"/>
    <n v="5412"/>
    <n v="7281"/>
    <n v="73"/>
    <n v="51"/>
    <n v="0"/>
    <n v="0"/>
    <m/>
    <m/>
    <m/>
    <m/>
    <m/>
    <m/>
    <m/>
    <m/>
    <m/>
    <m/>
    <m/>
    <m/>
  </r>
  <r>
    <x v="12"/>
    <s v="Dyersburg State Community College "/>
    <m/>
    <n v="220057"/>
    <x v="7"/>
    <n v="71139"/>
    <n v="68740"/>
    <n v="26289"/>
    <n v="25763"/>
    <n v="28464"/>
    <n v="26327"/>
    <n v="9731"/>
    <n v="2514"/>
    <n v="3796"/>
    <n v="12422"/>
    <n v="3109"/>
    <n v="684"/>
    <n v="345"/>
    <n v="435"/>
    <n v="0"/>
    <n v="0"/>
    <m/>
    <m/>
    <m/>
    <m/>
    <m/>
    <m/>
    <m/>
    <m/>
    <m/>
    <m/>
    <m/>
    <m/>
  </r>
  <r>
    <x v="12"/>
    <s v="Jackson State Community College "/>
    <m/>
    <n v="220400"/>
    <x v="7"/>
    <n v="104120"/>
    <n v="91702"/>
    <n v="50431"/>
    <n v="50766"/>
    <n v="10511"/>
    <n v="7776"/>
    <n v="26776"/>
    <n v="4026"/>
    <n v="12219"/>
    <n v="21348"/>
    <n v="3245"/>
    <n v="8404"/>
    <n v="157"/>
    <n v="163"/>
    <n v="0"/>
    <n v="0"/>
    <m/>
    <m/>
    <m/>
    <m/>
    <m/>
    <m/>
    <m/>
    <m/>
    <m/>
    <m/>
    <m/>
    <m/>
  </r>
  <r>
    <x v="12"/>
    <s v="Motlow State Community College "/>
    <m/>
    <n v="221096"/>
    <x v="7"/>
    <n v="99616"/>
    <n v="94294"/>
    <n v="29535"/>
    <n v="26623"/>
    <n v="49512"/>
    <n v="45196"/>
    <n v="14891"/>
    <n v="5380"/>
    <n v="48"/>
    <n v="15885"/>
    <n v="5223"/>
    <n v="1096"/>
    <n v="250"/>
    <n v="271"/>
    <n v="0"/>
    <n v="0"/>
    <m/>
    <m/>
    <m/>
    <m/>
    <m/>
    <m/>
    <m/>
    <m/>
    <m/>
    <m/>
    <m/>
    <m/>
  </r>
  <r>
    <x v="12"/>
    <s v="Northeast State Technical Community College"/>
    <m/>
    <n v="221908"/>
    <x v="7"/>
    <n v="142268"/>
    <n v="136010"/>
    <n v="88386"/>
    <n v="81194"/>
    <n v="31025"/>
    <n v="31701"/>
    <n v="8778"/>
    <n v="3610"/>
    <n v="10433"/>
    <n v="14123"/>
    <n v="3590"/>
    <n v="5349"/>
    <n v="36"/>
    <n v="53"/>
    <n v="0"/>
    <n v="0"/>
    <m/>
    <m/>
    <m/>
    <m/>
    <m/>
    <m/>
    <m/>
    <m/>
    <m/>
    <m/>
    <m/>
    <m/>
  </r>
  <r>
    <x v="12"/>
    <s v="Roane State Community College "/>
    <m/>
    <n v="221397"/>
    <x v="7"/>
    <n v="134423"/>
    <n v="129218"/>
    <n v="22110"/>
    <n v="24645"/>
    <n v="71576"/>
    <n v="61131"/>
    <n v="27435"/>
    <n v="7929"/>
    <n v="5285"/>
    <n v="28372"/>
    <n v="6240"/>
    <n v="8778"/>
    <n v="88"/>
    <n v="52"/>
    <n v="0"/>
    <n v="0"/>
    <m/>
    <m/>
    <m/>
    <m/>
    <m/>
    <m/>
    <m/>
    <m/>
    <m/>
    <m/>
    <m/>
    <m/>
  </r>
  <r>
    <x v="12"/>
    <s v="Walters State Community College "/>
    <m/>
    <n v="222062"/>
    <x v="7"/>
    <n v="144311"/>
    <n v="133718"/>
    <n v="65267"/>
    <n v="57985"/>
    <n v="51290"/>
    <n v="45017"/>
    <n v="15353"/>
    <n v="3314"/>
    <n v="9072"/>
    <n v="16213"/>
    <n v="5842"/>
    <n v="8657"/>
    <n v="15"/>
    <n v="4"/>
    <n v="0"/>
    <n v="0"/>
    <m/>
    <m/>
    <m/>
    <m/>
    <m/>
    <m/>
    <m/>
    <m/>
    <m/>
    <m/>
    <m/>
    <m/>
  </r>
  <r>
    <x v="12"/>
    <s v="Tennessee Technology Center at Chattanooga"/>
    <s v="Reclassified: Met the criteria for Technical Institute or College 1 in 2010-11, 2011-12, and 2012-13."/>
    <s v="219824B"/>
    <x v="9"/>
    <n v="0"/>
    <n v="0"/>
    <m/>
    <m/>
    <m/>
    <m/>
    <m/>
    <m/>
    <m/>
    <m/>
    <m/>
    <m/>
    <m/>
    <m/>
    <n v="0"/>
    <n v="0"/>
    <m/>
    <m/>
    <m/>
    <m/>
    <m/>
    <m/>
    <m/>
    <m/>
    <m/>
    <m/>
    <m/>
    <m/>
  </r>
  <r>
    <x v="12"/>
    <s v="Tennessee Technology Center at Athens"/>
    <m/>
    <n v="219596"/>
    <x v="10"/>
    <n v="0"/>
    <n v="0"/>
    <m/>
    <m/>
    <m/>
    <m/>
    <m/>
    <m/>
    <m/>
    <m/>
    <m/>
    <m/>
    <m/>
    <m/>
    <n v="0"/>
    <n v="0"/>
    <m/>
    <m/>
    <m/>
    <m/>
    <m/>
    <m/>
    <m/>
    <m/>
    <m/>
    <m/>
    <m/>
    <m/>
  </r>
  <r>
    <x v="12"/>
    <s v="Tennessee Technology Center at Covington"/>
    <m/>
    <n v="219921"/>
    <x v="10"/>
    <n v="0"/>
    <n v="0"/>
    <m/>
    <m/>
    <m/>
    <m/>
    <m/>
    <m/>
    <m/>
    <m/>
    <m/>
    <m/>
    <m/>
    <m/>
    <n v="0"/>
    <n v="0"/>
    <m/>
    <m/>
    <m/>
    <m/>
    <m/>
    <m/>
    <m/>
    <m/>
    <m/>
    <m/>
    <m/>
    <m/>
  </r>
  <r>
    <x v="12"/>
    <s v="Tennessee Technology Center at Crossville"/>
    <m/>
    <n v="221591"/>
    <x v="10"/>
    <n v="0"/>
    <n v="0"/>
    <m/>
    <m/>
    <m/>
    <m/>
    <m/>
    <m/>
    <m/>
    <m/>
    <m/>
    <m/>
    <m/>
    <m/>
    <n v="0"/>
    <n v="0"/>
    <m/>
    <m/>
    <m/>
    <m/>
    <m/>
    <m/>
    <m/>
    <m/>
    <m/>
    <m/>
    <m/>
    <m/>
  </r>
  <r>
    <x v="12"/>
    <s v="Tennessee Technology Center at Crump"/>
    <m/>
    <n v="221430"/>
    <x v="10"/>
    <n v="0"/>
    <n v="0"/>
    <m/>
    <m/>
    <m/>
    <m/>
    <m/>
    <m/>
    <m/>
    <m/>
    <m/>
    <m/>
    <m/>
    <m/>
    <n v="0"/>
    <n v="0"/>
    <m/>
    <m/>
    <m/>
    <m/>
    <m/>
    <m/>
    <m/>
    <m/>
    <m/>
    <m/>
    <m/>
    <m/>
  </r>
  <r>
    <x v="12"/>
    <s v="Tennessee Technology Center at Dickson"/>
    <m/>
    <n v="219994"/>
    <x v="10"/>
    <n v="0"/>
    <n v="0"/>
    <m/>
    <m/>
    <m/>
    <m/>
    <m/>
    <m/>
    <m/>
    <m/>
    <m/>
    <m/>
    <m/>
    <m/>
    <n v="0"/>
    <n v="0"/>
    <m/>
    <m/>
    <m/>
    <m/>
    <m/>
    <m/>
    <m/>
    <m/>
    <m/>
    <m/>
    <m/>
    <m/>
  </r>
  <r>
    <x v="12"/>
    <s v="Tennessee Technology Center at Elizabethton"/>
    <m/>
    <n v="220127"/>
    <x v="10"/>
    <n v="0"/>
    <n v="0"/>
    <m/>
    <m/>
    <m/>
    <m/>
    <m/>
    <m/>
    <m/>
    <m/>
    <m/>
    <m/>
    <m/>
    <m/>
    <n v="0"/>
    <n v="0"/>
    <m/>
    <m/>
    <m/>
    <m/>
    <m/>
    <m/>
    <m/>
    <m/>
    <m/>
    <m/>
    <m/>
    <m/>
  </r>
  <r>
    <x v="12"/>
    <s v="Tennessee Technology Center at Harriman"/>
    <m/>
    <n v="220251"/>
    <x v="10"/>
    <n v="0"/>
    <n v="0"/>
    <m/>
    <m/>
    <m/>
    <m/>
    <m/>
    <m/>
    <m/>
    <m/>
    <m/>
    <m/>
    <m/>
    <m/>
    <n v="0"/>
    <n v="0"/>
    <m/>
    <m/>
    <m/>
    <m/>
    <m/>
    <m/>
    <m/>
    <m/>
    <m/>
    <m/>
    <m/>
    <m/>
  </r>
  <r>
    <x v="12"/>
    <s v="Tennessee Technology Center at Hartsville"/>
    <m/>
    <n v="220279"/>
    <x v="10"/>
    <n v="0"/>
    <n v="0"/>
    <m/>
    <m/>
    <m/>
    <m/>
    <m/>
    <m/>
    <m/>
    <m/>
    <m/>
    <m/>
    <m/>
    <m/>
    <n v="0"/>
    <n v="0"/>
    <m/>
    <m/>
    <m/>
    <m/>
    <m/>
    <m/>
    <m/>
    <m/>
    <m/>
    <m/>
    <m/>
    <m/>
  </r>
  <r>
    <x v="12"/>
    <s v="Tennessee Technology Center at Hohenwald"/>
    <m/>
    <n v="220321"/>
    <x v="10"/>
    <n v="0"/>
    <n v="0"/>
    <m/>
    <m/>
    <m/>
    <m/>
    <m/>
    <m/>
    <m/>
    <m/>
    <m/>
    <m/>
    <m/>
    <m/>
    <n v="0"/>
    <n v="0"/>
    <m/>
    <m/>
    <m/>
    <m/>
    <m/>
    <m/>
    <m/>
    <m/>
    <m/>
    <m/>
    <m/>
    <m/>
  </r>
  <r>
    <x v="12"/>
    <s v="Tennessee Technology Center at Jacksboro"/>
    <m/>
    <n v="220394"/>
    <x v="10"/>
    <n v="0"/>
    <n v="0"/>
    <m/>
    <m/>
    <m/>
    <m/>
    <m/>
    <m/>
    <m/>
    <m/>
    <m/>
    <m/>
    <m/>
    <m/>
    <n v="0"/>
    <n v="0"/>
    <m/>
    <m/>
    <m/>
    <m/>
    <m/>
    <m/>
    <m/>
    <m/>
    <m/>
    <m/>
    <m/>
    <m/>
  </r>
  <r>
    <x v="12"/>
    <s v="Tennessee Technology Center at Jackson"/>
    <m/>
    <n v="221616"/>
    <x v="10"/>
    <n v="0"/>
    <n v="0"/>
    <m/>
    <m/>
    <m/>
    <m/>
    <m/>
    <m/>
    <m/>
    <m/>
    <m/>
    <m/>
    <m/>
    <m/>
    <n v="0"/>
    <n v="0"/>
    <m/>
    <m/>
    <m/>
    <m/>
    <m/>
    <m/>
    <m/>
    <m/>
    <m/>
    <m/>
    <m/>
    <m/>
  </r>
  <r>
    <x v="12"/>
    <s v="Tennessee Technology Center at Knoxville"/>
    <m/>
    <n v="221625"/>
    <x v="10"/>
    <n v="0"/>
    <n v="0"/>
    <m/>
    <m/>
    <m/>
    <m/>
    <m/>
    <m/>
    <m/>
    <m/>
    <m/>
    <m/>
    <m/>
    <m/>
    <n v="0"/>
    <n v="0"/>
    <m/>
    <m/>
    <m/>
    <m/>
    <m/>
    <m/>
    <m/>
    <m/>
    <m/>
    <m/>
    <m/>
    <m/>
  </r>
  <r>
    <x v="12"/>
    <s v="Tennessee Technology Center at Livingston"/>
    <m/>
    <n v="220640"/>
    <x v="10"/>
    <n v="0"/>
    <n v="0"/>
    <m/>
    <m/>
    <m/>
    <m/>
    <m/>
    <m/>
    <m/>
    <m/>
    <m/>
    <m/>
    <m/>
    <m/>
    <n v="0"/>
    <n v="0"/>
    <m/>
    <m/>
    <m/>
    <m/>
    <m/>
    <m/>
    <m/>
    <m/>
    <m/>
    <m/>
    <m/>
    <m/>
  </r>
  <r>
    <x v="12"/>
    <s v="Tennessee Technology Center at McKenzie"/>
    <m/>
    <n v="220756"/>
    <x v="10"/>
    <n v="0"/>
    <n v="0"/>
    <m/>
    <m/>
    <m/>
    <m/>
    <m/>
    <m/>
    <m/>
    <m/>
    <m/>
    <m/>
    <m/>
    <m/>
    <n v="0"/>
    <n v="0"/>
    <m/>
    <m/>
    <m/>
    <m/>
    <m/>
    <m/>
    <m/>
    <m/>
    <m/>
    <m/>
    <m/>
    <m/>
  </r>
  <r>
    <x v="12"/>
    <s v="Tennessee Technology Center at McMinnville"/>
    <m/>
    <n v="221607"/>
    <x v="10"/>
    <n v="0"/>
    <n v="0"/>
    <m/>
    <m/>
    <m/>
    <m/>
    <m/>
    <m/>
    <m/>
    <m/>
    <m/>
    <m/>
    <m/>
    <m/>
    <n v="0"/>
    <n v="0"/>
    <m/>
    <m/>
    <m/>
    <m/>
    <m/>
    <m/>
    <m/>
    <m/>
    <m/>
    <m/>
    <m/>
    <m/>
  </r>
  <r>
    <x v="12"/>
    <s v="Tennessee Technology Center at Memphis"/>
    <m/>
    <n v="220853"/>
    <x v="10"/>
    <n v="0"/>
    <n v="0"/>
    <m/>
    <m/>
    <m/>
    <m/>
    <m/>
    <m/>
    <m/>
    <m/>
    <m/>
    <m/>
    <m/>
    <m/>
    <n v="0"/>
    <n v="0"/>
    <m/>
    <m/>
    <m/>
    <m/>
    <m/>
    <m/>
    <m/>
    <m/>
    <m/>
    <m/>
    <m/>
    <m/>
  </r>
  <r>
    <x v="12"/>
    <s v="Tennessee Technology Center at Morristown"/>
    <m/>
    <n v="221050"/>
    <x v="10"/>
    <n v="0"/>
    <n v="0"/>
    <m/>
    <m/>
    <m/>
    <m/>
    <m/>
    <m/>
    <m/>
    <m/>
    <m/>
    <m/>
    <m/>
    <m/>
    <n v="0"/>
    <n v="0"/>
    <m/>
    <m/>
    <m/>
    <m/>
    <m/>
    <m/>
    <m/>
    <m/>
    <m/>
    <m/>
    <m/>
    <m/>
  </r>
  <r>
    <x v="12"/>
    <s v="Tennessee Technology Center at Murfreesboro"/>
    <m/>
    <n v="221102"/>
    <x v="10"/>
    <n v="0"/>
    <n v="0"/>
    <m/>
    <m/>
    <m/>
    <m/>
    <m/>
    <m/>
    <m/>
    <m/>
    <m/>
    <m/>
    <m/>
    <m/>
    <n v="0"/>
    <n v="0"/>
    <m/>
    <m/>
    <m/>
    <m/>
    <m/>
    <m/>
    <m/>
    <m/>
    <m/>
    <m/>
    <m/>
    <m/>
  </r>
  <r>
    <x v="12"/>
    <s v="Tennessee Technology Center at Nashville"/>
    <m/>
    <n v="248925"/>
    <x v="10"/>
    <n v="0"/>
    <n v="0"/>
    <m/>
    <m/>
    <m/>
    <m/>
    <m/>
    <m/>
    <m/>
    <m/>
    <m/>
    <m/>
    <m/>
    <m/>
    <n v="0"/>
    <n v="0"/>
    <m/>
    <m/>
    <m/>
    <m/>
    <m/>
    <m/>
    <m/>
    <m/>
    <m/>
    <m/>
    <m/>
    <m/>
  </r>
  <r>
    <x v="12"/>
    <s v="Tennessee Technology Center at Newbern"/>
    <m/>
    <n v="221236"/>
    <x v="10"/>
    <n v="0"/>
    <n v="0"/>
    <m/>
    <m/>
    <m/>
    <m/>
    <m/>
    <m/>
    <m/>
    <m/>
    <m/>
    <m/>
    <m/>
    <m/>
    <n v="0"/>
    <n v="0"/>
    <m/>
    <m/>
    <m/>
    <m/>
    <m/>
    <m/>
    <m/>
    <m/>
    <m/>
    <m/>
    <m/>
    <m/>
  </r>
  <r>
    <x v="12"/>
    <s v="Tennessee Technology Center at Oneida"/>
    <m/>
    <n v="221582"/>
    <x v="10"/>
    <n v="0"/>
    <n v="0"/>
    <m/>
    <m/>
    <m/>
    <m/>
    <m/>
    <m/>
    <m/>
    <m/>
    <m/>
    <m/>
    <m/>
    <m/>
    <n v="0"/>
    <n v="0"/>
    <m/>
    <m/>
    <m/>
    <m/>
    <m/>
    <m/>
    <m/>
    <m/>
    <m/>
    <m/>
    <m/>
    <m/>
  </r>
  <r>
    <x v="12"/>
    <s v="Tennessee Technology Center at Paris"/>
    <m/>
    <n v="221281"/>
    <x v="10"/>
    <n v="0"/>
    <n v="0"/>
    <m/>
    <m/>
    <m/>
    <m/>
    <m/>
    <m/>
    <m/>
    <m/>
    <m/>
    <m/>
    <m/>
    <m/>
    <n v="0"/>
    <n v="0"/>
    <m/>
    <m/>
    <m/>
    <m/>
    <m/>
    <m/>
    <m/>
    <m/>
    <m/>
    <m/>
    <m/>
    <m/>
  </r>
  <r>
    <x v="12"/>
    <s v="Tennessee Technology Center at Pulaski"/>
    <m/>
    <n v="221333"/>
    <x v="10"/>
    <n v="0"/>
    <n v="0"/>
    <m/>
    <m/>
    <m/>
    <m/>
    <m/>
    <m/>
    <m/>
    <m/>
    <m/>
    <m/>
    <m/>
    <m/>
    <n v="0"/>
    <n v="0"/>
    <m/>
    <m/>
    <m/>
    <m/>
    <m/>
    <m/>
    <m/>
    <m/>
    <m/>
    <m/>
    <m/>
    <m/>
  </r>
  <r>
    <x v="12"/>
    <s v="Tennessee Technology Center at Ripley"/>
    <m/>
    <n v="221388"/>
    <x v="10"/>
    <n v="0"/>
    <n v="0"/>
    <m/>
    <m/>
    <m/>
    <m/>
    <m/>
    <m/>
    <m/>
    <m/>
    <m/>
    <m/>
    <m/>
    <m/>
    <n v="0"/>
    <n v="0"/>
    <m/>
    <m/>
    <m/>
    <m/>
    <m/>
    <m/>
    <m/>
    <m/>
    <m/>
    <m/>
    <m/>
    <m/>
  </r>
  <r>
    <x v="12"/>
    <s v="Tennessee Technology Center at Shelbyville"/>
    <m/>
    <n v="221494"/>
    <x v="10"/>
    <n v="0"/>
    <n v="0"/>
    <m/>
    <m/>
    <m/>
    <m/>
    <m/>
    <m/>
    <m/>
    <m/>
    <m/>
    <m/>
    <m/>
    <m/>
    <n v="0"/>
    <n v="0"/>
    <m/>
    <m/>
    <m/>
    <m/>
    <m/>
    <m/>
    <m/>
    <m/>
    <m/>
    <m/>
    <m/>
    <m/>
  </r>
  <r>
    <x v="12"/>
    <s v="Tennessee Technology Center at Whiteville"/>
    <m/>
    <n v="221634"/>
    <x v="10"/>
    <n v="0"/>
    <n v="0"/>
    <m/>
    <m/>
    <m/>
    <m/>
    <m/>
    <m/>
    <m/>
    <m/>
    <m/>
    <m/>
    <m/>
    <m/>
    <n v="0"/>
    <n v="0"/>
    <m/>
    <m/>
    <m/>
    <m/>
    <m/>
    <m/>
    <m/>
    <m/>
    <m/>
    <m/>
    <m/>
    <m/>
  </r>
  <r>
    <x v="12"/>
    <s v="University of Tennessee Health Science Center"/>
    <m/>
    <n v="221704"/>
    <x v="11"/>
    <n v="0"/>
    <n v="0"/>
    <m/>
    <m/>
    <m/>
    <m/>
    <m/>
    <m/>
    <m/>
    <m/>
    <m/>
    <m/>
    <m/>
    <m/>
    <n v="0"/>
    <n v="0"/>
    <m/>
    <m/>
    <m/>
    <m/>
    <m/>
    <m/>
    <m/>
    <m/>
    <m/>
    <m/>
    <m/>
    <m/>
  </r>
  <r>
    <x v="13"/>
    <s v="Texas A &amp; M University "/>
    <m/>
    <n v="228723"/>
    <x v="0"/>
    <n v="1078649"/>
    <n v="1082908"/>
    <n v="1025835"/>
    <n v="1022798"/>
    <n v="5542"/>
    <n v="6127"/>
    <n v="38262"/>
    <n v="6"/>
    <n v="9004"/>
    <n v="45482"/>
    <n v="0"/>
    <n v="8501"/>
    <m/>
    <m/>
    <n v="176496"/>
    <n v="179024"/>
    <n v="155812"/>
    <n v="156799"/>
    <n v="3130"/>
    <n v="3612"/>
    <n v="13443"/>
    <n v="90"/>
    <n v="4021"/>
    <n v="14868"/>
    <n v="83"/>
    <n v="3662"/>
    <m/>
    <m/>
  </r>
  <r>
    <x v="13"/>
    <s v="Texas Tech University "/>
    <m/>
    <n v="229115"/>
    <x v="0"/>
    <n v="703553"/>
    <n v="715914"/>
    <n v="661186"/>
    <n v="654176"/>
    <n v="7078"/>
    <n v="7249"/>
    <n v="35289"/>
    <n v="0"/>
    <n v="0"/>
    <n v="53655"/>
    <n v="834"/>
    <n v="0"/>
    <m/>
    <m/>
    <n v="120413"/>
    <n v="119346"/>
    <n v="101055"/>
    <n v="98723"/>
    <n v="895"/>
    <n v="1488"/>
    <n v="18460"/>
    <n v="3"/>
    <n v="0"/>
    <n v="18763"/>
    <n v="372"/>
    <n v="0"/>
    <m/>
    <m/>
  </r>
  <r>
    <x v="13"/>
    <s v="University of Houston"/>
    <m/>
    <n v="225511"/>
    <x v="0"/>
    <n v="772875"/>
    <n v="792638"/>
    <n v="618211"/>
    <n v="618554"/>
    <n v="5414"/>
    <n v="9034"/>
    <n v="149187"/>
    <n v="63"/>
    <n v="0"/>
    <n v="164894"/>
    <n v="156"/>
    <n v="0"/>
    <m/>
    <m/>
    <n v="179826"/>
    <n v="176842"/>
    <n v="166963"/>
    <n v="162316"/>
    <n v="2502"/>
    <n v="4390"/>
    <n v="10328"/>
    <n v="33"/>
    <n v="0"/>
    <n v="10079"/>
    <n v="51"/>
    <n v="6"/>
    <m/>
    <m/>
  </r>
  <r>
    <x v="13"/>
    <s v="University of North Texas"/>
    <m/>
    <n v="227216"/>
    <x v="0"/>
    <n v="749078"/>
    <n v="750979"/>
    <n v="667307"/>
    <n v="664246"/>
    <n v="2708"/>
    <n v="1941"/>
    <n v="78991"/>
    <n v="21"/>
    <n v="51"/>
    <n v="84669"/>
    <n v="72"/>
    <n v="51"/>
    <m/>
    <m/>
    <n v="110081"/>
    <n v="103400"/>
    <n v="73532"/>
    <n v="71588"/>
    <n v="2649"/>
    <n v="2286"/>
    <n v="33750"/>
    <n v="150"/>
    <n v="0"/>
    <n v="29277"/>
    <n v="249"/>
    <n v="0"/>
    <m/>
    <m/>
  </r>
  <r>
    <x v="13"/>
    <s v="University of Texas at Arlington"/>
    <m/>
    <n v="228769"/>
    <x v="0"/>
    <n v="635226"/>
    <n v="630878"/>
    <n v="494907"/>
    <n v="486981"/>
    <n v="1206"/>
    <n v="522"/>
    <n v="136397"/>
    <n v="0"/>
    <n v="2716"/>
    <n v="142081"/>
    <n v="0"/>
    <n v="1294"/>
    <m/>
    <m/>
    <n v="141161"/>
    <n v="135617"/>
    <n v="84194"/>
    <n v="81423"/>
    <n v="13086"/>
    <n v="12754"/>
    <n v="43141"/>
    <n v="6"/>
    <n v="734"/>
    <n v="41440"/>
    <n v="0"/>
    <n v="0"/>
    <m/>
    <m/>
  </r>
  <r>
    <x v="13"/>
    <s v="University of Texas at Austin"/>
    <m/>
    <n v="228778"/>
    <x v="0"/>
    <n v="1044081"/>
    <n v="1073733"/>
    <n v="1038847"/>
    <n v="1059967"/>
    <n v="5234"/>
    <n v="4923"/>
    <n v="0"/>
    <n v="0"/>
    <n v="0"/>
    <n v="8774"/>
    <n v="0"/>
    <n v="69"/>
    <m/>
    <m/>
    <n v="268775"/>
    <n v="262342"/>
    <n v="268587"/>
    <n v="258975"/>
    <n v="188"/>
    <n v="148"/>
    <n v="0"/>
    <n v="0"/>
    <n v="0"/>
    <n v="1728"/>
    <n v="1113"/>
    <n v="378"/>
    <m/>
    <m/>
  </r>
  <r>
    <x v="13"/>
    <s v="University of Texas at Dallas"/>
    <m/>
    <n v="228787"/>
    <x v="0"/>
    <n v="293125"/>
    <n v="315138"/>
    <n v="279940"/>
    <n v="299385"/>
    <n v="1613"/>
    <n v="1629"/>
    <n v="11569"/>
    <n v="3"/>
    <n v="0"/>
    <n v="14103"/>
    <n v="21"/>
    <n v="0"/>
    <m/>
    <m/>
    <n v="120080"/>
    <n v="130574"/>
    <n v="105652"/>
    <n v="114482"/>
    <n v="90"/>
    <n v="258"/>
    <n v="14338"/>
    <n v="0"/>
    <n v="0"/>
    <n v="15825"/>
    <n v="9"/>
    <n v="0"/>
    <m/>
    <m/>
  </r>
  <r>
    <x v="13"/>
    <s v="Texas Woman's University"/>
    <m/>
    <n v="229179"/>
    <x v="1"/>
    <n v="221575"/>
    <n v="229008"/>
    <n v="163845"/>
    <n v="167604"/>
    <n v="2569"/>
    <n v="1878"/>
    <n v="55101"/>
    <n v="0"/>
    <n v="60"/>
    <n v="59457"/>
    <n v="0"/>
    <n v="69"/>
    <m/>
    <m/>
    <n v="101023"/>
    <n v="97760"/>
    <n v="50672"/>
    <n v="50137"/>
    <n v="549"/>
    <n v="495"/>
    <n v="49414"/>
    <n v="388"/>
    <n v="0"/>
    <n v="46671"/>
    <n v="457"/>
    <n v="0"/>
    <m/>
    <m/>
  </r>
  <r>
    <x v="13"/>
    <s v="University of Texas at El Paso"/>
    <m/>
    <n v="228796"/>
    <x v="1"/>
    <n v="458406"/>
    <n v="458196"/>
    <n v="411558"/>
    <n v="398347"/>
    <n v="5619"/>
    <n v="3891"/>
    <n v="41229"/>
    <n v="0"/>
    <n v="0"/>
    <n v="55958"/>
    <n v="0"/>
    <n v="0"/>
    <m/>
    <m/>
    <n v="60922"/>
    <n v="59369"/>
    <n v="41754"/>
    <n v="38470"/>
    <n v="4181"/>
    <n v="3816"/>
    <n v="14987"/>
    <n v="0"/>
    <n v="0"/>
    <n v="17083"/>
    <n v="0"/>
    <n v="0"/>
    <m/>
    <m/>
  </r>
  <r>
    <x v="13"/>
    <s v="University of Texas at San Antonio"/>
    <m/>
    <n v="229027"/>
    <x v="1"/>
    <n v="652638"/>
    <n v="642888"/>
    <n v="625696"/>
    <n v="613398"/>
    <n v="1740"/>
    <n v="695"/>
    <n v="19223"/>
    <n v="5979"/>
    <n v="0"/>
    <n v="23164"/>
    <n v="5331"/>
    <n v="300"/>
    <m/>
    <m/>
    <n v="69896"/>
    <n v="70971"/>
    <n v="65474"/>
    <n v="67006"/>
    <n v="825"/>
    <n v="800"/>
    <n v="3495"/>
    <n v="102"/>
    <n v="0"/>
    <n v="3102"/>
    <n v="57"/>
    <n v="6"/>
    <m/>
    <m/>
  </r>
  <r>
    <x v="13"/>
    <s v="Angelo State University"/>
    <m/>
    <n v="222831"/>
    <x v="2"/>
    <n v="152059"/>
    <n v="150251"/>
    <n v="137821"/>
    <n v="134362"/>
    <n v="0"/>
    <n v="0"/>
    <n v="14238"/>
    <n v="0"/>
    <n v="0"/>
    <n v="15886"/>
    <n v="0"/>
    <n v="3"/>
    <m/>
    <m/>
    <n v="14688"/>
    <n v="15074"/>
    <n v="5944"/>
    <n v="7026"/>
    <n v="0"/>
    <n v="0"/>
    <n v="8744"/>
    <n v="0"/>
    <n v="0"/>
    <n v="8048"/>
    <n v="0"/>
    <n v="0"/>
    <m/>
    <m/>
  </r>
  <r>
    <x v="13"/>
    <s v="Lamar University"/>
    <m/>
    <n v="226091"/>
    <x v="2"/>
    <n v="239775"/>
    <n v="234898"/>
    <n v="197132"/>
    <n v="185244"/>
    <n v="4174"/>
    <n v="3167"/>
    <n v="37026"/>
    <n v="1443"/>
    <n v="0"/>
    <n v="45580"/>
    <n v="907"/>
    <n v="0"/>
    <m/>
    <m/>
    <n v="78787"/>
    <n v="91833"/>
    <n v="21774"/>
    <n v="20089"/>
    <n v="0"/>
    <n v="3"/>
    <n v="57013"/>
    <n v="0"/>
    <n v="0"/>
    <n v="71741"/>
    <n v="0"/>
    <n v="0"/>
    <m/>
    <m/>
  </r>
  <r>
    <x v="13"/>
    <s v="Midwestern State University"/>
    <m/>
    <n v="226833"/>
    <x v="2"/>
    <n v="138852"/>
    <n v="129920"/>
    <n v="119912"/>
    <n v="110256"/>
    <n v="1433"/>
    <n v="1542"/>
    <n v="17507"/>
    <n v="0"/>
    <n v="0"/>
    <n v="18122"/>
    <n v="0"/>
    <n v="0"/>
    <m/>
    <m/>
    <n v="8449"/>
    <n v="8026"/>
    <n v="5017"/>
    <n v="4435"/>
    <n v="45"/>
    <n v="48"/>
    <n v="3366"/>
    <n v="21"/>
    <n v="0"/>
    <n v="3543"/>
    <n v="0"/>
    <n v="0"/>
    <m/>
    <m/>
  </r>
  <r>
    <x v="13"/>
    <s v="Prairie View A &amp; M University"/>
    <m/>
    <n v="227526"/>
    <x v="2"/>
    <n v="180915"/>
    <n v="183553"/>
    <n v="179475"/>
    <n v="168933"/>
    <n v="12"/>
    <n v="11280"/>
    <n v="1428"/>
    <n v="0"/>
    <n v="0"/>
    <n v="3297"/>
    <n v="43"/>
    <n v="0"/>
    <m/>
    <m/>
    <n v="28054"/>
    <n v="26777"/>
    <n v="20806"/>
    <n v="10075"/>
    <n v="2877"/>
    <n v="6664"/>
    <n v="4371"/>
    <n v="0"/>
    <n v="0"/>
    <n v="10038"/>
    <n v="0"/>
    <n v="0"/>
    <m/>
    <m/>
  </r>
  <r>
    <x v="13"/>
    <s v="Sam Houston State University "/>
    <m/>
    <n v="227881"/>
    <x v="2"/>
    <n v="403910"/>
    <n v="408852"/>
    <n v="360327"/>
    <n v="372776"/>
    <n v="11983"/>
    <n v="6415"/>
    <n v="31600"/>
    <n v="0"/>
    <n v="0"/>
    <n v="29661"/>
    <n v="0"/>
    <n v="0"/>
    <m/>
    <m/>
    <n v="43473"/>
    <n v="44828"/>
    <n v="17604"/>
    <n v="28462"/>
    <n v="2529"/>
    <n v="918"/>
    <n v="23139"/>
    <n v="171"/>
    <n v="30"/>
    <n v="15388"/>
    <n v="60"/>
    <n v="0"/>
    <m/>
    <m/>
  </r>
  <r>
    <x v="13"/>
    <s v="Stephen F. Austin State University"/>
    <m/>
    <n v="228431"/>
    <x v="2"/>
    <n v="302536"/>
    <n v="302948"/>
    <n v="260416"/>
    <n v="257798"/>
    <n v="1054"/>
    <n v="1600"/>
    <n v="36107"/>
    <n v="201"/>
    <n v="4758"/>
    <n v="38390"/>
    <n v="100"/>
    <n v="5060"/>
    <m/>
    <m/>
    <n v="24250"/>
    <n v="27074"/>
    <n v="14908"/>
    <n v="15384"/>
    <n v="531"/>
    <n v="756"/>
    <n v="7681"/>
    <n v="217"/>
    <n v="913"/>
    <n v="9067"/>
    <n v="214"/>
    <n v="1653"/>
    <m/>
    <m/>
  </r>
  <r>
    <x v="13"/>
    <s v="Sul Ross State University "/>
    <m/>
    <n v="228501"/>
    <x v="2"/>
    <n v="37837"/>
    <n v="34307"/>
    <n v="32459"/>
    <n v="28805"/>
    <n v="3"/>
    <n v="24"/>
    <n v="4587"/>
    <n v="788"/>
    <n v="0"/>
    <n v="4717"/>
    <n v="761"/>
    <n v="0"/>
    <m/>
    <m/>
    <n v="8987"/>
    <n v="8745"/>
    <n v="3227"/>
    <n v="2724"/>
    <n v="219"/>
    <n v="174"/>
    <n v="5112"/>
    <n v="429"/>
    <n v="0"/>
    <n v="5700"/>
    <n v="147"/>
    <n v="0"/>
    <m/>
    <m/>
  </r>
  <r>
    <x v="13"/>
    <s v="Tarleton State University"/>
    <m/>
    <n v="228529"/>
    <x v="2"/>
    <n v="211207"/>
    <n v="227527"/>
    <n v="161134"/>
    <n v="168374"/>
    <n v="17911"/>
    <n v="21132"/>
    <n v="31670"/>
    <n v="492"/>
    <n v="0"/>
    <n v="36896"/>
    <n v="1125"/>
    <n v="0"/>
    <m/>
    <m/>
    <n v="22440"/>
    <n v="22172"/>
    <n v="5089"/>
    <n v="5135"/>
    <n v="7802"/>
    <n v="6785"/>
    <n v="9529"/>
    <n v="20"/>
    <n v="0"/>
    <n v="10246"/>
    <n v="6"/>
    <n v="0"/>
    <m/>
    <m/>
  </r>
  <r>
    <x v="13"/>
    <s v="Texas A &amp; M International University"/>
    <m/>
    <n v="226152"/>
    <x v="2"/>
    <n v="140861"/>
    <n v="139409"/>
    <n v="132551"/>
    <n v="128948"/>
    <n v="2516"/>
    <n v="3945"/>
    <n v="5716"/>
    <n v="78"/>
    <n v="0"/>
    <n v="6105"/>
    <n v="411"/>
    <n v="0"/>
    <m/>
    <m/>
    <n v="12661"/>
    <n v="10774"/>
    <n v="9547"/>
    <n v="8086"/>
    <n v="18"/>
    <n v="3"/>
    <n v="3009"/>
    <n v="87"/>
    <n v="0"/>
    <n v="2646"/>
    <n v="39"/>
    <n v="0"/>
    <m/>
    <m/>
  </r>
  <r>
    <x v="13"/>
    <s v="Texas A &amp; M University - Commerce"/>
    <m/>
    <n v="224554"/>
    <x v="2"/>
    <n v="164243"/>
    <n v="164448"/>
    <n v="103847"/>
    <n v="104170"/>
    <n v="16428"/>
    <n v="14722"/>
    <n v="43545"/>
    <n v="423"/>
    <n v="0"/>
    <n v="45094"/>
    <n v="462"/>
    <n v="0"/>
    <m/>
    <m/>
    <n v="70252"/>
    <n v="75035"/>
    <n v="18731"/>
    <n v="14827"/>
    <n v="15180"/>
    <n v="13088"/>
    <n v="35921"/>
    <n v="420"/>
    <n v="0"/>
    <n v="46751"/>
    <n v="369"/>
    <n v="0"/>
    <m/>
    <m/>
  </r>
  <r>
    <x v="13"/>
    <s v="Texas A &amp; M University-Corpus Christi "/>
    <m/>
    <n v="224147"/>
    <x v="2"/>
    <n v="219390"/>
    <n v="227553"/>
    <n v="211253"/>
    <n v="215414"/>
    <n v="0"/>
    <n v="0"/>
    <n v="8137"/>
    <n v="0"/>
    <n v="0"/>
    <n v="12139"/>
    <n v="0"/>
    <n v="0"/>
    <m/>
    <m/>
    <n v="30694"/>
    <n v="28513"/>
    <n v="23586"/>
    <n v="20384"/>
    <n v="0"/>
    <n v="0"/>
    <n v="7108"/>
    <n v="0"/>
    <n v="0"/>
    <n v="8129"/>
    <n v="0"/>
    <n v="0"/>
    <m/>
    <m/>
  </r>
  <r>
    <x v="13"/>
    <s v="Texas A &amp; M University-Kingsville"/>
    <m/>
    <n v="228705"/>
    <x v="2"/>
    <n v="140055"/>
    <n v="149887"/>
    <n v="134040"/>
    <n v="137622"/>
    <n v="1101"/>
    <n v="2875"/>
    <n v="4608"/>
    <n v="306"/>
    <n v="0"/>
    <n v="9042"/>
    <n v="348"/>
    <n v="0"/>
    <m/>
    <m/>
    <n v="21495"/>
    <n v="22745"/>
    <n v="17613"/>
    <n v="15906"/>
    <n v="12"/>
    <n v="54"/>
    <n v="3708"/>
    <n v="162"/>
    <n v="0"/>
    <n v="6620"/>
    <n v="165"/>
    <n v="0"/>
    <m/>
    <m/>
  </r>
  <r>
    <x v="13"/>
    <s v="Texas Southern University "/>
    <m/>
    <n v="229063"/>
    <x v="2"/>
    <n v="181105"/>
    <n v="180538"/>
    <n v="177441"/>
    <n v="175889"/>
    <n v="88"/>
    <n v="0"/>
    <n v="0"/>
    <n v="0"/>
    <n v="3576"/>
    <n v="0"/>
    <n v="0"/>
    <n v="4649"/>
    <m/>
    <m/>
    <n v="59197"/>
    <n v="58604"/>
    <n v="51346"/>
    <n v="50123"/>
    <n v="360"/>
    <n v="447"/>
    <n v="0"/>
    <n v="0"/>
    <n v="7491"/>
    <n v="0"/>
    <n v="0"/>
    <n v="8034"/>
    <m/>
    <m/>
  </r>
  <r>
    <x v="13"/>
    <s v="Texas State University - San Marcos "/>
    <m/>
    <n v="228459"/>
    <x v="2"/>
    <n v="748416"/>
    <n v="770267"/>
    <n v="702029"/>
    <n v="721678"/>
    <n v="31364"/>
    <n v="30029"/>
    <n v="14486"/>
    <n v="156"/>
    <n v="381"/>
    <n v="18173"/>
    <n v="159"/>
    <n v="228"/>
    <m/>
    <m/>
    <n v="79610"/>
    <n v="77487"/>
    <n v="61890"/>
    <n v="60703"/>
    <n v="10394"/>
    <n v="9105"/>
    <n v="6648"/>
    <n v="603"/>
    <n v="75"/>
    <n v="6638"/>
    <n v="1002"/>
    <n v="39"/>
    <m/>
    <m/>
  </r>
  <r>
    <x v="13"/>
    <s v="University of Houston-Clear Lake "/>
    <m/>
    <n v="225414"/>
    <x v="2"/>
    <n v="106310"/>
    <n v="104229"/>
    <n v="76747"/>
    <n v="72444"/>
    <n v="8657"/>
    <n v="9063"/>
    <n v="20906"/>
    <n v="0"/>
    <n v="0"/>
    <n v="22722"/>
    <n v="0"/>
    <n v="0"/>
    <m/>
    <m/>
    <n v="53804"/>
    <n v="53859"/>
    <n v="32520"/>
    <n v="31307"/>
    <n v="6250"/>
    <n v="6193"/>
    <n v="15034"/>
    <n v="0"/>
    <n v="0"/>
    <n v="16359"/>
    <n v="0"/>
    <n v="0"/>
    <m/>
    <m/>
  </r>
  <r>
    <x v="13"/>
    <s v="University of Texas at Brownsville"/>
    <m/>
    <n v="227377"/>
    <x v="2"/>
    <n v="102704"/>
    <n v="125894"/>
    <n v="84689"/>
    <n v="102730"/>
    <n v="0"/>
    <n v="0"/>
    <n v="18015"/>
    <n v="0"/>
    <n v="0"/>
    <n v="23164"/>
    <n v="0"/>
    <n v="0"/>
    <m/>
    <m/>
    <n v="13683"/>
    <n v="14870"/>
    <n v="9867"/>
    <n v="9133"/>
    <n v="0"/>
    <n v="0"/>
    <n v="3816"/>
    <n v="0"/>
    <n v="0"/>
    <n v="5737"/>
    <n v="0"/>
    <n v="0"/>
    <m/>
    <m/>
  </r>
  <r>
    <x v="13"/>
    <s v="University of Texas at Tyler"/>
    <m/>
    <n v="228802"/>
    <x v="2"/>
    <n v="126526"/>
    <n v="131896"/>
    <n v="104995"/>
    <n v="104210"/>
    <n v="1294"/>
    <n v="1668"/>
    <n v="15001"/>
    <n v="5233"/>
    <n v="3"/>
    <n v="20329"/>
    <n v="5689"/>
    <n v="0"/>
    <m/>
    <m/>
    <n v="23461"/>
    <n v="25339"/>
    <n v="9199"/>
    <n v="7909"/>
    <n v="36"/>
    <n v="12"/>
    <n v="14070"/>
    <n v="126"/>
    <n v="30"/>
    <n v="17304"/>
    <n v="114"/>
    <n v="0"/>
    <m/>
    <m/>
  </r>
  <r>
    <x v="13"/>
    <s v="University of Texas of the Permian Basin"/>
    <m/>
    <n v="229018"/>
    <x v="2"/>
    <n v="76144"/>
    <n v="75463"/>
    <n v="58219"/>
    <n v="54092"/>
    <n v="4"/>
    <n v="30"/>
    <n v="17918"/>
    <n v="3"/>
    <n v="0"/>
    <n v="21218"/>
    <n v="123"/>
    <n v="0"/>
    <m/>
    <m/>
    <n v="8911"/>
    <n v="8281"/>
    <n v="4825"/>
    <n v="4461"/>
    <n v="0"/>
    <n v="0"/>
    <n v="4086"/>
    <n v="0"/>
    <n v="0"/>
    <n v="3817"/>
    <n v="0"/>
    <n v="3"/>
    <m/>
    <m/>
  </r>
  <r>
    <x v="13"/>
    <s v="University of Texas-Pan American"/>
    <m/>
    <n v="227368"/>
    <x v="2"/>
    <n v="434759"/>
    <n v="431976"/>
    <n v="394909"/>
    <n v="380169"/>
    <n v="1473"/>
    <n v="1937"/>
    <n v="38107"/>
    <n v="270"/>
    <n v="0"/>
    <n v="49498"/>
    <n v="372"/>
    <n v="0"/>
    <m/>
    <m/>
    <n v="42868"/>
    <n v="42401"/>
    <n v="32660"/>
    <n v="28055"/>
    <n v="2172"/>
    <n v="3825"/>
    <n v="7901"/>
    <n v="135"/>
    <n v="0"/>
    <n v="10434"/>
    <n v="87"/>
    <m/>
    <m/>
    <m/>
  </r>
  <r>
    <x v="13"/>
    <s v="West Texas A &amp; M University"/>
    <m/>
    <n v="229814"/>
    <x v="2"/>
    <n v="172603"/>
    <n v="173258"/>
    <n v="138298"/>
    <n v="138800"/>
    <n v="42"/>
    <n v="63"/>
    <n v="34194"/>
    <n v="0"/>
    <n v="69"/>
    <n v="34395"/>
    <n v="0"/>
    <n v="0"/>
    <m/>
    <m/>
    <n v="20098"/>
    <n v="20909"/>
    <n v="10145"/>
    <n v="10006"/>
    <n v="267"/>
    <n v="165"/>
    <n v="9677"/>
    <n v="0"/>
    <n v="9"/>
    <n v="10738"/>
    <n v="0"/>
    <m/>
    <m/>
    <m/>
  </r>
  <r>
    <x v="13"/>
    <s v="Texas A &amp; M -Texarkana"/>
    <m/>
    <n v="224545"/>
    <x v="3"/>
    <n v="32905"/>
    <n v="34790"/>
    <n v="25481"/>
    <n v="23130"/>
    <n v="2125"/>
    <n v="2830"/>
    <n v="5167"/>
    <n v="132"/>
    <n v="0"/>
    <n v="8716"/>
    <n v="114"/>
    <n v="0"/>
    <m/>
    <m/>
    <n v="7605"/>
    <n v="7307"/>
    <n v="4890"/>
    <n v="2678"/>
    <n v="513"/>
    <n v="495"/>
    <n v="2202"/>
    <n v="0"/>
    <n v="0"/>
    <n v="4134"/>
    <n v="0"/>
    <m/>
    <m/>
    <m/>
  </r>
  <r>
    <x v="13"/>
    <s v="Texas A &amp; M University - Central Texas"/>
    <s v="Reclassified: met the criteria for Four-Year 4 in 2010-11, 2011-12, and 2012-13."/>
    <s v="???"/>
    <x v="3"/>
    <n v="31115"/>
    <n v="33743"/>
    <n v="10845"/>
    <n v="12696"/>
    <n v="9489"/>
    <n v="8461"/>
    <n v="10514"/>
    <n v="267"/>
    <n v="0"/>
    <n v="12307"/>
    <n v="279"/>
    <m/>
    <m/>
    <m/>
    <n v="11486"/>
    <n v="11950"/>
    <n v="7625"/>
    <n v="7153"/>
    <n v="1275"/>
    <n v="822"/>
    <n v="2586"/>
    <n v="0"/>
    <n v="0"/>
    <n v="3975"/>
    <m/>
    <n v="0"/>
    <m/>
    <m/>
  </r>
  <r>
    <x v="13"/>
    <s v="University of Houston-Victoria"/>
    <m/>
    <n v="225502"/>
    <x v="3"/>
    <n v="58096"/>
    <n v="59526"/>
    <n v="10405"/>
    <n v="12711"/>
    <n v="8919"/>
    <n v="8674"/>
    <n v="34998"/>
    <n v="3774"/>
    <n v="0"/>
    <n v="34624"/>
    <n v="3517"/>
    <n v="0"/>
    <m/>
    <m/>
    <n v="27234"/>
    <n v="25664"/>
    <n v="771"/>
    <n v="447"/>
    <n v="4866"/>
    <n v="4565"/>
    <n v="20265"/>
    <n v="1332"/>
    <n v="0"/>
    <n v="19296"/>
    <n v="1356"/>
    <m/>
    <m/>
    <m/>
  </r>
  <r>
    <x v="13"/>
    <s v="Sul Ross State University-Rio Grande College"/>
    <m/>
    <s v="228501B"/>
    <x v="4"/>
    <n v="16859"/>
    <n v="15316"/>
    <n v="6932"/>
    <n v="5955"/>
    <n v="0"/>
    <n v="0"/>
    <n v="5200"/>
    <n v="4727"/>
    <n v="0"/>
    <n v="5323"/>
    <n v="4038"/>
    <n v="0"/>
    <m/>
    <m/>
    <n v="3276"/>
    <n v="2487"/>
    <n v="2025"/>
    <n v="1497"/>
    <n v="0"/>
    <n v="0"/>
    <n v="969"/>
    <n v="282"/>
    <n v="0"/>
    <n v="681"/>
    <n v="309"/>
    <m/>
    <m/>
    <m/>
  </r>
  <r>
    <x v="13"/>
    <s v="Texas A &amp; M University - San Antonio"/>
    <s v="Reclassified: met the criteria for Four-Year 5 in 2010-11, 2011-12, and 2012-13."/>
    <n v="870501"/>
    <x v="4"/>
    <n v="54033"/>
    <n v="60956"/>
    <n v="31707"/>
    <n v="32930"/>
    <n v="3148"/>
    <n v="2741"/>
    <n v="19178"/>
    <n v="0"/>
    <n v="0"/>
    <n v="25285"/>
    <m/>
    <m/>
    <m/>
    <m/>
    <n v="14881"/>
    <n v="17108"/>
    <n v="4422"/>
    <n v="4911"/>
    <n v="966"/>
    <n v="174"/>
    <n v="9493"/>
    <n v="0"/>
    <n v="0"/>
    <n v="11984"/>
    <m/>
    <n v="39"/>
    <m/>
    <m/>
  </r>
  <r>
    <x v="13"/>
    <s v="University of Houston-Downtown"/>
    <m/>
    <n v="225432"/>
    <x v="4"/>
    <n v="268037"/>
    <n v="276907"/>
    <n v="191758"/>
    <n v="183802"/>
    <n v="11562"/>
    <n v="11777"/>
    <n v="64682"/>
    <n v="35"/>
    <n v="0"/>
    <n v="81077"/>
    <n v="251"/>
    <n v="0"/>
    <m/>
    <m/>
    <n v="2169"/>
    <n v="2811"/>
    <n v="1464"/>
    <n v="1194"/>
    <n v="36"/>
    <n v="270"/>
    <n v="669"/>
    <n v="0"/>
    <n v="0"/>
    <n v="1347"/>
    <m/>
    <m/>
    <m/>
    <m/>
  </r>
  <r>
    <x v="13"/>
    <s v="Texas A &amp; M University at Galveston"/>
    <m/>
    <n v="228714"/>
    <x v="5"/>
    <n v="54166"/>
    <n v="54015"/>
    <n v="54166"/>
    <n v="53958"/>
    <n v="0"/>
    <n v="0"/>
    <n v="0"/>
    <n v="0"/>
    <n v="0"/>
    <n v="57"/>
    <n v="0"/>
    <n v="0"/>
    <m/>
    <m/>
    <n v="1211"/>
    <n v="1488"/>
    <n v="1114"/>
    <n v="1368"/>
    <n v="0"/>
    <n v="18"/>
    <n v="97"/>
    <n v="0"/>
    <n v="0"/>
    <n v="102"/>
    <m/>
    <m/>
    <m/>
    <m/>
  </r>
  <r>
    <x v="13"/>
    <s v="Brazosport College "/>
    <m/>
    <n v="223506"/>
    <x v="12"/>
    <n v="81798"/>
    <n v="76602"/>
    <n v="62991"/>
    <n v="57290"/>
    <n v="5424"/>
    <n v="5248"/>
    <n v="13383"/>
    <n v="0"/>
    <n v="0"/>
    <n v="14064"/>
    <n v="0"/>
    <n v="0"/>
    <m/>
    <m/>
    <n v="0"/>
    <n v="0"/>
    <m/>
    <m/>
    <m/>
    <m/>
    <m/>
    <m/>
    <m/>
    <m/>
    <m/>
    <m/>
    <m/>
    <m/>
  </r>
  <r>
    <x v="13"/>
    <s v="Midland College "/>
    <m/>
    <n v="226806"/>
    <x v="12"/>
    <n v="123616"/>
    <n v="115799"/>
    <n v="75043"/>
    <n v="69064"/>
    <n v="2884"/>
    <n v="1958"/>
    <n v="44600"/>
    <n v="1089"/>
    <n v="0"/>
    <n v="43709"/>
    <n v="1068"/>
    <n v="0"/>
    <m/>
    <m/>
    <n v="0"/>
    <n v="0"/>
    <m/>
    <m/>
    <m/>
    <m/>
    <m/>
    <m/>
    <m/>
    <m/>
    <m/>
    <m/>
    <m/>
    <m/>
  </r>
  <r>
    <x v="13"/>
    <s v="South Texas College"/>
    <m/>
    <n v="409315"/>
    <x v="12"/>
    <n v="562427"/>
    <n v="551207"/>
    <n v="473169"/>
    <n v="462881"/>
    <n v="0"/>
    <n v="0"/>
    <n v="89183"/>
    <n v="0"/>
    <n v="75"/>
    <n v="88302"/>
    <n v="0"/>
    <n v="24"/>
    <m/>
    <m/>
    <n v="0"/>
    <n v="0"/>
    <m/>
    <m/>
    <m/>
    <m/>
    <m/>
    <m/>
    <m/>
    <m/>
    <m/>
    <m/>
    <m/>
    <m/>
  </r>
  <r>
    <x v="13"/>
    <s v="Amarillo College "/>
    <m/>
    <n v="222576"/>
    <x v="6"/>
    <n v="211780"/>
    <n v="198655"/>
    <n v="143649"/>
    <n v="124947"/>
    <n v="5704"/>
    <n v="12422"/>
    <n v="56814"/>
    <n v="141"/>
    <n v="5472"/>
    <n v="58631"/>
    <n v="33"/>
    <n v="2622"/>
    <m/>
    <m/>
    <n v="0"/>
    <n v="0"/>
    <m/>
    <m/>
    <m/>
    <m/>
    <m/>
    <m/>
    <m/>
    <m/>
    <m/>
    <m/>
    <m/>
    <m/>
  </r>
  <r>
    <x v="13"/>
    <s v="Austin Community College "/>
    <m/>
    <n v="222992"/>
    <x v="6"/>
    <n v="835864"/>
    <n v="791994"/>
    <n v="781722"/>
    <n v="708142"/>
    <n v="44284"/>
    <n v="49564"/>
    <n v="6567"/>
    <n v="0"/>
    <n v="3291"/>
    <n v="31795"/>
    <n v="0"/>
    <n v="2493"/>
    <m/>
    <m/>
    <n v="0"/>
    <n v="0"/>
    <m/>
    <m/>
    <m/>
    <m/>
    <m/>
    <m/>
    <m/>
    <m/>
    <m/>
    <m/>
    <m/>
    <m/>
  </r>
  <r>
    <x v="13"/>
    <s v="Blinn College "/>
    <m/>
    <n v="223427"/>
    <x v="6"/>
    <n v="396118"/>
    <n v="398972"/>
    <n v="196698"/>
    <n v="58551"/>
    <n v="162216"/>
    <n v="275061"/>
    <n v="37204"/>
    <n v="0"/>
    <n v="0"/>
    <n v="63938"/>
    <n v="1422"/>
    <n v="0"/>
    <m/>
    <m/>
    <n v="0"/>
    <n v="0"/>
    <m/>
    <m/>
    <m/>
    <m/>
    <m/>
    <m/>
    <m/>
    <m/>
    <m/>
    <m/>
    <m/>
    <m/>
  </r>
  <r>
    <x v="13"/>
    <s v="Brookhaven College (DCCCD)"/>
    <m/>
    <n v="223524"/>
    <x v="6"/>
    <n v="215235"/>
    <n v="203303"/>
    <n v="156792"/>
    <n v="141451"/>
    <n v="0"/>
    <n v="304"/>
    <n v="58254"/>
    <n v="0"/>
    <n v="189"/>
    <n v="61326"/>
    <n v="0"/>
    <n v="222"/>
    <m/>
    <m/>
    <n v="0"/>
    <n v="0"/>
    <m/>
    <m/>
    <m/>
    <m/>
    <m/>
    <m/>
    <m/>
    <m/>
    <m/>
    <m/>
    <m/>
    <m/>
  </r>
  <r>
    <x v="13"/>
    <s v="Central Texas College "/>
    <m/>
    <n v="223816"/>
    <x v="6"/>
    <n v="320494"/>
    <n v="315881"/>
    <n v="113758"/>
    <n v="104905"/>
    <n v="65167"/>
    <n v="62885"/>
    <n v="132464"/>
    <n v="900"/>
    <n v="8205"/>
    <n v="133580"/>
    <n v="927"/>
    <n v="13584"/>
    <m/>
    <m/>
    <n v="0"/>
    <n v="0"/>
    <m/>
    <m/>
    <m/>
    <m/>
    <m/>
    <m/>
    <m/>
    <m/>
    <m/>
    <m/>
    <m/>
    <m/>
  </r>
  <r>
    <x v="13"/>
    <s v="Collin County Community College District"/>
    <m/>
    <n v="247834"/>
    <x v="6"/>
    <n v="537272"/>
    <n v="536532"/>
    <n v="463367"/>
    <n v="450100"/>
    <n v="8126"/>
    <n v="10544"/>
    <n v="62020"/>
    <n v="0"/>
    <n v="3759"/>
    <n v="75283"/>
    <n v="0"/>
    <n v="605"/>
    <m/>
    <m/>
    <n v="0"/>
    <n v="0"/>
    <m/>
    <m/>
    <m/>
    <m/>
    <m/>
    <m/>
    <m/>
    <m/>
    <m/>
    <m/>
    <m/>
    <m/>
  </r>
  <r>
    <x v="13"/>
    <s v="Del Mar College "/>
    <m/>
    <n v="224350"/>
    <x v="6"/>
    <n v="230905"/>
    <n v="213538"/>
    <n v="206100"/>
    <n v="185679"/>
    <n v="4084"/>
    <n v="4562"/>
    <n v="20721"/>
    <n v="0"/>
    <n v="0"/>
    <n v="23297"/>
    <n v="0"/>
    <n v="0"/>
    <m/>
    <m/>
    <n v="0"/>
    <n v="0"/>
    <m/>
    <m/>
    <m/>
    <m/>
    <m/>
    <m/>
    <m/>
    <m/>
    <m/>
    <m/>
    <m/>
    <m/>
  </r>
  <r>
    <x v="13"/>
    <s v="Eastfield College (DCCCD)"/>
    <m/>
    <n v="224572"/>
    <x v="6"/>
    <n v="240809"/>
    <n v="231431"/>
    <n v="174704"/>
    <n v="160015"/>
    <n v="0"/>
    <n v="36"/>
    <n v="65714"/>
    <n v="0"/>
    <n v="391"/>
    <n v="71191"/>
    <n v="0"/>
    <n v="189"/>
    <m/>
    <m/>
    <n v="0"/>
    <n v="0"/>
    <m/>
    <m/>
    <m/>
    <m/>
    <m/>
    <m/>
    <m/>
    <m/>
    <m/>
    <m/>
    <m/>
    <m/>
  </r>
  <r>
    <x v="13"/>
    <s v="El Centro College  (DCCCD)"/>
    <m/>
    <n v="224615"/>
    <x v="6"/>
    <n v="189982"/>
    <n v="178390"/>
    <n v="143386"/>
    <n v="138003"/>
    <n v="396"/>
    <n v="972"/>
    <n v="45993"/>
    <n v="0"/>
    <n v="207"/>
    <n v="39352"/>
    <n v="0"/>
    <n v="63"/>
    <m/>
    <m/>
    <n v="0"/>
    <n v="0"/>
    <m/>
    <m/>
    <m/>
    <m/>
    <m/>
    <m/>
    <m/>
    <m/>
    <m/>
    <m/>
    <m/>
    <m/>
  </r>
  <r>
    <x v="13"/>
    <s v="El Paso County Community College District"/>
    <m/>
    <n v="224642"/>
    <x v="6"/>
    <n v="582326"/>
    <n v="575327"/>
    <n v="532206"/>
    <n v="489434"/>
    <n v="756"/>
    <n v="32666"/>
    <n v="47699"/>
    <n v="609"/>
    <n v="1056"/>
    <n v="52920"/>
    <n v="306"/>
    <n v="1"/>
    <m/>
    <m/>
    <n v="0"/>
    <n v="0"/>
    <m/>
    <m/>
    <m/>
    <m/>
    <m/>
    <m/>
    <m/>
    <m/>
    <m/>
    <m/>
    <m/>
    <m/>
  </r>
  <r>
    <x v="13"/>
    <s v="Houston Community College"/>
    <m/>
    <n v="225423"/>
    <x v="6"/>
    <n v="1183888"/>
    <n v="1132331"/>
    <n v="719731"/>
    <n v="611946"/>
    <n v="210567"/>
    <n v="221915"/>
    <n v="253166"/>
    <n v="0"/>
    <n v="424"/>
    <n v="297833"/>
    <n v="0"/>
    <n v="637"/>
    <m/>
    <m/>
    <n v="0"/>
    <n v="0"/>
    <m/>
    <m/>
    <m/>
    <m/>
    <m/>
    <m/>
    <m/>
    <m/>
    <m/>
    <m/>
    <m/>
    <m/>
  </r>
  <r>
    <x v="13"/>
    <s v="Kilgore College "/>
    <m/>
    <n v="226019"/>
    <x v="6"/>
    <n v="143080"/>
    <n v="133085"/>
    <n v="86688"/>
    <n v="77259"/>
    <n v="36858"/>
    <n v="34884"/>
    <n v="19534"/>
    <n v="0"/>
    <n v="0"/>
    <n v="19778"/>
    <n v="1164"/>
    <n v="0"/>
    <m/>
    <m/>
    <n v="0"/>
    <n v="0"/>
    <m/>
    <m/>
    <m/>
    <m/>
    <m/>
    <m/>
    <m/>
    <m/>
    <m/>
    <m/>
    <m/>
    <m/>
  </r>
  <r>
    <x v="13"/>
    <s v="Laredo Community College "/>
    <m/>
    <n v="226134"/>
    <x v="6"/>
    <n v="189535"/>
    <n v="178830"/>
    <n v="161229"/>
    <n v="150026"/>
    <n v="1458"/>
    <n v="3293"/>
    <n v="26281"/>
    <n v="567"/>
    <n v="0"/>
    <n v="24653"/>
    <n v="858"/>
    <n v="0"/>
    <m/>
    <m/>
    <n v="0"/>
    <n v="0"/>
    <m/>
    <m/>
    <m/>
    <m/>
    <m/>
    <m/>
    <m/>
    <m/>
    <m/>
    <m/>
    <m/>
    <m/>
  </r>
  <r>
    <x v="13"/>
    <s v="Lone Star College System District"/>
    <m/>
    <n v="227182"/>
    <x v="6"/>
    <n v="1153821"/>
    <n v="1228929"/>
    <n v="887196"/>
    <n v="889518"/>
    <n v="27885"/>
    <n v="51552"/>
    <n v="238655"/>
    <n v="0"/>
    <n v="85"/>
    <n v="287859"/>
    <n v="0"/>
    <n v="0"/>
    <m/>
    <m/>
    <n v="0"/>
    <n v="0"/>
    <m/>
    <m/>
    <m/>
    <m/>
    <m/>
    <m/>
    <m/>
    <m/>
    <m/>
    <m/>
    <m/>
    <m/>
  </r>
  <r>
    <x v="13"/>
    <s v="McLennan Community College "/>
    <m/>
    <n v="226578"/>
    <x v="6"/>
    <n v="225412"/>
    <n v="207265"/>
    <n v="165015"/>
    <n v="148166"/>
    <n v="15"/>
    <n v="30"/>
    <n v="59520"/>
    <n v="862"/>
    <n v="0"/>
    <n v="58113"/>
    <n v="956"/>
    <n v="0"/>
    <m/>
    <m/>
    <n v="0"/>
    <n v="0"/>
    <m/>
    <m/>
    <m/>
    <m/>
    <m/>
    <m/>
    <m/>
    <m/>
    <m/>
    <m/>
    <m/>
    <m/>
  </r>
  <r>
    <x v="13"/>
    <s v="Navarro College "/>
    <m/>
    <n v="227146"/>
    <x v="6"/>
    <n v="246587"/>
    <n v="233289"/>
    <n v="80758"/>
    <n v="78964"/>
    <n v="94975"/>
    <n v="86332"/>
    <n v="67642"/>
    <n v="55"/>
    <n v="3157"/>
    <n v="65875"/>
    <n v="8"/>
    <n v="2110"/>
    <m/>
    <m/>
    <n v="0"/>
    <n v="0"/>
    <m/>
    <m/>
    <m/>
    <m/>
    <m/>
    <m/>
    <m/>
    <m/>
    <m/>
    <m/>
    <m/>
    <m/>
  </r>
  <r>
    <x v="13"/>
    <s v="North Central Texas Community College"/>
    <m/>
    <n v="224110"/>
    <x v="6"/>
    <n v="185792"/>
    <n v="192734"/>
    <n v="31660"/>
    <n v="35102"/>
    <n v="128889"/>
    <n v="145817"/>
    <n v="24256"/>
    <n v="21"/>
    <n v="966"/>
    <n v="9741"/>
    <n v="1864"/>
    <n v="210"/>
    <m/>
    <m/>
    <n v="0"/>
    <n v="0"/>
    <m/>
    <m/>
    <m/>
    <m/>
    <m/>
    <m/>
    <m/>
    <m/>
    <m/>
    <m/>
    <m/>
    <m/>
  </r>
  <r>
    <x v="13"/>
    <s v="North Lake College (DCCCD)"/>
    <m/>
    <n v="227191"/>
    <x v="6"/>
    <n v="200661"/>
    <n v="179799"/>
    <n v="145362"/>
    <n v="129406"/>
    <n v="1827"/>
    <n v="1588"/>
    <n v="53364"/>
    <n v="0"/>
    <n v="108"/>
    <n v="48619"/>
    <n v="0"/>
    <n v="186"/>
    <m/>
    <m/>
    <n v="0"/>
    <n v="0"/>
    <m/>
    <m/>
    <m/>
    <m/>
    <m/>
    <m/>
    <m/>
    <m/>
    <m/>
    <m/>
    <m/>
    <m/>
  </r>
  <r>
    <x v="13"/>
    <s v="Northwest Vista College (ACCD)"/>
    <m/>
    <n v="420398"/>
    <x v="6"/>
    <n v="295974"/>
    <n v="287192"/>
    <n v="254345"/>
    <n v="225655"/>
    <n v="11515"/>
    <n v="23361"/>
    <n v="28227"/>
    <n v="0"/>
    <n v="1887"/>
    <n v="37723"/>
    <n v="0"/>
    <n v="453"/>
    <m/>
    <m/>
    <n v="0"/>
    <n v="0"/>
    <m/>
    <m/>
    <m/>
    <m/>
    <m/>
    <m/>
    <m/>
    <m/>
    <m/>
    <m/>
    <m/>
    <m/>
  </r>
  <r>
    <x v="13"/>
    <s v="Palo Alto College (ACCD)"/>
    <m/>
    <n v="246354"/>
    <x v="6"/>
    <n v="166284"/>
    <n v="147664"/>
    <n v="122662"/>
    <n v="90106"/>
    <n v="5427"/>
    <n v="10963"/>
    <n v="35730"/>
    <n v="0"/>
    <n v="2465"/>
    <n v="44342"/>
    <n v="321"/>
    <n v="1932"/>
    <m/>
    <m/>
    <n v="0"/>
    <n v="0"/>
    <m/>
    <m/>
    <m/>
    <m/>
    <m/>
    <m/>
    <m/>
    <m/>
    <m/>
    <m/>
    <m/>
    <m/>
  </r>
  <r>
    <x v="13"/>
    <s v="Richland College (DCCCD)"/>
    <m/>
    <n v="227766"/>
    <x v="6"/>
    <n v="352162"/>
    <n v="334835"/>
    <n v="257678"/>
    <n v="242398"/>
    <n v="92"/>
    <n v="21"/>
    <n v="94392"/>
    <n v="0"/>
    <n v="0"/>
    <n v="92416"/>
    <n v="0"/>
    <n v="0"/>
    <m/>
    <m/>
    <n v="0"/>
    <n v="0"/>
    <m/>
    <m/>
    <m/>
    <m/>
    <m/>
    <m/>
    <m/>
    <m/>
    <m/>
    <m/>
    <m/>
    <m/>
  </r>
  <r>
    <x v="13"/>
    <s v="San Antonio College (ACCD)"/>
    <m/>
    <n v="227924"/>
    <x v="6"/>
    <n v="498564"/>
    <n v="448554"/>
    <n v="429331"/>
    <n v="355604"/>
    <n v="8615"/>
    <n v="11198"/>
    <n v="56874"/>
    <n v="0"/>
    <n v="3744"/>
    <n v="81572"/>
    <n v="0"/>
    <n v="180"/>
    <m/>
    <m/>
    <n v="0"/>
    <n v="0"/>
    <m/>
    <m/>
    <m/>
    <m/>
    <m/>
    <m/>
    <m/>
    <m/>
    <m/>
    <m/>
    <m/>
    <m/>
  </r>
  <r>
    <x v="13"/>
    <s v="San Jacinto College"/>
    <m/>
    <n v="227979"/>
    <x v="6"/>
    <n v="600397"/>
    <n v="581532"/>
    <n v="479001"/>
    <n v="469103"/>
    <n v="10817"/>
    <n v="9537"/>
    <n v="110382"/>
    <n v="197"/>
    <n v="0"/>
    <n v="102892"/>
    <n v="0"/>
    <n v="0"/>
    <m/>
    <m/>
    <n v="0"/>
    <n v="0"/>
    <m/>
    <m/>
    <m/>
    <m/>
    <m/>
    <m/>
    <m/>
    <m/>
    <m/>
    <m/>
    <m/>
    <m/>
  </r>
  <r>
    <x v="13"/>
    <s v="South Plains College "/>
    <m/>
    <n v="228158"/>
    <x v="6"/>
    <n v="219143"/>
    <n v="206522"/>
    <n v="92008"/>
    <n v="87563"/>
    <n v="87807"/>
    <n v="82393"/>
    <n v="33425"/>
    <n v="2986"/>
    <n v="2917"/>
    <n v="31032"/>
    <n v="2866"/>
    <n v="2668"/>
    <m/>
    <m/>
    <n v="0"/>
    <n v="0"/>
    <m/>
    <m/>
    <m/>
    <m/>
    <m/>
    <m/>
    <m/>
    <m/>
    <m/>
    <m/>
    <m/>
    <m/>
  </r>
  <r>
    <x v="13"/>
    <s v="St. Philip's College (ACCD)"/>
    <m/>
    <n v="227854"/>
    <x v="6"/>
    <n v="198581"/>
    <n v="179304"/>
    <n v="169002"/>
    <n v="115636"/>
    <n v="5984"/>
    <n v="13439"/>
    <n v="22694"/>
    <n v="0"/>
    <n v="901"/>
    <n v="49980"/>
    <n v="0"/>
    <n v="249"/>
    <m/>
    <m/>
    <n v="0"/>
    <n v="0"/>
    <m/>
    <m/>
    <m/>
    <m/>
    <m/>
    <m/>
    <m/>
    <m/>
    <m/>
    <m/>
    <m/>
    <m/>
  </r>
  <r>
    <x v="13"/>
    <s v="Tarrant County College"/>
    <m/>
    <n v="228547"/>
    <x v="6"/>
    <n v="972659"/>
    <n v="973255"/>
    <n v="779370"/>
    <n v="766503"/>
    <n v="16541"/>
    <n v="33371"/>
    <n v="154554"/>
    <n v="0"/>
    <n v="22194"/>
    <n v="158909"/>
    <n v="0"/>
    <n v="14472"/>
    <m/>
    <m/>
    <n v="0"/>
    <n v="0"/>
    <m/>
    <m/>
    <m/>
    <m/>
    <m/>
    <m/>
    <m/>
    <m/>
    <m/>
    <m/>
    <m/>
    <m/>
  </r>
  <r>
    <x v="13"/>
    <s v="Texas Southmost College "/>
    <s v="Met criteria for Two-Year 2 in 2012-13."/>
    <n v="229072"/>
    <x v="6"/>
    <n v="193366"/>
    <n v="137032"/>
    <n v="180660"/>
    <n v="127979"/>
    <n v="2953"/>
    <n v="3512"/>
    <n v="9753"/>
    <n v="0"/>
    <n v="0"/>
    <n v="5541"/>
    <n v="0"/>
    <n v="0"/>
    <m/>
    <m/>
    <n v="0"/>
    <n v="0"/>
    <m/>
    <m/>
    <m/>
    <m/>
    <m/>
    <m/>
    <m/>
    <m/>
    <m/>
    <m/>
    <m/>
    <m/>
  </r>
  <r>
    <x v="13"/>
    <s v="Texas State Technical College-Waco"/>
    <s v="Met criteria for Two-Year 2 in 2012-13."/>
    <n v="228680"/>
    <x v="6"/>
    <n v="152796"/>
    <n v="134905"/>
    <n v="137303"/>
    <n v="121811"/>
    <n v="6521"/>
    <n v="5983"/>
    <n v="8972"/>
    <n v="0"/>
    <n v="0"/>
    <n v="7111"/>
    <n v="0"/>
    <n v="0"/>
    <m/>
    <m/>
    <n v="0"/>
    <n v="0"/>
    <m/>
    <m/>
    <m/>
    <m/>
    <m/>
    <m/>
    <m/>
    <m/>
    <m/>
    <m/>
    <m/>
    <m/>
  </r>
  <r>
    <x v="13"/>
    <s v="Trinity Valley Community College"/>
    <m/>
    <n v="225308"/>
    <x v="6"/>
    <n v="167830"/>
    <n v="156735"/>
    <n v="95900"/>
    <n v="93259"/>
    <n v="42624"/>
    <n v="29871"/>
    <n v="29159"/>
    <n v="147"/>
    <n v="0"/>
    <n v="33605"/>
    <n v="0"/>
    <n v="0"/>
    <m/>
    <m/>
    <n v="0"/>
    <n v="0"/>
    <m/>
    <m/>
    <m/>
    <m/>
    <m/>
    <m/>
    <m/>
    <m/>
    <m/>
    <m/>
    <m/>
    <m/>
  </r>
  <r>
    <x v="13"/>
    <s v="Tyler Junior College "/>
    <m/>
    <n v="229355"/>
    <x v="6"/>
    <n v="259782"/>
    <n v="239480"/>
    <n v="186994"/>
    <n v="171232"/>
    <n v="1355"/>
    <n v="3628"/>
    <n v="71085"/>
    <n v="0"/>
    <n v="348"/>
    <n v="64422"/>
    <n v="0"/>
    <n v="198"/>
    <m/>
    <m/>
    <n v="0"/>
    <n v="0"/>
    <m/>
    <m/>
    <m/>
    <m/>
    <m/>
    <m/>
    <m/>
    <m/>
    <m/>
    <m/>
    <m/>
    <m/>
  </r>
  <r>
    <x v="13"/>
    <s v="Alvin Community College "/>
    <m/>
    <n v="222567"/>
    <x v="7"/>
    <n v="106578"/>
    <n v="101785"/>
    <n v="88842"/>
    <n v="84719"/>
    <n v="17736"/>
    <n v="17066"/>
    <n v="0"/>
    <n v="0"/>
    <n v="0"/>
    <n v="0"/>
    <n v="0"/>
    <n v="0"/>
    <m/>
    <m/>
    <n v="0"/>
    <n v="0"/>
    <m/>
    <m/>
    <m/>
    <m/>
    <m/>
    <m/>
    <m/>
    <m/>
    <m/>
    <m/>
    <m/>
    <m/>
  </r>
  <r>
    <x v="13"/>
    <s v="Angelina College "/>
    <m/>
    <n v="222822"/>
    <x v="7"/>
    <n v="113896"/>
    <n v="106118"/>
    <n v="72306"/>
    <n v="64018"/>
    <n v="13237"/>
    <n v="10232"/>
    <n v="20104"/>
    <n v="8189"/>
    <n v="60"/>
    <n v="21357"/>
    <n v="10511"/>
    <n v="0"/>
    <m/>
    <m/>
    <n v="0"/>
    <n v="0"/>
    <m/>
    <m/>
    <m/>
    <m/>
    <m/>
    <m/>
    <m/>
    <m/>
    <m/>
    <m/>
    <m/>
    <m/>
  </r>
  <r>
    <x v="13"/>
    <s v="Cedar Valley College (DCCCD)"/>
    <m/>
    <n v="223773"/>
    <x v="7"/>
    <n v="111968"/>
    <n v="101285"/>
    <n v="71640"/>
    <n v="60179"/>
    <n v="1572"/>
    <n v="1679"/>
    <n v="38756"/>
    <n v="0"/>
    <n v="0"/>
    <n v="39427"/>
    <n v="0"/>
    <n v="0"/>
    <m/>
    <m/>
    <n v="0"/>
    <n v="0"/>
    <m/>
    <m/>
    <m/>
    <m/>
    <m/>
    <m/>
    <m/>
    <m/>
    <m/>
    <m/>
    <m/>
    <m/>
  </r>
  <r>
    <x v="13"/>
    <s v="Cisco Junior College "/>
    <m/>
    <n v="223898"/>
    <x v="7"/>
    <n v="94568"/>
    <n v="83959"/>
    <n v="15015"/>
    <n v="13080"/>
    <n v="56714"/>
    <n v="48195"/>
    <n v="21567"/>
    <n v="1272"/>
    <n v="0"/>
    <n v="21721"/>
    <n v="959"/>
    <n v="4"/>
    <m/>
    <m/>
    <n v="0"/>
    <n v="0"/>
    <m/>
    <m/>
    <m/>
    <m/>
    <m/>
    <m/>
    <m/>
    <m/>
    <m/>
    <m/>
    <m/>
    <m/>
  </r>
  <r>
    <x v="13"/>
    <s v="Coastal Bend College"/>
    <m/>
    <n v="223320"/>
    <x v="7"/>
    <n v="79616"/>
    <n v="70874"/>
    <n v="22969"/>
    <n v="20136"/>
    <n v="35841"/>
    <n v="29173"/>
    <n v="13390"/>
    <n v="4902"/>
    <n v="2514"/>
    <n v="15279"/>
    <n v="4435"/>
    <n v="1851"/>
    <m/>
    <m/>
    <n v="0"/>
    <n v="0"/>
    <m/>
    <m/>
    <m/>
    <m/>
    <m/>
    <m/>
    <m/>
    <m/>
    <m/>
    <m/>
    <m/>
    <m/>
  </r>
  <r>
    <x v="13"/>
    <s v="College of the Mainland"/>
    <m/>
    <n v="226408"/>
    <x v="7"/>
    <n v="87306"/>
    <n v="82382"/>
    <n v="80631"/>
    <n v="74828"/>
    <n v="6675"/>
    <n v="7554"/>
    <n v="0"/>
    <n v="0"/>
    <n v="0"/>
    <n v="0"/>
    <n v="0"/>
    <n v="0"/>
    <m/>
    <m/>
    <n v="0"/>
    <n v="0"/>
    <m/>
    <m/>
    <m/>
    <m/>
    <m/>
    <m/>
    <m/>
    <m/>
    <m/>
    <m/>
    <m/>
    <m/>
  </r>
  <r>
    <x v="13"/>
    <s v="Grayson County College "/>
    <m/>
    <n v="225070"/>
    <x v="7"/>
    <n v="116342"/>
    <n v="105481"/>
    <n v="78792"/>
    <n v="66925"/>
    <n v="2249"/>
    <n v="3170"/>
    <n v="33174"/>
    <n v="0"/>
    <n v="2127"/>
    <n v="32977"/>
    <n v="0"/>
    <n v="2409"/>
    <m/>
    <m/>
    <n v="0"/>
    <n v="0"/>
    <m/>
    <m/>
    <m/>
    <m/>
    <m/>
    <m/>
    <m/>
    <m/>
    <m/>
    <m/>
    <m/>
    <m/>
  </r>
  <r>
    <x v="13"/>
    <s v="Hill College"/>
    <m/>
    <n v="225371"/>
    <x v="7"/>
    <n v="94640"/>
    <n v="93796"/>
    <n v="20672"/>
    <n v="22891"/>
    <n v="40614"/>
    <n v="35526"/>
    <n v="31389"/>
    <n v="1965"/>
    <n v="0"/>
    <n v="33849"/>
    <n v="1530"/>
    <n v="0"/>
    <m/>
    <m/>
    <n v="0"/>
    <n v="0"/>
    <m/>
    <m/>
    <m/>
    <m/>
    <m/>
    <m/>
    <m/>
    <m/>
    <m/>
    <m/>
    <m/>
    <m/>
  </r>
  <r>
    <x v="13"/>
    <s v="Howard College (HCJCD)"/>
    <m/>
    <n v="225520"/>
    <x v="7"/>
    <n v="87037"/>
    <n v="80850"/>
    <n v="19185"/>
    <n v="18676"/>
    <n v="38301"/>
    <n v="34411"/>
    <n v="24526"/>
    <n v="4773"/>
    <n v="252"/>
    <n v="23688"/>
    <n v="3802"/>
    <n v="273"/>
    <m/>
    <m/>
    <n v="0"/>
    <n v="0"/>
    <m/>
    <m/>
    <m/>
    <m/>
    <m/>
    <m/>
    <m/>
    <m/>
    <m/>
    <m/>
    <m/>
    <m/>
  </r>
  <r>
    <x v="13"/>
    <s v="Lamar Institute of Technology"/>
    <m/>
    <n v="441760"/>
    <x v="7"/>
    <n v="64380"/>
    <n v="59358"/>
    <n v="60737"/>
    <n v="54170"/>
    <n v="1462"/>
    <n v="1735"/>
    <n v="2136"/>
    <n v="45"/>
    <n v="0"/>
    <n v="3381"/>
    <n v="66"/>
    <n v="6"/>
    <m/>
    <m/>
    <n v="0"/>
    <n v="0"/>
    <m/>
    <m/>
    <m/>
    <m/>
    <m/>
    <m/>
    <m/>
    <m/>
    <m/>
    <m/>
    <m/>
    <m/>
  </r>
  <r>
    <x v="13"/>
    <s v="Lamar State College-Port Arthur"/>
    <s v="Reclassified: Met the criteria for Two-Year 2 in 2010-11, 2011-12, and 2012-13."/>
    <n v="226116"/>
    <x v="7"/>
    <n v="59265"/>
    <n v="61749"/>
    <n v="40622"/>
    <n v="38109"/>
    <n v="5436"/>
    <n v="4813"/>
    <n v="13207"/>
    <n v="0"/>
    <n v="0"/>
    <n v="18827"/>
    <n v="0"/>
    <n v="0"/>
    <m/>
    <m/>
    <n v="0"/>
    <n v="0"/>
    <m/>
    <m/>
    <m/>
    <m/>
    <m/>
    <m/>
    <m/>
    <m/>
    <m/>
    <m/>
    <m/>
    <m/>
  </r>
  <r>
    <x v="13"/>
    <s v="Lee College "/>
    <m/>
    <n v="226204"/>
    <x v="7"/>
    <n v="140128"/>
    <n v="126903"/>
    <n v="108264"/>
    <n v="91070"/>
    <n v="16754"/>
    <n v="18009"/>
    <n v="14790"/>
    <n v="0"/>
    <n v="320"/>
    <n v="17824"/>
    <n v="0"/>
    <n v="0"/>
    <m/>
    <m/>
    <n v="0"/>
    <n v="0"/>
    <m/>
    <m/>
    <m/>
    <m/>
    <m/>
    <m/>
    <m/>
    <m/>
    <m/>
    <m/>
    <m/>
    <m/>
  </r>
  <r>
    <x v="13"/>
    <s v="Mountain View College  (DCCCD)"/>
    <m/>
    <n v="226930"/>
    <x v="7"/>
    <n v="146492"/>
    <n v="141205"/>
    <n v="111995"/>
    <n v="103999"/>
    <n v="0"/>
    <n v="0"/>
    <n v="34497"/>
    <n v="0"/>
    <n v="0"/>
    <n v="37206"/>
    <n v="0"/>
    <n v="0"/>
    <m/>
    <m/>
    <n v="0"/>
    <n v="0"/>
    <m/>
    <m/>
    <m/>
    <m/>
    <m/>
    <m/>
    <m/>
    <m/>
    <m/>
    <m/>
    <m/>
    <m/>
  </r>
  <r>
    <x v="13"/>
    <s v="Northeast Texas Community College "/>
    <m/>
    <n v="227225"/>
    <x v="7"/>
    <n v="72602"/>
    <n v="71053"/>
    <n v="54188"/>
    <n v="56145"/>
    <n v="1129"/>
    <n v="1086"/>
    <n v="17027"/>
    <n v="258"/>
    <n v="0"/>
    <n v="13822"/>
    <n v="0"/>
    <n v="0"/>
    <m/>
    <m/>
    <n v="0"/>
    <n v="0"/>
    <m/>
    <m/>
    <m/>
    <m/>
    <m/>
    <m/>
    <m/>
    <m/>
    <m/>
    <m/>
    <m/>
    <m/>
  </r>
  <r>
    <x v="13"/>
    <s v="Odessa College "/>
    <m/>
    <n v="227304"/>
    <x v="7"/>
    <n v="98768"/>
    <n v="93640"/>
    <n v="59110"/>
    <n v="51467"/>
    <n v="6877"/>
    <n v="8071"/>
    <n v="32466"/>
    <n v="315"/>
    <n v="0"/>
    <n v="34102"/>
    <n v="0"/>
    <n v="0"/>
    <m/>
    <m/>
    <n v="0"/>
    <n v="0"/>
    <m/>
    <m/>
    <m/>
    <m/>
    <m/>
    <m/>
    <m/>
    <m/>
    <m/>
    <m/>
    <m/>
    <m/>
  </r>
  <r>
    <x v="13"/>
    <s v="Paris Junior College"/>
    <m/>
    <n v="227401"/>
    <x v="7"/>
    <n v="131884"/>
    <n v="121470"/>
    <n v="50395"/>
    <n v="44355"/>
    <n v="41866"/>
    <n v="40005"/>
    <n v="36365"/>
    <n v="3258"/>
    <n v="0"/>
    <n v="34029"/>
    <n v="3081"/>
    <n v="0"/>
    <m/>
    <m/>
    <n v="0"/>
    <n v="0"/>
    <m/>
    <m/>
    <m/>
    <m/>
    <m/>
    <m/>
    <m/>
    <m/>
    <m/>
    <m/>
    <m/>
    <m/>
  </r>
  <r>
    <x v="13"/>
    <s v="Southwest Texas Junior College "/>
    <m/>
    <n v="228316"/>
    <x v="7"/>
    <n v="111605"/>
    <n v="104546"/>
    <n v="31767"/>
    <n v="28843"/>
    <n v="52200"/>
    <n v="49291"/>
    <n v="9529"/>
    <n v="18109"/>
    <n v="0"/>
    <n v="9991"/>
    <n v="16421"/>
    <n v="0"/>
    <m/>
    <m/>
    <n v="0"/>
    <n v="0"/>
    <m/>
    <m/>
    <m/>
    <m/>
    <m/>
    <m/>
    <m/>
    <m/>
    <m/>
    <m/>
    <m/>
    <m/>
  </r>
  <r>
    <x v="13"/>
    <s v="Temple College "/>
    <m/>
    <n v="228608"/>
    <x v="7"/>
    <n v="121557"/>
    <n v="113632"/>
    <n v="68990"/>
    <n v="62408"/>
    <n v="16971"/>
    <n v="14882"/>
    <n v="35556"/>
    <n v="40"/>
    <n v="0"/>
    <n v="36198"/>
    <n v="144"/>
    <n v="0"/>
    <m/>
    <m/>
    <n v="0"/>
    <n v="0"/>
    <m/>
    <m/>
    <m/>
    <m/>
    <m/>
    <m/>
    <m/>
    <m/>
    <m/>
    <m/>
    <m/>
    <m/>
  </r>
  <r>
    <x v="13"/>
    <s v="Texarkana College "/>
    <m/>
    <n v="228699"/>
    <x v="7"/>
    <n v="87487"/>
    <n v="77548"/>
    <n v="72119"/>
    <n v="56987"/>
    <n v="9863"/>
    <n v="12841"/>
    <n v="5478"/>
    <n v="0"/>
    <n v="27"/>
    <n v="7720"/>
    <n v="0"/>
    <n v="0"/>
    <m/>
    <m/>
    <n v="0"/>
    <n v="0"/>
    <m/>
    <m/>
    <m/>
    <m/>
    <m/>
    <m/>
    <m/>
    <m/>
    <m/>
    <m/>
    <m/>
    <m/>
  </r>
  <r>
    <x v="13"/>
    <s v="Texas State Technical College-Harlingen "/>
    <m/>
    <n v="229319"/>
    <x v="7"/>
    <n v="130391"/>
    <n v="120750"/>
    <n v="112274"/>
    <n v="107884"/>
    <n v="3901"/>
    <n v="1417"/>
    <n v="13622"/>
    <n v="594"/>
    <n v="0"/>
    <n v="11281"/>
    <n v="168"/>
    <n v="0"/>
    <m/>
    <m/>
    <n v="0"/>
    <n v="0"/>
    <m/>
    <m/>
    <m/>
    <m/>
    <m/>
    <m/>
    <m/>
    <m/>
    <m/>
    <m/>
    <m/>
    <m/>
  </r>
  <r>
    <x v="13"/>
    <s v="Vernon College "/>
    <m/>
    <n v="229504"/>
    <x v="7"/>
    <n v="67579"/>
    <n v="65288"/>
    <n v="9555"/>
    <n v="8966"/>
    <n v="32035"/>
    <n v="30651"/>
    <n v="19314"/>
    <n v="6675"/>
    <n v="0"/>
    <n v="21011"/>
    <n v="4660"/>
    <n v="0"/>
    <m/>
    <m/>
    <n v="0"/>
    <n v="0"/>
    <m/>
    <m/>
    <m/>
    <m/>
    <m/>
    <m/>
    <m/>
    <m/>
    <m/>
    <m/>
    <m/>
    <m/>
  </r>
  <r>
    <x v="13"/>
    <s v="Victoria College "/>
    <m/>
    <n v="229540"/>
    <x v="7"/>
    <n v="85982"/>
    <n v="82509"/>
    <n v="56496"/>
    <n v="53571"/>
    <n v="5620"/>
    <n v="5486"/>
    <n v="20026"/>
    <n v="3791"/>
    <n v="49"/>
    <n v="19957"/>
    <n v="3495"/>
    <n v="0"/>
    <m/>
    <m/>
    <n v="0"/>
    <n v="0"/>
    <m/>
    <m/>
    <m/>
    <m/>
    <m/>
    <m/>
    <m/>
    <m/>
    <m/>
    <m/>
    <m/>
    <m/>
  </r>
  <r>
    <x v="13"/>
    <s v="Weatherford College "/>
    <m/>
    <n v="229799"/>
    <x v="7"/>
    <n v="115097"/>
    <n v="112643"/>
    <n v="74383"/>
    <n v="63863"/>
    <n v="12841"/>
    <n v="15682"/>
    <n v="25791"/>
    <n v="2082"/>
    <n v="0"/>
    <n v="30401"/>
    <n v="2697"/>
    <n v="0"/>
    <m/>
    <m/>
    <n v="0"/>
    <n v="0"/>
    <m/>
    <m/>
    <m/>
    <m/>
    <m/>
    <m/>
    <m/>
    <m/>
    <m/>
    <m/>
    <m/>
    <m/>
  </r>
  <r>
    <x v="13"/>
    <s v="Wharton County Junior College "/>
    <m/>
    <n v="229841"/>
    <x v="7"/>
    <n v="147021"/>
    <n v="148029"/>
    <n v="44106"/>
    <n v="44079"/>
    <n v="79773"/>
    <n v="78984"/>
    <n v="20481"/>
    <n v="2661"/>
    <n v="0"/>
    <n v="22013"/>
    <n v="2953"/>
    <n v="0"/>
    <m/>
    <m/>
    <n v="0"/>
    <n v="0"/>
    <m/>
    <m/>
    <m/>
    <m/>
    <m/>
    <m/>
    <m/>
    <m/>
    <m/>
    <m/>
    <m/>
    <m/>
  </r>
  <r>
    <x v="13"/>
    <s v="Clarendon College "/>
    <m/>
    <n v="223922"/>
    <x v="8"/>
    <n v="34696"/>
    <n v="30746"/>
    <n v="11028"/>
    <n v="9655"/>
    <n v="13298"/>
    <n v="10955"/>
    <n v="9736"/>
    <n v="634"/>
    <n v="0"/>
    <n v="9471"/>
    <n v="665"/>
    <n v="0"/>
    <m/>
    <m/>
    <n v="0"/>
    <n v="0"/>
    <m/>
    <m/>
    <m/>
    <m/>
    <m/>
    <m/>
    <m/>
    <m/>
    <m/>
    <m/>
    <m/>
    <m/>
  </r>
  <r>
    <x v="13"/>
    <s v="Frank Phillips College "/>
    <m/>
    <n v="224891"/>
    <x v="8"/>
    <n v="22512"/>
    <n v="21989"/>
    <n v="16689"/>
    <n v="15618"/>
    <n v="1635"/>
    <n v="1930"/>
    <n v="1408"/>
    <n v="0"/>
    <n v="2780"/>
    <n v="1138"/>
    <n v="0"/>
    <n v="3303"/>
    <m/>
    <m/>
    <n v="0"/>
    <n v="0"/>
    <m/>
    <m/>
    <m/>
    <m/>
    <m/>
    <m/>
    <m/>
    <m/>
    <m/>
    <m/>
    <m/>
    <m/>
  </r>
  <r>
    <x v="13"/>
    <s v="Galveston College "/>
    <m/>
    <n v="224961"/>
    <x v="8"/>
    <n v="47892"/>
    <n v="45992"/>
    <n v="47375"/>
    <n v="45504"/>
    <n v="421"/>
    <n v="390"/>
    <n v="0"/>
    <n v="0"/>
    <n v="96"/>
    <n v="8"/>
    <n v="0"/>
    <n v="90"/>
    <m/>
    <m/>
    <n v="0"/>
    <n v="0"/>
    <m/>
    <m/>
    <m/>
    <m/>
    <m/>
    <m/>
    <m/>
    <m/>
    <m/>
    <m/>
    <m/>
    <m/>
  </r>
  <r>
    <x v="13"/>
    <s v="Lamar State College-Orange"/>
    <m/>
    <n v="226107"/>
    <x v="8"/>
    <n v="56026"/>
    <n v="51850"/>
    <n v="50964"/>
    <n v="38903"/>
    <n v="0"/>
    <n v="2876"/>
    <n v="5020"/>
    <n v="42"/>
    <n v="0"/>
    <n v="9831"/>
    <n v="240"/>
    <n v="0"/>
    <m/>
    <m/>
    <n v="0"/>
    <n v="0"/>
    <m/>
    <m/>
    <m/>
    <m/>
    <m/>
    <m/>
    <m/>
    <m/>
    <m/>
    <m/>
    <m/>
    <m/>
  </r>
  <r>
    <x v="13"/>
    <s v="Northeast Lakeview College (ACCD)"/>
    <m/>
    <s v="???"/>
    <x v="8"/>
    <n v="13926"/>
    <n v="10054"/>
    <n v="13926"/>
    <n v="10030"/>
    <n v="0"/>
    <n v="0"/>
    <n v="0"/>
    <n v="0"/>
    <n v="0"/>
    <n v="24"/>
    <n v="0"/>
    <n v="0"/>
    <m/>
    <m/>
    <n v="0"/>
    <n v="0"/>
    <m/>
    <m/>
    <m/>
    <m/>
    <m/>
    <m/>
    <m/>
    <m/>
    <m/>
    <m/>
    <m/>
    <m/>
  </r>
  <r>
    <x v="13"/>
    <s v="Panola College"/>
    <m/>
    <n v="227386"/>
    <x v="8"/>
    <n v="51046"/>
    <n v="53886"/>
    <n v="26443"/>
    <n v="25410"/>
    <n v="8014"/>
    <n v="8601"/>
    <n v="15623"/>
    <n v="966"/>
    <n v="0"/>
    <n v="18746"/>
    <n v="1129"/>
    <n v="0"/>
    <m/>
    <m/>
    <n v="0"/>
    <n v="0"/>
    <m/>
    <m/>
    <m/>
    <m/>
    <m/>
    <m/>
    <m/>
    <m/>
    <m/>
    <m/>
    <m/>
    <m/>
  </r>
  <r>
    <x v="13"/>
    <s v="Ranger College "/>
    <m/>
    <n v="227687"/>
    <x v="8"/>
    <n v="34840"/>
    <n v="40760"/>
    <n v="11537"/>
    <n v="12915"/>
    <n v="14855"/>
    <n v="16455"/>
    <n v="6288"/>
    <n v="2022"/>
    <n v="138"/>
    <n v="8271"/>
    <n v="2897"/>
    <n v="222"/>
    <m/>
    <m/>
    <n v="0"/>
    <n v="0"/>
    <m/>
    <m/>
    <m/>
    <m/>
    <m/>
    <m/>
    <m/>
    <m/>
    <m/>
    <m/>
    <m/>
    <m/>
  </r>
  <r>
    <x v="13"/>
    <s v="Southwest Collegiate Institute for the Deaf (HCJCD)"/>
    <m/>
    <n v="382911"/>
    <x v="8"/>
    <n v="2719"/>
    <n v="2944"/>
    <n v="2589"/>
    <n v="2902"/>
    <n v="20"/>
    <n v="0"/>
    <n v="101"/>
    <n v="9"/>
    <n v="0"/>
    <n v="36"/>
    <n v="6"/>
    <n v="0"/>
    <m/>
    <m/>
    <n v="0"/>
    <n v="0"/>
    <m/>
    <m/>
    <m/>
    <m/>
    <m/>
    <m/>
    <m/>
    <m/>
    <m/>
    <m/>
    <m/>
    <m/>
  </r>
  <r>
    <x v="13"/>
    <s v="Texas State Technical College-Marshall"/>
    <m/>
    <n v="408394"/>
    <x v="8"/>
    <n v="21457"/>
    <n v="18867"/>
    <n v="13718"/>
    <n v="12494"/>
    <n v="751"/>
    <n v="790"/>
    <n v="6988"/>
    <n v="0"/>
    <n v="0"/>
    <n v="5583"/>
    <n v="0"/>
    <n v="0"/>
    <m/>
    <m/>
    <n v="0"/>
    <n v="0"/>
    <m/>
    <m/>
    <m/>
    <m/>
    <m/>
    <m/>
    <m/>
    <m/>
    <m/>
    <m/>
    <m/>
    <m/>
  </r>
  <r>
    <x v="13"/>
    <s v="Texas State Technical College-West Texas"/>
    <m/>
    <n v="229328"/>
    <x v="8"/>
    <n v="25208"/>
    <n v="23595"/>
    <n v="6827"/>
    <n v="6909"/>
    <n v="6219"/>
    <n v="5033"/>
    <n v="12162"/>
    <n v="0"/>
    <n v="0"/>
    <n v="11653"/>
    <n v="0"/>
    <n v="0"/>
    <m/>
    <m/>
    <n v="0"/>
    <n v="0"/>
    <m/>
    <m/>
    <m/>
    <m/>
    <m/>
    <m/>
    <m/>
    <m/>
    <m/>
    <m/>
    <m/>
    <m/>
  </r>
  <r>
    <x v="13"/>
    <s v="Western Texas College "/>
    <m/>
    <n v="229832"/>
    <x v="8"/>
    <n v="46461"/>
    <n v="46987"/>
    <n v="13504"/>
    <n v="14133"/>
    <n v="8551"/>
    <n v="7759"/>
    <n v="19717"/>
    <n v="4524"/>
    <n v="165"/>
    <n v="21613"/>
    <n v="3476"/>
    <n v="6"/>
    <m/>
    <m/>
    <n v="0"/>
    <n v="0"/>
    <m/>
    <m/>
    <m/>
    <m/>
    <m/>
    <m/>
    <m/>
    <m/>
    <m/>
    <m/>
    <m/>
    <m/>
  </r>
  <r>
    <x v="13"/>
    <s v="Texas A &amp; M Health Science Center"/>
    <m/>
    <n v="223214"/>
    <x v="11"/>
    <n v="0"/>
    <n v="0"/>
    <m/>
    <m/>
    <m/>
    <m/>
    <m/>
    <m/>
    <m/>
    <m/>
    <m/>
    <m/>
    <m/>
    <m/>
    <n v="0"/>
    <n v="0"/>
    <m/>
    <m/>
    <m/>
    <m/>
    <m/>
    <m/>
    <m/>
    <m/>
    <m/>
    <m/>
    <m/>
    <m/>
  </r>
  <r>
    <x v="13"/>
    <s v="Texas Tech University Health Sciences Center"/>
    <m/>
    <n v="229337"/>
    <x v="11"/>
    <n v="0"/>
    <n v="0"/>
    <m/>
    <m/>
    <m/>
    <m/>
    <m/>
    <m/>
    <m/>
    <m/>
    <m/>
    <m/>
    <m/>
    <m/>
    <n v="0"/>
    <n v="0"/>
    <m/>
    <m/>
    <m/>
    <m/>
    <m/>
    <m/>
    <m/>
    <m/>
    <m/>
    <m/>
    <m/>
    <m/>
  </r>
  <r>
    <x v="13"/>
    <s v="University of North Texas Health Science Center at Fort Worth"/>
    <m/>
    <n v="228909"/>
    <x v="11"/>
    <n v="0"/>
    <n v="0"/>
    <m/>
    <m/>
    <m/>
    <m/>
    <m/>
    <m/>
    <m/>
    <m/>
    <m/>
    <m/>
    <m/>
    <m/>
    <n v="0"/>
    <n v="0"/>
    <m/>
    <m/>
    <m/>
    <m/>
    <m/>
    <m/>
    <m/>
    <m/>
    <m/>
    <m/>
    <m/>
    <m/>
  </r>
  <r>
    <x v="13"/>
    <s v="University of Texas Health Science Center at Houston"/>
    <m/>
    <n v="229300"/>
    <x v="11"/>
    <n v="0"/>
    <n v="0"/>
    <m/>
    <m/>
    <m/>
    <m/>
    <m/>
    <m/>
    <m/>
    <m/>
    <m/>
    <m/>
    <m/>
    <m/>
    <n v="0"/>
    <n v="0"/>
    <m/>
    <m/>
    <m/>
    <m/>
    <m/>
    <m/>
    <m/>
    <m/>
    <m/>
    <m/>
    <m/>
    <m/>
  </r>
  <r>
    <x v="13"/>
    <s v="University of Texas Health Science Center at San Antonio"/>
    <m/>
    <n v="228644"/>
    <x v="11"/>
    <n v="0"/>
    <n v="0"/>
    <m/>
    <m/>
    <m/>
    <m/>
    <m/>
    <m/>
    <m/>
    <m/>
    <m/>
    <m/>
    <m/>
    <m/>
    <n v="0"/>
    <n v="0"/>
    <m/>
    <m/>
    <m/>
    <m/>
    <m/>
    <m/>
    <m/>
    <m/>
    <m/>
    <m/>
    <m/>
    <m/>
  </r>
  <r>
    <x v="13"/>
    <s v="University of Texas M.D. Anderson Cancer Center"/>
    <m/>
    <n v="416801"/>
    <x v="11"/>
    <n v="0"/>
    <n v="0"/>
    <m/>
    <m/>
    <m/>
    <m/>
    <m/>
    <m/>
    <m/>
    <m/>
    <m/>
    <m/>
    <m/>
    <m/>
    <n v="0"/>
    <n v="0"/>
    <m/>
    <m/>
    <m/>
    <m/>
    <m/>
    <m/>
    <m/>
    <m/>
    <m/>
    <m/>
    <m/>
    <m/>
  </r>
  <r>
    <x v="13"/>
    <s v="University of Texas Medical Branch at Galveston"/>
    <m/>
    <n v="228653"/>
    <x v="11"/>
    <n v="0"/>
    <n v="0"/>
    <m/>
    <m/>
    <m/>
    <m/>
    <m/>
    <m/>
    <m/>
    <m/>
    <m/>
    <m/>
    <m/>
    <m/>
    <n v="0"/>
    <n v="0"/>
    <m/>
    <m/>
    <m/>
    <m/>
    <m/>
    <m/>
    <m/>
    <m/>
    <m/>
    <m/>
    <m/>
    <m/>
  </r>
  <r>
    <x v="13"/>
    <s v="University of Texas Southwestern Medical Center at Dallas"/>
    <m/>
    <n v="228635"/>
    <x v="11"/>
    <n v="0"/>
    <n v="0"/>
    <m/>
    <m/>
    <m/>
    <m/>
    <m/>
    <m/>
    <m/>
    <m/>
    <m/>
    <m/>
    <m/>
    <m/>
    <n v="0"/>
    <n v="0"/>
    <m/>
    <m/>
    <m/>
    <m/>
    <m/>
    <m/>
    <m/>
    <m/>
    <m/>
    <m/>
    <m/>
    <m/>
  </r>
  <r>
    <x v="13"/>
    <s v="University of North Texas at Dallas"/>
    <s v="New fall 2009. No degrees yet granted."/>
    <s v="???"/>
    <x v="14"/>
    <n v="31544"/>
    <n v="33373"/>
    <n v="30845"/>
    <n v="31969"/>
    <n v="228"/>
    <n v="552"/>
    <n v="471"/>
    <n v="0"/>
    <n v="0"/>
    <n v="852"/>
    <m/>
    <m/>
    <m/>
    <m/>
    <n v="3852"/>
    <n v="4149"/>
    <n v="3765"/>
    <n v="3876"/>
    <n v="48"/>
    <n v="0"/>
    <n v="39"/>
    <n v="0"/>
    <n v="0"/>
    <n v="273"/>
    <m/>
    <n v="0"/>
    <m/>
    <m/>
  </r>
  <r>
    <x v="14"/>
    <s v="George Mason University "/>
    <m/>
    <n v="232186"/>
    <x v="0"/>
    <n v="570979.5"/>
    <n v="586721.5"/>
    <n v="534505"/>
    <n v="535411"/>
    <n v="16202.5"/>
    <n v="23163.5"/>
    <n v="17092"/>
    <n v="3180"/>
    <m/>
    <n v="24148"/>
    <n v="3999"/>
    <m/>
    <m/>
    <m/>
    <n v="177232.5"/>
    <n v="175857"/>
    <n v="136496.5"/>
    <n v="135663.5"/>
    <n v="31841.5"/>
    <n v="28271.5"/>
    <n v="6907.5"/>
    <n v="1987"/>
    <m/>
    <n v="8721.5"/>
    <n v="3200.5"/>
    <m/>
    <m/>
    <m/>
  </r>
  <r>
    <x v="14"/>
    <s v="Old Dominion University "/>
    <m/>
    <n v="232982"/>
    <x v="0"/>
    <n v="501823"/>
    <n v="511320"/>
    <n v="436372"/>
    <n v="437043"/>
    <n v="1200"/>
    <n v="864"/>
    <n v="31568"/>
    <n v="32683"/>
    <m/>
    <n v="42649"/>
    <n v="30764"/>
    <m/>
    <m/>
    <m/>
    <n v="76119"/>
    <n v="72575"/>
    <n v="51385"/>
    <n v="47556"/>
    <n v="3593"/>
    <n v="2952"/>
    <n v="9636"/>
    <n v="11505"/>
    <m/>
    <n v="11835"/>
    <n v="10232"/>
    <m/>
    <m/>
    <m/>
  </r>
  <r>
    <x v="14"/>
    <s v="University of Virginia"/>
    <m/>
    <n v="234076"/>
    <x v="0"/>
    <n v="467835.5"/>
    <n v="467096.5"/>
    <n v="424751.5"/>
    <n v="429657"/>
    <n v="39412"/>
    <n v="34248.5"/>
    <n v="3672"/>
    <n v="0"/>
    <m/>
    <n v="3119"/>
    <n v="72"/>
    <m/>
    <m/>
    <m/>
    <n v="203119"/>
    <n v="195527.5"/>
    <n v="176415"/>
    <n v="171648"/>
    <n v="19000"/>
    <n v="16147"/>
    <n v="7227"/>
    <n v="477"/>
    <m/>
    <n v="7232"/>
    <n v="500.5"/>
    <m/>
    <m/>
    <m/>
  </r>
  <r>
    <x v="14"/>
    <s v="Virginia Tech "/>
    <m/>
    <n v="233921"/>
    <x v="0"/>
    <n v="748965"/>
    <n v="752287"/>
    <n v="737571"/>
    <n v="740321"/>
    <n v="287"/>
    <n v="262"/>
    <n v="9529"/>
    <n v="1578"/>
    <m/>
    <n v="10405"/>
    <n v="1299"/>
    <m/>
    <m/>
    <m/>
    <n v="146962"/>
    <n v="147082"/>
    <n v="110934"/>
    <n v="111891"/>
    <n v="21163"/>
    <n v="20937"/>
    <n v="9078"/>
    <n v="5787"/>
    <m/>
    <n v="8527"/>
    <n v="5727"/>
    <m/>
    <m/>
    <m/>
  </r>
  <r>
    <x v="14"/>
    <s v="College of William &amp; Mary"/>
    <m/>
    <n v="231624"/>
    <x v="1"/>
    <n v="175401"/>
    <n v="179675"/>
    <n v="174378"/>
    <n v="176247.5"/>
    <n v="1023"/>
    <n v="3375.5"/>
    <n v="0"/>
    <n v="0"/>
    <m/>
    <n v="0"/>
    <n v="52"/>
    <m/>
    <m/>
    <m/>
    <n v="54763.5"/>
    <n v="55731.5"/>
    <n v="49512"/>
    <n v="50590"/>
    <n v="5251.5"/>
    <n v="5078.5"/>
    <n v="0"/>
    <n v="0"/>
    <m/>
    <n v="0"/>
    <n v="63"/>
    <m/>
    <m/>
    <m/>
  </r>
  <r>
    <x v="14"/>
    <s v="Virginia Commonwealth University"/>
    <m/>
    <n v="234030"/>
    <x v="1"/>
    <n v="650106.5"/>
    <n v="660503.5"/>
    <n v="618488.5"/>
    <n v="623427"/>
    <n v="7338"/>
    <n v="8822"/>
    <n v="24280"/>
    <n v="0"/>
    <m/>
    <n v="28254.5"/>
    <n v="0"/>
    <m/>
    <m/>
    <m/>
    <n v="140788"/>
    <n v="138191"/>
    <n v="118096"/>
    <n v="120121"/>
    <n v="12821"/>
    <n v="9218"/>
    <n v="9871"/>
    <n v="0"/>
    <m/>
    <n v="8852"/>
    <n v="0"/>
    <m/>
    <m/>
    <m/>
  </r>
  <r>
    <x v="14"/>
    <s v="James Madison University"/>
    <m/>
    <n v="232423"/>
    <x v="2"/>
    <n v="533881"/>
    <n v="541805"/>
    <n v="507922"/>
    <n v="512967"/>
    <n v="10157"/>
    <n v="9203"/>
    <n v="15802"/>
    <n v="0"/>
    <m/>
    <n v="19635"/>
    <n v="0"/>
    <m/>
    <m/>
    <m/>
    <n v="33802"/>
    <n v="35808"/>
    <n v="26315"/>
    <n v="28076"/>
    <n v="3548"/>
    <n v="3562"/>
    <n v="3939"/>
    <n v="0"/>
    <m/>
    <n v="4170"/>
    <n v="0"/>
    <m/>
    <m/>
    <m/>
  </r>
  <r>
    <x v="14"/>
    <s v="Norfolk State University "/>
    <m/>
    <n v="232937"/>
    <x v="2"/>
    <n v="160708"/>
    <n v="152499"/>
    <n v="134731"/>
    <n v="140375"/>
    <n v="1815"/>
    <n v="12124"/>
    <n v="0"/>
    <n v="24162"/>
    <m/>
    <n v="0"/>
    <n v="0"/>
    <m/>
    <m/>
    <m/>
    <n v="14099"/>
    <n v="11804"/>
    <n v="11591"/>
    <n v="10026"/>
    <n v="652"/>
    <n v="1778"/>
    <n v="0"/>
    <n v="1856"/>
    <m/>
    <n v="0"/>
    <n v="0"/>
    <m/>
    <m/>
    <m/>
  </r>
  <r>
    <x v="14"/>
    <s v="Longwood University "/>
    <s v="Met the criteria for Four-Year 3 in 2011-12 and 2012-13."/>
    <n v="232566"/>
    <x v="3"/>
    <n v="126712"/>
    <n v="126649"/>
    <n v="117765"/>
    <n v="117539"/>
    <n v="781"/>
    <n v="240"/>
    <n v="8166"/>
    <n v="0"/>
    <m/>
    <n v="8870"/>
    <n v="0"/>
    <m/>
    <m/>
    <m/>
    <n v="7771"/>
    <n v="7700"/>
    <n v="4139"/>
    <n v="3861"/>
    <n v="1918"/>
    <n v="862"/>
    <n v="1714"/>
    <n v="0"/>
    <m/>
    <n v="2977"/>
    <n v="0"/>
    <m/>
    <m/>
    <m/>
  </r>
  <r>
    <x v="14"/>
    <s v="Radford University"/>
    <s v="Met the criteria for Four-Year 3 in 2011-12 and 2012-13."/>
    <n v="233277"/>
    <x v="3"/>
    <n v="244570"/>
    <n v="253773"/>
    <n v="235209"/>
    <n v="239374"/>
    <n v="7653"/>
    <n v="6240"/>
    <n v="810"/>
    <n v="898"/>
    <m/>
    <n v="7257"/>
    <n v="902"/>
    <m/>
    <m/>
    <m/>
    <n v="20498"/>
    <n v="19850"/>
    <n v="15415"/>
    <n v="13893"/>
    <n v="3350"/>
    <n v="3773"/>
    <n v="385"/>
    <n v="1348"/>
    <m/>
    <n v="1476"/>
    <n v="708"/>
    <m/>
    <m/>
    <m/>
  </r>
  <r>
    <x v="14"/>
    <s v="Virginia State University "/>
    <s v="Met the criteria for Four-Year 3 in 2011-12 and 2012-13."/>
    <n v="234155"/>
    <x v="3"/>
    <n v="157465"/>
    <n v="162724"/>
    <n v="153741"/>
    <n v="159069"/>
    <n v="2680"/>
    <n v="2734"/>
    <n v="1044"/>
    <n v="0"/>
    <m/>
    <n v="921"/>
    <n v="0"/>
    <m/>
    <m/>
    <m/>
    <n v="9863"/>
    <n v="10911"/>
    <n v="8063"/>
    <n v="8868"/>
    <n v="1800"/>
    <n v="2043"/>
    <n v="0"/>
    <n v="0"/>
    <m/>
    <n v="0"/>
    <n v="0"/>
    <m/>
    <m/>
    <m/>
  </r>
  <r>
    <x v="14"/>
    <s v="Christopher Newport University"/>
    <s v="Met the criteria for Four-Year 4 in 2011-12 and 2012-13."/>
    <n v="231712"/>
    <x v="4"/>
    <n v="140270"/>
    <n v="144321"/>
    <n v="139898"/>
    <n v="144021"/>
    <n v="372"/>
    <n v="300"/>
    <n v="0"/>
    <n v="0"/>
    <m/>
    <n v="0"/>
    <n v="0"/>
    <m/>
    <m/>
    <m/>
    <n v="3807"/>
    <n v="4141"/>
    <n v="3807"/>
    <n v="4084"/>
    <n v="0"/>
    <n v="57"/>
    <n v="0"/>
    <n v="0"/>
    <m/>
    <n v="0"/>
    <n v="0"/>
    <m/>
    <m/>
    <m/>
  </r>
  <r>
    <x v="14"/>
    <s v="University of Mary Washington "/>
    <s v="Met the criteria for Four-Year 3 in 2011-12 and 2012-13."/>
    <n v="232681"/>
    <x v="4"/>
    <n v="126791"/>
    <n v="126517"/>
    <n v="122858"/>
    <n v="122520"/>
    <n v="0"/>
    <n v="0"/>
    <n v="3849"/>
    <n v="84"/>
    <m/>
    <n v="3683"/>
    <n v="314"/>
    <m/>
    <m/>
    <m/>
    <n v="9707"/>
    <n v="8929"/>
    <n v="8042"/>
    <n v="7487"/>
    <n v="0"/>
    <n v="0"/>
    <n v="1665"/>
    <n v="0"/>
    <m/>
    <n v="1442"/>
    <n v="0"/>
    <m/>
    <m/>
    <m/>
  </r>
  <r>
    <x v="14"/>
    <s v="University of Virginia's College at Wise "/>
    <m/>
    <n v="233897"/>
    <x v="5"/>
    <n v="51098"/>
    <n v="53846"/>
    <n v="48493"/>
    <n v="47128"/>
    <n v="901"/>
    <n v="630"/>
    <n v="1704"/>
    <n v="0"/>
    <m/>
    <n v="3424"/>
    <n v="2664"/>
    <m/>
    <m/>
    <m/>
    <n v="0"/>
    <n v="0"/>
    <n v="0"/>
    <n v="0"/>
    <n v="0"/>
    <n v="0"/>
    <n v="0"/>
    <n v="0"/>
    <m/>
    <n v="0"/>
    <n v="0"/>
    <m/>
    <m/>
    <m/>
  </r>
  <r>
    <x v="14"/>
    <s v="J.S. Reynolds Community College"/>
    <m/>
    <n v="232414"/>
    <x v="6"/>
    <n v="258715"/>
    <n v="255580"/>
    <n v="169578"/>
    <n v="159154"/>
    <n v="22486"/>
    <n v="20270"/>
    <n v="66480"/>
    <n v="171"/>
    <m/>
    <n v="75945"/>
    <n v="211"/>
    <m/>
    <m/>
    <m/>
    <n v="0"/>
    <n v="0"/>
    <n v="0"/>
    <n v="0"/>
    <n v="0"/>
    <n v="0"/>
    <n v="0"/>
    <n v="0"/>
    <m/>
    <n v="0"/>
    <n v="0"/>
    <m/>
    <m/>
    <m/>
  </r>
  <r>
    <x v="14"/>
    <s v="Northern Virginia Community College "/>
    <m/>
    <n v="232946"/>
    <x v="6"/>
    <n v="1051547"/>
    <n v="1079763"/>
    <n v="756511"/>
    <n v="782515"/>
    <n v="60406"/>
    <n v="54697"/>
    <n v="229568"/>
    <n v="5062"/>
    <m/>
    <n v="236927"/>
    <n v="5624"/>
    <m/>
    <m/>
    <m/>
    <n v="0"/>
    <n v="0"/>
    <n v="0"/>
    <n v="0"/>
    <n v="0"/>
    <n v="0"/>
    <n v="0"/>
    <n v="0"/>
    <m/>
    <n v="0"/>
    <n v="0"/>
    <m/>
    <m/>
    <m/>
  </r>
  <r>
    <x v="14"/>
    <s v="Thomas Nelson Community College "/>
    <m/>
    <n v="233754"/>
    <x v="6"/>
    <n v="215326"/>
    <n v="215120"/>
    <n v="154144"/>
    <n v="149510"/>
    <n v="16070"/>
    <n v="14444"/>
    <n v="44775"/>
    <n v="337"/>
    <m/>
    <n v="50897"/>
    <n v="269"/>
    <m/>
    <m/>
    <m/>
    <n v="0"/>
    <n v="0"/>
    <n v="0"/>
    <n v="0"/>
    <n v="0"/>
    <n v="0"/>
    <n v="0"/>
    <n v="0"/>
    <m/>
    <n v="0"/>
    <n v="0"/>
    <m/>
    <m/>
    <m/>
  </r>
  <r>
    <x v="14"/>
    <s v="Tidewater Community College "/>
    <m/>
    <n v="233772"/>
    <x v="6"/>
    <n v="690950"/>
    <n v="670812"/>
    <n v="469902"/>
    <n v="443674"/>
    <n v="42965"/>
    <n v="41741"/>
    <n v="178034"/>
    <n v="49"/>
    <m/>
    <n v="185355"/>
    <n v="42"/>
    <m/>
    <m/>
    <m/>
    <n v="0"/>
    <n v="0"/>
    <n v="0"/>
    <n v="0"/>
    <n v="0"/>
    <n v="0"/>
    <n v="0"/>
    <n v="0"/>
    <m/>
    <n v="0"/>
    <n v="0"/>
    <m/>
    <m/>
    <m/>
  </r>
  <r>
    <x v="14"/>
    <s v="Blue Ridge Community College "/>
    <m/>
    <n v="231536"/>
    <x v="7"/>
    <n v="94524"/>
    <n v="89372"/>
    <n v="54717"/>
    <n v="50456"/>
    <n v="11233"/>
    <n v="10501"/>
    <n v="28574"/>
    <n v="0"/>
    <m/>
    <n v="28415"/>
    <n v="0"/>
    <m/>
    <m/>
    <m/>
    <n v="0"/>
    <n v="0"/>
    <n v="0"/>
    <n v="0"/>
    <n v="0"/>
    <n v="0"/>
    <n v="0"/>
    <n v="0"/>
    <m/>
    <n v="0"/>
    <n v="0"/>
    <m/>
    <m/>
    <m/>
  </r>
  <r>
    <x v="14"/>
    <s v="Central Virginia Community College "/>
    <m/>
    <n v="231697"/>
    <x v="7"/>
    <n v="88001"/>
    <n v="84580"/>
    <n v="52026"/>
    <n v="49087"/>
    <n v="18497"/>
    <n v="17647"/>
    <n v="13611"/>
    <n v="3867"/>
    <m/>
    <n v="13977"/>
    <n v="3869"/>
    <m/>
    <m/>
    <m/>
    <n v="0"/>
    <n v="0"/>
    <n v="0"/>
    <n v="0"/>
    <n v="0"/>
    <n v="0"/>
    <n v="0"/>
    <n v="0"/>
    <m/>
    <n v="0"/>
    <n v="0"/>
    <m/>
    <m/>
    <m/>
  </r>
  <r>
    <x v="14"/>
    <s v="Danville Community College "/>
    <m/>
    <n v="231882"/>
    <x v="7"/>
    <n v="85382"/>
    <n v="84108"/>
    <n v="57605"/>
    <n v="55807"/>
    <n v="18086"/>
    <n v="18912"/>
    <n v="9107"/>
    <n v="584"/>
    <m/>
    <n v="9066"/>
    <n v="323"/>
    <m/>
    <m/>
    <m/>
    <n v="0"/>
    <n v="0"/>
    <n v="0"/>
    <n v="0"/>
    <n v="0"/>
    <n v="0"/>
    <n v="0"/>
    <n v="0"/>
    <m/>
    <n v="0"/>
    <n v="0"/>
    <m/>
    <m/>
    <m/>
  </r>
  <r>
    <x v="14"/>
    <s v="Germanna Community College"/>
    <m/>
    <n v="232195"/>
    <x v="7"/>
    <n v="139901"/>
    <n v="138010"/>
    <n v="68757"/>
    <n v="71290"/>
    <n v="18585"/>
    <n v="21911"/>
    <n v="27980"/>
    <n v="24579"/>
    <m/>
    <n v="27111"/>
    <n v="17698"/>
    <m/>
    <m/>
    <m/>
    <n v="0"/>
    <n v="0"/>
    <n v="0"/>
    <n v="0"/>
    <n v="0"/>
    <n v="0"/>
    <n v="0"/>
    <n v="0"/>
    <m/>
    <n v="0"/>
    <n v="0"/>
    <m/>
    <m/>
    <m/>
  </r>
  <r>
    <x v="14"/>
    <s v="John Tyler Community College"/>
    <s v="Met the criteria for Two-Year 1 in 2011-12 and 2012-13."/>
    <n v="232450"/>
    <x v="7"/>
    <n v="190338"/>
    <n v="183864"/>
    <n v="122195"/>
    <n v="111996"/>
    <n v="20761"/>
    <n v="20993"/>
    <n v="47182"/>
    <n v="200"/>
    <m/>
    <n v="50719"/>
    <n v="156"/>
    <m/>
    <m/>
    <m/>
    <n v="0"/>
    <n v="0"/>
    <n v="0"/>
    <n v="0"/>
    <n v="0"/>
    <n v="0"/>
    <n v="0"/>
    <n v="0"/>
    <m/>
    <n v="0"/>
    <n v="0"/>
    <m/>
    <m/>
    <m/>
  </r>
  <r>
    <x v="14"/>
    <s v="Lord Fairfax Community College"/>
    <m/>
    <n v="232575"/>
    <x v="7"/>
    <n v="123923"/>
    <n v="126718"/>
    <n v="71369"/>
    <n v="69039"/>
    <n v="19623"/>
    <n v="21649"/>
    <n v="26289"/>
    <n v="6642"/>
    <m/>
    <n v="29971"/>
    <n v="6059"/>
    <m/>
    <m/>
    <m/>
    <n v="0"/>
    <n v="0"/>
    <n v="0"/>
    <n v="0"/>
    <n v="0"/>
    <n v="0"/>
    <n v="0"/>
    <n v="0"/>
    <m/>
    <n v="0"/>
    <n v="0"/>
    <m/>
    <m/>
    <m/>
  </r>
  <r>
    <x v="14"/>
    <s v="New River Community College "/>
    <m/>
    <n v="232867"/>
    <x v="7"/>
    <n v="100166"/>
    <n v="98240"/>
    <n v="36784"/>
    <n v="32712"/>
    <n v="30117"/>
    <n v="29750"/>
    <n v="32557"/>
    <n v="708"/>
    <m/>
    <n v="35184"/>
    <n v="594"/>
    <m/>
    <m/>
    <m/>
    <n v="0"/>
    <n v="0"/>
    <n v="0"/>
    <n v="0"/>
    <n v="0"/>
    <n v="0"/>
    <n v="0"/>
    <n v="0"/>
    <m/>
    <n v="0"/>
    <n v="0"/>
    <m/>
    <m/>
    <m/>
  </r>
  <r>
    <x v="14"/>
    <s v="Patrick Henry Community College "/>
    <m/>
    <n v="233019"/>
    <x v="7"/>
    <n v="75059"/>
    <n v="73270"/>
    <n v="39726"/>
    <n v="36335"/>
    <n v="10088"/>
    <n v="11330"/>
    <n v="23333"/>
    <n v="1912"/>
    <m/>
    <n v="23552"/>
    <n v="2053"/>
    <m/>
    <m/>
    <m/>
    <n v="0"/>
    <n v="0"/>
    <n v="0"/>
    <n v="0"/>
    <n v="0"/>
    <n v="0"/>
    <n v="0"/>
    <n v="0"/>
    <m/>
    <n v="0"/>
    <n v="0"/>
    <m/>
    <m/>
    <m/>
  </r>
  <r>
    <x v="14"/>
    <s v="Piedmont Virginia Community College "/>
    <m/>
    <n v="233116"/>
    <x v="7"/>
    <n v="91630"/>
    <n v="91405"/>
    <n v="64414"/>
    <n v="61463"/>
    <n v="11752"/>
    <n v="13038"/>
    <n v="15052"/>
    <n v="412"/>
    <m/>
    <n v="16574"/>
    <n v="330"/>
    <m/>
    <m/>
    <m/>
    <n v="0"/>
    <n v="0"/>
    <n v="0"/>
    <n v="0"/>
    <n v="0"/>
    <n v="0"/>
    <n v="0"/>
    <n v="0"/>
    <m/>
    <n v="0"/>
    <n v="0"/>
    <m/>
    <m/>
    <m/>
  </r>
  <r>
    <x v="14"/>
    <s v="Southside Virginia Community College"/>
    <m/>
    <n v="233639"/>
    <x v="7"/>
    <n v="120284"/>
    <n v="115911"/>
    <n v="31186"/>
    <n v="26999"/>
    <n v="58575"/>
    <n v="57609"/>
    <n v="29145"/>
    <n v="1378"/>
    <m/>
    <n v="29718"/>
    <n v="1585"/>
    <m/>
    <m/>
    <m/>
    <n v="0"/>
    <n v="0"/>
    <n v="0"/>
    <n v="0"/>
    <n v="0"/>
    <n v="0"/>
    <n v="0"/>
    <n v="0"/>
    <m/>
    <n v="0"/>
    <n v="0"/>
    <m/>
    <m/>
    <m/>
  </r>
  <r>
    <x v="14"/>
    <s v="Southwest Virginia Community College "/>
    <s v="Met the criteria for Two-Year 3 in 2012-13."/>
    <n v="233648"/>
    <x v="7"/>
    <n v="66830"/>
    <n v="59357"/>
    <n v="26128"/>
    <n v="23012"/>
    <n v="18665"/>
    <n v="14981"/>
    <n v="18884"/>
    <n v="3153"/>
    <m/>
    <n v="19294"/>
    <n v="2070"/>
    <m/>
    <m/>
    <m/>
    <n v="0"/>
    <n v="0"/>
    <n v="0"/>
    <n v="0"/>
    <n v="0"/>
    <n v="0"/>
    <n v="0"/>
    <n v="0"/>
    <m/>
    <n v="0"/>
    <n v="0"/>
    <m/>
    <m/>
    <m/>
  </r>
  <r>
    <x v="14"/>
    <s v="Virginia Western Community College "/>
    <m/>
    <n v="233949"/>
    <x v="7"/>
    <n v="147745"/>
    <n v="146845"/>
    <n v="97857"/>
    <n v="93087"/>
    <n v="21373"/>
    <n v="20950"/>
    <n v="21550"/>
    <n v="6965"/>
    <m/>
    <n v="23528"/>
    <n v="9280"/>
    <m/>
    <m/>
    <m/>
    <n v="0"/>
    <n v="0"/>
    <n v="0"/>
    <n v="0"/>
    <n v="0"/>
    <n v="0"/>
    <n v="0"/>
    <n v="0"/>
    <m/>
    <n v="0"/>
    <n v="0"/>
    <m/>
    <m/>
    <m/>
  </r>
  <r>
    <x v="14"/>
    <s v="Wytheville Community College "/>
    <m/>
    <n v="234377"/>
    <x v="7"/>
    <n v="72616"/>
    <n v="69400"/>
    <n v="16905"/>
    <n v="15064"/>
    <n v="19578"/>
    <n v="18953"/>
    <n v="32402"/>
    <n v="3731"/>
    <m/>
    <n v="30485"/>
    <n v="4898"/>
    <m/>
    <m/>
    <m/>
    <n v="0"/>
    <n v="0"/>
    <n v="0"/>
    <n v="0"/>
    <n v="0"/>
    <n v="0"/>
    <n v="0"/>
    <n v="0"/>
    <m/>
    <n v="0"/>
    <n v="0"/>
    <m/>
    <m/>
    <m/>
  </r>
  <r>
    <x v="14"/>
    <s v="D.S. Lancaster Community College "/>
    <m/>
    <n v="231873"/>
    <x v="8"/>
    <n v="26632"/>
    <n v="25991"/>
    <n v="9670"/>
    <n v="9943"/>
    <n v="6672"/>
    <n v="7062"/>
    <n v="2708"/>
    <n v="7582"/>
    <m/>
    <n v="2616"/>
    <n v="6370"/>
    <m/>
    <m/>
    <m/>
    <n v="0"/>
    <n v="0"/>
    <n v="0"/>
    <n v="0"/>
    <n v="0"/>
    <n v="0"/>
    <n v="0"/>
    <n v="0"/>
    <m/>
    <n v="0"/>
    <n v="0"/>
    <m/>
    <m/>
    <m/>
  </r>
  <r>
    <x v="14"/>
    <s v="Eastern Shore Community College"/>
    <m/>
    <n v="232052"/>
    <x v="8"/>
    <n v="20212"/>
    <n v="18435"/>
    <n v="14180"/>
    <n v="12566"/>
    <n v="2383"/>
    <n v="2371"/>
    <n v="3649"/>
    <n v="0"/>
    <m/>
    <n v="3498"/>
    <n v="0"/>
    <m/>
    <m/>
    <m/>
    <n v="0"/>
    <n v="0"/>
    <n v="0"/>
    <n v="0"/>
    <n v="0"/>
    <n v="0"/>
    <n v="0"/>
    <n v="0"/>
    <m/>
    <n v="0"/>
    <n v="0"/>
    <m/>
    <m/>
    <m/>
  </r>
  <r>
    <x v="14"/>
    <s v="Mountain Empire Community College"/>
    <s v="Reclassified: Met the criteria for Two-Year 2 in 2010-11, 2011-12, and 2012-13."/>
    <n v="232788"/>
    <x v="7"/>
    <n v="65095"/>
    <n v="61671"/>
    <n v="27821"/>
    <n v="27136"/>
    <n v="9870"/>
    <n v="10222"/>
    <n v="25207"/>
    <n v="2197"/>
    <m/>
    <n v="22876"/>
    <n v="1437"/>
    <m/>
    <m/>
    <m/>
    <n v="0"/>
    <n v="0"/>
    <n v="0"/>
    <n v="0"/>
    <n v="0"/>
    <n v="0"/>
    <n v="0"/>
    <n v="0"/>
    <m/>
    <n v="0"/>
    <n v="0"/>
    <m/>
    <m/>
    <m/>
  </r>
  <r>
    <x v="14"/>
    <s v="Paul D. Camp Community College"/>
    <m/>
    <n v="233037"/>
    <x v="8"/>
    <n v="33209"/>
    <n v="30790"/>
    <n v="17625"/>
    <n v="14924"/>
    <n v="5671"/>
    <n v="5624"/>
    <n v="7655"/>
    <n v="2258"/>
    <m/>
    <n v="7582"/>
    <n v="2660"/>
    <m/>
    <m/>
    <m/>
    <n v="0"/>
    <n v="0"/>
    <n v="0"/>
    <n v="0"/>
    <n v="0"/>
    <n v="0"/>
    <n v="0"/>
    <n v="0"/>
    <m/>
    <n v="0"/>
    <n v="0"/>
    <m/>
    <m/>
    <m/>
  </r>
  <r>
    <x v="14"/>
    <s v="Rappahannock Community College"/>
    <s v="Met the criteria for Two-Year 2 in 2011-12 and 2012-13."/>
    <n v="233310"/>
    <x v="8"/>
    <n v="60806"/>
    <n v="62237"/>
    <n v="17501"/>
    <n v="16397"/>
    <n v="16122"/>
    <n v="18639"/>
    <n v="15331"/>
    <n v="11852"/>
    <m/>
    <n v="15395"/>
    <n v="11806"/>
    <m/>
    <m/>
    <m/>
    <n v="0"/>
    <n v="0"/>
    <n v="0"/>
    <n v="0"/>
    <n v="0"/>
    <n v="0"/>
    <n v="0"/>
    <n v="0"/>
    <m/>
    <n v="0"/>
    <n v="0"/>
    <m/>
    <m/>
    <m/>
  </r>
  <r>
    <x v="14"/>
    <s v="Richard Bland College "/>
    <m/>
    <n v="233338"/>
    <x v="8"/>
    <n v="35253"/>
    <n v="34518"/>
    <n v="32172"/>
    <n v="30978"/>
    <n v="2100"/>
    <n v="2217"/>
    <n v="981"/>
    <n v="0"/>
    <m/>
    <n v="1323"/>
    <n v="0"/>
    <m/>
    <m/>
    <m/>
    <n v="0"/>
    <n v="0"/>
    <n v="0"/>
    <n v="0"/>
    <n v="0"/>
    <n v="0"/>
    <n v="0"/>
    <n v="0"/>
    <m/>
    <n v="0"/>
    <n v="0"/>
    <m/>
    <m/>
    <m/>
  </r>
  <r>
    <x v="14"/>
    <s v="Virginia Highlands Community College "/>
    <m/>
    <n v="233903"/>
    <x v="8"/>
    <n v="54973"/>
    <n v="52555"/>
    <n v="32955"/>
    <n v="31149"/>
    <n v="7638"/>
    <n v="7355"/>
    <n v="12204"/>
    <n v="2176"/>
    <m/>
    <n v="12492"/>
    <n v="1559"/>
    <m/>
    <m/>
    <m/>
    <n v="0"/>
    <n v="0"/>
    <n v="0"/>
    <n v="0"/>
    <n v="0"/>
    <n v="0"/>
    <n v="0"/>
    <n v="0"/>
    <m/>
    <n v="0"/>
    <n v="0"/>
    <m/>
    <m/>
    <m/>
  </r>
  <r>
    <x v="14"/>
    <s v="Virginia Military Institute"/>
    <m/>
    <n v="234085"/>
    <x v="11"/>
    <n v="0"/>
    <n v="0"/>
    <m/>
    <m/>
    <m/>
    <m/>
    <m/>
    <m/>
    <m/>
    <m/>
    <m/>
    <m/>
    <m/>
    <m/>
    <n v="0"/>
    <n v="0"/>
    <m/>
    <m/>
    <m/>
    <m/>
    <m/>
    <m/>
    <m/>
    <m/>
    <m/>
    <m/>
    <m/>
    <m/>
  </r>
  <r>
    <x v="15"/>
    <s v="West Virginia University"/>
    <m/>
    <n v="238032"/>
    <x v="0"/>
    <n v="662072"/>
    <n v="667579"/>
    <n v="612957"/>
    <n v="615492"/>
    <n v="1533"/>
    <n v="828"/>
    <n v="44920"/>
    <n v="24"/>
    <n v="2638"/>
    <n v="48654"/>
    <m/>
    <n v="2605"/>
    <m/>
    <m/>
    <n v="111929"/>
    <n v="110513"/>
    <n v="73384"/>
    <n v="72025"/>
    <n v="10052"/>
    <n v="8425"/>
    <n v="27481"/>
    <n v="830"/>
    <n v="182"/>
    <n v="28852"/>
    <n v="797"/>
    <n v="414"/>
    <m/>
    <m/>
  </r>
  <r>
    <x v="15"/>
    <s v="Marshall University "/>
    <m/>
    <n v="237525"/>
    <x v="2"/>
    <n v="274112"/>
    <n v="267102"/>
    <n v="219156"/>
    <n v="214275"/>
    <n v="16098"/>
    <n v="15559"/>
    <n v="37728"/>
    <n v="1130"/>
    <m/>
    <n v="37268"/>
    <m/>
    <m/>
    <m/>
    <m/>
    <n v="55072"/>
    <n v="52442"/>
    <n v="16283"/>
    <n v="15765"/>
    <n v="27662"/>
    <n v="20468"/>
    <n v="10989"/>
    <n v="138"/>
    <m/>
    <n v="16182"/>
    <n v="27"/>
    <m/>
    <m/>
    <m/>
  </r>
  <r>
    <x v="15"/>
    <s v="Fairmont State University"/>
    <m/>
    <n v="237367"/>
    <x v="4"/>
    <n v="119371"/>
    <n v="116069"/>
    <n v="90202"/>
    <n v="88462"/>
    <n v="14854"/>
    <n v="13028"/>
    <n v="14315"/>
    <m/>
    <m/>
    <n v="14579"/>
    <m/>
    <m/>
    <m/>
    <m/>
    <n v="5208"/>
    <n v="5578"/>
    <n v="1226"/>
    <n v="1428"/>
    <m/>
    <m/>
    <n v="3982"/>
    <m/>
    <m/>
    <n v="4150"/>
    <m/>
    <m/>
    <m/>
    <m/>
  </r>
  <r>
    <x v="15"/>
    <s v="Shepherd University "/>
    <m/>
    <n v="237792"/>
    <x v="4"/>
    <n v="111796"/>
    <n v="110442"/>
    <n v="110273"/>
    <n v="108395"/>
    <m/>
    <m/>
    <n v="1523"/>
    <m/>
    <m/>
    <n v="2047"/>
    <m/>
    <m/>
    <m/>
    <m/>
    <n v="3877"/>
    <n v="3915"/>
    <n v="3511"/>
    <n v="3561"/>
    <m/>
    <m/>
    <n v="366"/>
    <m/>
    <m/>
    <n v="354"/>
    <m/>
    <m/>
    <m/>
    <m/>
  </r>
  <r>
    <x v="15"/>
    <s v="Bluefield State College "/>
    <m/>
    <n v="237215"/>
    <x v="5"/>
    <n v="53681"/>
    <n v="53271"/>
    <n v="30505"/>
    <n v="28147"/>
    <n v="3414"/>
    <n v="3613"/>
    <n v="16079"/>
    <n v="3683"/>
    <m/>
    <n v="17360"/>
    <n v="4151"/>
    <m/>
    <m/>
    <m/>
    <n v="0"/>
    <n v="0"/>
    <m/>
    <m/>
    <m/>
    <m/>
    <m/>
    <m/>
    <m/>
    <m/>
    <m/>
    <m/>
    <m/>
    <m/>
  </r>
  <r>
    <x v="15"/>
    <s v="Concord University "/>
    <m/>
    <n v="237330"/>
    <x v="5"/>
    <n v="81167"/>
    <n v="76635"/>
    <n v="64357"/>
    <n v="57412"/>
    <n v="10958"/>
    <n v="11041"/>
    <n v="5259"/>
    <n v="593"/>
    <m/>
    <n v="7755"/>
    <n v="279"/>
    <n v="148"/>
    <m/>
    <m/>
    <n v="4326"/>
    <n v="5467"/>
    <n v="363"/>
    <n v="1612"/>
    <n v="732"/>
    <n v="1170"/>
    <n v="3231"/>
    <m/>
    <m/>
    <n v="2685"/>
    <m/>
    <m/>
    <m/>
    <m/>
  </r>
  <r>
    <x v="15"/>
    <s v="Glenville State College "/>
    <m/>
    <n v="237385"/>
    <x v="5"/>
    <n v="45017"/>
    <n v="43456"/>
    <n v="34308"/>
    <n v="33065"/>
    <n v="5066"/>
    <n v="4234"/>
    <n v="5643"/>
    <m/>
    <m/>
    <n v="6157"/>
    <m/>
    <m/>
    <m/>
    <m/>
    <n v="0"/>
    <n v="0"/>
    <m/>
    <m/>
    <m/>
    <m/>
    <m/>
    <m/>
    <m/>
    <m/>
    <m/>
    <m/>
    <m/>
    <m/>
  </r>
  <r>
    <x v="15"/>
    <s v="West Liberty University"/>
    <m/>
    <n v="237932"/>
    <x v="5"/>
    <n v="76878"/>
    <n v="77506"/>
    <n v="66294"/>
    <n v="65918"/>
    <n v="4492"/>
    <n v="5096"/>
    <n v="6092"/>
    <m/>
    <m/>
    <n v="6492"/>
    <m/>
    <m/>
    <m/>
    <m/>
    <n v="1020"/>
    <n v="1875"/>
    <n v="24"/>
    <n v="804"/>
    <n v="966"/>
    <n v="834"/>
    <n v="30"/>
    <m/>
    <m/>
    <n v="237"/>
    <m/>
    <m/>
    <m/>
    <m/>
  </r>
  <r>
    <x v="15"/>
    <s v="West Virginia State University "/>
    <m/>
    <n v="237899"/>
    <x v="5"/>
    <n v="69990"/>
    <n v="64632"/>
    <n v="58141"/>
    <n v="52833"/>
    <n v="2294"/>
    <n v="1804"/>
    <n v="9555"/>
    <m/>
    <m/>
    <n v="9995"/>
    <m/>
    <m/>
    <m/>
    <m/>
    <n v="710"/>
    <n v="1120"/>
    <n v="626"/>
    <n v="886"/>
    <m/>
    <n v="123"/>
    <n v="84"/>
    <m/>
    <m/>
    <n v="111"/>
    <m/>
    <m/>
    <m/>
    <m/>
  </r>
  <r>
    <x v="15"/>
    <s v="West Virginia University Institute of Technology"/>
    <m/>
    <n v="237950"/>
    <x v="5"/>
    <n v="32977"/>
    <n v="28787"/>
    <n v="30082"/>
    <n v="25441"/>
    <n v="1123"/>
    <n v="1172"/>
    <n v="1735"/>
    <m/>
    <n v="37"/>
    <n v="2174"/>
    <m/>
    <m/>
    <m/>
    <m/>
    <n v="0"/>
    <n v="0"/>
    <m/>
    <m/>
    <m/>
    <m/>
    <m/>
    <m/>
    <m/>
    <m/>
    <m/>
    <m/>
    <m/>
    <m/>
  </r>
  <r>
    <x v="15"/>
    <s v="Potomac State College of West Virginia University"/>
    <m/>
    <n v="237701"/>
    <x v="12"/>
    <n v="45062"/>
    <n v="43601"/>
    <n v="39714"/>
    <n v="38668"/>
    <n v="3169"/>
    <n v="2787"/>
    <n v="2177"/>
    <m/>
    <n v="2"/>
    <n v="2146"/>
    <m/>
    <m/>
    <m/>
    <m/>
    <n v="0"/>
    <n v="0"/>
    <m/>
    <m/>
    <m/>
    <m/>
    <m/>
    <m/>
    <m/>
    <m/>
    <m/>
    <m/>
    <m/>
    <m/>
  </r>
  <r>
    <x v="15"/>
    <s v="West Virginia University at Parkersburg"/>
    <m/>
    <n v="237686"/>
    <x v="12"/>
    <n v="103504"/>
    <n v="90574"/>
    <n v="58448"/>
    <n v="50074"/>
    <n v="15846"/>
    <n v="13210"/>
    <n v="28059"/>
    <m/>
    <n v="1151"/>
    <n v="25971"/>
    <m/>
    <n v="1319"/>
    <m/>
    <m/>
    <n v="0"/>
    <n v="0"/>
    <m/>
    <m/>
    <m/>
    <m/>
    <m/>
    <m/>
    <m/>
    <m/>
    <m/>
    <m/>
    <m/>
    <m/>
  </r>
  <r>
    <x v="15"/>
    <s v="New River Community &amp; Technical College"/>
    <s v="Reclassified: met criteria for Two-Year 2 in 2010-11, 2011-12, and 2012-13."/>
    <n v="447582"/>
    <x v="7"/>
    <n v="63534"/>
    <n v="65046"/>
    <n v="38629"/>
    <n v="35342"/>
    <n v="6848"/>
    <n v="11280"/>
    <n v="13089"/>
    <n v="4914"/>
    <n v="54"/>
    <n v="13519"/>
    <n v="4869"/>
    <n v="36"/>
    <m/>
    <m/>
    <n v="0"/>
    <n v="0"/>
    <m/>
    <m/>
    <m/>
    <m/>
    <m/>
    <m/>
    <m/>
    <m/>
    <m/>
    <m/>
    <m/>
    <m/>
  </r>
  <r>
    <x v="15"/>
    <s v="Pierpont Community &amp; Technical College"/>
    <s v="Reclassified: met criteria for Two-Year 2 in 2010-11, 2011-12, and 2012-13."/>
    <n v="443492"/>
    <x v="7"/>
    <n v="68299"/>
    <n v="67362"/>
    <n v="35395"/>
    <n v="36213"/>
    <n v="24888"/>
    <n v="23208"/>
    <n v="8016"/>
    <m/>
    <m/>
    <n v="7941"/>
    <m/>
    <m/>
    <m/>
    <m/>
    <n v="0"/>
    <n v="6"/>
    <m/>
    <m/>
    <m/>
    <m/>
    <m/>
    <m/>
    <m/>
    <n v="6"/>
    <m/>
    <m/>
    <m/>
    <m/>
  </r>
  <r>
    <x v="15"/>
    <s v="West Virginia Northern Community College"/>
    <s v="Met the criteria for Two-Year 3 in 2012-13."/>
    <n v="238014"/>
    <x v="7"/>
    <n v="71666"/>
    <n v="56992"/>
    <n v="54256"/>
    <n v="46435"/>
    <m/>
    <m/>
    <n v="15446"/>
    <n v="1964"/>
    <m/>
    <n v="8468"/>
    <n v="2089"/>
    <m/>
    <m/>
    <m/>
    <n v="0"/>
    <n v="0"/>
    <m/>
    <m/>
    <m/>
    <m/>
    <m/>
    <m/>
    <m/>
    <m/>
    <m/>
    <m/>
    <m/>
    <m/>
  </r>
  <r>
    <x v="15"/>
    <s v="Blue Ridge Community &amp; Technical College"/>
    <m/>
    <n v="446774"/>
    <x v="8"/>
    <n v="57685"/>
    <n v="58545"/>
    <n v="34001"/>
    <n v="27614"/>
    <n v="12058"/>
    <n v="19133"/>
    <n v="11494"/>
    <m/>
    <n v="132"/>
    <n v="11270"/>
    <m/>
    <n v="528"/>
    <m/>
    <m/>
    <n v="0"/>
    <n v="0"/>
    <m/>
    <m/>
    <m/>
    <m/>
    <m/>
    <m/>
    <m/>
    <m/>
    <m/>
    <m/>
    <m/>
    <m/>
  </r>
  <r>
    <x v="15"/>
    <s v="Bridgemont Community &amp; Technical College"/>
    <m/>
    <n v="445674"/>
    <x v="8"/>
    <n v="17632"/>
    <n v="17124"/>
    <n v="14010"/>
    <n v="13339"/>
    <n v="753"/>
    <n v="969"/>
    <n v="2869"/>
    <m/>
    <m/>
    <n v="2816"/>
    <m/>
    <m/>
    <m/>
    <m/>
    <n v="0"/>
    <n v="0"/>
    <m/>
    <m/>
    <m/>
    <m/>
    <m/>
    <m/>
    <m/>
    <m/>
    <m/>
    <m/>
    <m/>
    <m/>
  </r>
  <r>
    <x v="15"/>
    <s v="Eastern West Virginia Community &amp; Technical College"/>
    <m/>
    <n v="438708"/>
    <x v="8"/>
    <n v="12550"/>
    <n v="14196"/>
    <n v="6820"/>
    <n v="7303"/>
    <n v="2718"/>
    <n v="3289"/>
    <n v="2823"/>
    <n v="189"/>
    <m/>
    <n v="3382"/>
    <n v="222"/>
    <m/>
    <m/>
    <m/>
    <n v="0"/>
    <n v="0"/>
    <m/>
    <m/>
    <m/>
    <m/>
    <m/>
    <m/>
    <m/>
    <m/>
    <m/>
    <m/>
    <m/>
    <m/>
  </r>
  <r>
    <x v="15"/>
    <s v="Kanawha Valley Community &amp; Technical College"/>
    <m/>
    <n v="445018"/>
    <x v="8"/>
    <n v="37414"/>
    <n v="34452"/>
    <n v="31725"/>
    <n v="28092"/>
    <n v="2133"/>
    <n v="1778"/>
    <n v="3556"/>
    <m/>
    <m/>
    <n v="4582"/>
    <m/>
    <m/>
    <m/>
    <m/>
    <n v="0"/>
    <n v="0"/>
    <m/>
    <m/>
    <m/>
    <m/>
    <m/>
    <m/>
    <m/>
    <m/>
    <m/>
    <m/>
    <m/>
    <m/>
  </r>
  <r>
    <x v="15"/>
    <s v="Mountwest Community &amp; Technical College"/>
    <m/>
    <n v="444954"/>
    <x v="8"/>
    <n v="59067"/>
    <n v="56040"/>
    <n v="30412"/>
    <n v="26345"/>
    <n v="17059"/>
    <n v="16903"/>
    <n v="11596"/>
    <m/>
    <m/>
    <n v="12792"/>
    <m/>
    <m/>
    <m/>
    <m/>
    <n v="0"/>
    <n v="0"/>
    <m/>
    <m/>
    <m/>
    <m/>
    <m/>
    <m/>
    <m/>
    <m/>
    <m/>
    <m/>
    <m/>
    <m/>
  </r>
  <r>
    <x v="15"/>
    <s v="Southern West Virginia Community &amp; Technical College "/>
    <m/>
    <n v="237817"/>
    <x v="8"/>
    <n v="49297"/>
    <n v="47045"/>
    <n v="35936"/>
    <n v="34200"/>
    <n v="3956"/>
    <n v="2505"/>
    <n v="7567"/>
    <n v="1838"/>
    <m/>
    <n v="8600"/>
    <n v="1740"/>
    <m/>
    <m/>
    <m/>
    <n v="0"/>
    <n v="0"/>
    <m/>
    <m/>
    <m/>
    <m/>
    <m/>
    <m/>
    <m/>
    <m/>
    <m/>
    <m/>
    <m/>
    <m/>
  </r>
  <r>
    <x v="15"/>
    <s v="West Virginia School of Osteopathic Medicine"/>
    <m/>
    <n v="237880"/>
    <x v="11"/>
    <n v="0"/>
    <n v="0"/>
    <m/>
    <m/>
    <m/>
    <m/>
    <m/>
    <m/>
    <m/>
    <m/>
    <m/>
    <m/>
    <m/>
    <m/>
    <n v="0"/>
    <n v="0"/>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dataOnRows="1" applyNumberFormats="0" applyBorderFormats="0" applyFontFormats="0" applyPatternFormats="0" applyAlignmentFormats="0" applyWidthHeightFormats="1" dataCaption="Data" updatedVersion="4" showMemberPropertyTips="0" useAutoFormatting="1" itemPrintTitles="1" createdVersion="1" indent="0" compact="0" compactData="0" gridDropZones="1">
  <location ref="A3:U617" firstHeaderRow="1" firstDataRow="3" firstDataCol="2"/>
  <pivotFields count="74">
    <pivotField axis="axisRow" compact="0" outline="0" subtotalTop="0" showAll="0" includeNewItemsInFilter="1" sortType="ascending">
      <items count="17">
        <item x="0"/>
        <item x="1"/>
        <item x="2"/>
        <item x="3"/>
        <item x="4"/>
        <item x="5"/>
        <item x="6"/>
        <item x="7"/>
        <item x="8"/>
        <item x="9"/>
        <item x="10"/>
        <item x="11"/>
        <item x="12"/>
        <item x="13"/>
        <item x="14"/>
        <item x="15"/>
        <item t="default"/>
      </items>
    </pivotField>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18">
        <item x="0"/>
        <item x="1"/>
        <item x="2"/>
        <item x="3"/>
        <item x="4"/>
        <item x="5"/>
        <item x="11"/>
        <item x="12"/>
        <item x="6"/>
        <item x="7"/>
        <item x="8"/>
        <item x="9"/>
        <item x="10"/>
        <item h="1" m="1" x="16"/>
        <item h="1" m="1" x="15"/>
        <item h="1" x="14"/>
        <item x="1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compact="0" outline="0" subtotalTop="0" dragToRow="0" dragToCol="0" dragToPage="0" showAll="0" includeNewItemsInFilter="1"/>
    <pivotField compact="0" outline="0" subtotalTop="0" dragToRow="0" dragToCol="0" dragToPage="0" showAll="0" includeNewItemsInFilter="1"/>
    <pivotField compact="0" outline="0" subtotalTop="0" dragToRow="0" dragToCol="0" dragToPage="0" showAll="0" includeNewItemsInFilter="1"/>
    <pivotField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axis="axisCol" compact="0" outline="0" subtotalTop="0" showAll="0" includeNewItemsInFilter="1">
      <items count="8">
        <item n="Four-Year +" x="3"/>
        <item n="Two-Year" x="4"/>
        <item n="Technical" x="5"/>
        <item h="1" x="2"/>
        <item h="1" x="1"/>
        <item h="1" x="0"/>
        <item x="6"/>
        <item t="default"/>
      </items>
    </pivotField>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s>
  <rowFields count="2">
    <field x="0"/>
    <field x="-2"/>
  </rowFields>
  <rowItems count="612">
    <i>
      <x/>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6"/>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7"/>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8"/>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9"/>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0"/>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t="grand">
      <x/>
    </i>
    <i t="grand" i="1">
      <x/>
    </i>
    <i t="grand" i="2">
      <x/>
    </i>
    <i t="grand" i="3">
      <x/>
    </i>
    <i t="grand" i="4">
      <x/>
    </i>
    <i t="grand" i="5">
      <x/>
    </i>
    <i t="grand" i="6">
      <x/>
    </i>
    <i t="grand" i="7">
      <x/>
    </i>
    <i t="grand" i="8">
      <x/>
    </i>
    <i t="grand" i="9">
      <x/>
    </i>
    <i t="grand" i="10">
      <x/>
    </i>
    <i t="grand" i="11">
      <x/>
    </i>
    <i t="grand" i="12">
      <x/>
    </i>
    <i t="grand" i="13">
      <x/>
    </i>
    <i t="grand" i="14">
      <x/>
    </i>
    <i t="grand" i="15">
      <x/>
    </i>
    <i t="grand" i="16">
      <x/>
    </i>
    <i t="grand" i="17">
      <x/>
    </i>
    <i t="grand" i="18">
      <x/>
    </i>
    <i t="grand" i="19">
      <x/>
    </i>
    <i t="grand" i="20">
      <x/>
    </i>
    <i t="grand" i="21">
      <x/>
    </i>
    <i t="grand" i="22">
      <x/>
    </i>
    <i t="grand" i="23">
      <x/>
    </i>
    <i t="grand" i="24">
      <x/>
    </i>
    <i t="grand" i="25">
      <x/>
    </i>
    <i t="grand" i="26">
      <x/>
    </i>
    <i t="grand" i="27">
      <x/>
    </i>
    <i t="grand" i="28">
      <x/>
    </i>
    <i t="grand" i="29">
      <x/>
    </i>
    <i t="grand" i="30">
      <x/>
    </i>
    <i t="grand" i="31">
      <x/>
    </i>
    <i t="grand" i="32">
      <x/>
    </i>
    <i t="grand" i="33">
      <x/>
    </i>
    <i t="grand" i="34">
      <x/>
    </i>
    <i t="grand" i="35">
      <x/>
    </i>
  </rowItems>
  <colFields count="2">
    <field x="70"/>
    <field x="4"/>
  </colFields>
  <colItems count="19">
    <i>
      <x/>
      <x/>
    </i>
    <i r="1">
      <x v="1"/>
    </i>
    <i r="1">
      <x v="2"/>
    </i>
    <i r="1">
      <x v="3"/>
    </i>
    <i r="1">
      <x v="4"/>
    </i>
    <i r="1">
      <x v="5"/>
    </i>
    <i r="1">
      <x v="6"/>
    </i>
    <i t="default">
      <x/>
    </i>
    <i>
      <x v="1"/>
      <x v="7"/>
    </i>
    <i r="1">
      <x v="8"/>
    </i>
    <i r="1">
      <x v="9"/>
    </i>
    <i r="1">
      <x v="10"/>
    </i>
    <i t="default">
      <x v="1"/>
    </i>
    <i>
      <x v="2"/>
      <x v="11"/>
    </i>
    <i r="1">
      <x v="12"/>
    </i>
    <i t="default">
      <x v="2"/>
    </i>
    <i>
      <x v="6"/>
      <x v="16"/>
    </i>
    <i t="default">
      <x v="6"/>
    </i>
    <i t="grand">
      <x/>
    </i>
  </colItems>
  <dataFields count="36">
    <dataField name=" Old %UG OnC Trad" fld="69" baseField="0" baseItem="0"/>
    <dataField name=" New %UG OnC Trad" fld="68" baseField="0" baseItem="0"/>
    <dataField name=" Change %UG OnC Trad" fld="51" baseField="0" baseItem="0"/>
    <dataField name=" Old %UG OffC Trad" fld="73" baseField="0" baseItem="0"/>
    <dataField name=" New %UG OffC Trad" fld="67" baseField="0" baseItem="0"/>
    <dataField name=" Change %UG OffC Trad" fld="54" baseField="0" baseItem="5"/>
    <dataField name=" Old %UG EL Web" fld="35" baseField="0" baseItem="0"/>
    <dataField name=" New %UG EL Web" fld="36" baseField="0" baseItem="0"/>
    <dataField name=" Change %UG EL Web" fld="55" baseField="0" baseItem="0"/>
    <dataField name=" Old %UG EL CV" fld="42" baseField="0" baseItem="0"/>
    <dataField name=" New %UG EL CV" fld="41" baseField="0" baseItem="0"/>
    <dataField name=" Change %UG EL CV" fld="58" baseField="0" baseItem="0"/>
    <dataField name=" Old %UG EL O" fld="43" baseField="0" baseItem="0"/>
    <dataField name=" New %UG EL O" fld="44" baseField="0" baseItem="0"/>
    <dataField name=" Change %UG EL O" fld="59" baseField="0" baseItem="0"/>
    <dataField name=" Old %UG Cor" fld="50" baseField="0" baseItem="0"/>
    <dataField name=" New %UG Cor" fld="49" baseField="0" baseItem="0"/>
    <dataField name=" Change %UG Cor" fld="62" baseField="0" baseItem="0"/>
    <dataField name=" Old %G OnC Trad" fld="71" baseField="0" baseItem="0"/>
    <dataField name=" New %G OnC Trad" fld="33" baseField="0" baseItem="0"/>
    <dataField name=" Change %G OnC Trad" fld="52" baseField="0" baseItem="0"/>
    <dataField name=" Old %G OffC Trad" fld="72" baseField="0" baseItem="0"/>
    <dataField name=" New %G OffC Trad" fld="34" baseField="0" baseItem="0"/>
    <dataField name=" Change %G OffC Trad" fld="53" baseField="0" baseItem="0"/>
    <dataField name=" Old %G EL Web" fld="38" baseField="0" baseItem="0"/>
    <dataField name=" New %G EL Web" fld="37" baseField="0" baseItem="0"/>
    <dataField name=" Change %G EL Web" fld="56" baseField="0" baseItem="0"/>
    <dataField name=" Old %G EL CV" fld="39" baseField="0" baseItem="0"/>
    <dataField name=" New %G EL CV" fld="40" baseField="0" baseItem="0"/>
    <dataField name=" Change %G EL CV" fld="57" baseField="0" baseItem="0"/>
    <dataField name=" Old %G EL O" fld="46" baseField="0" baseItem="0"/>
    <dataField name=" New %G EL O" fld="45" baseField="0" baseItem="0"/>
    <dataField name=" Change %G EL O" fld="60" baseField="0" baseItem="0"/>
    <dataField name=" Old %G Cor" fld="47" baseField="0" baseItem="0"/>
    <dataField name=" New %G Cor" fld="48" baseField="0" baseItem="0"/>
    <dataField name=" Change %G Cor" fld="61" baseField="0" baseItem="0"/>
  </dataFields>
  <formats count="159">
    <format dxfId="653">
      <pivotArea field="4" type="button" dataOnly="0" labelOnly="1" outline="0" axis="axisCol" fieldPosition="1"/>
    </format>
    <format dxfId="652">
      <pivotArea type="topRight" dataOnly="0" labelOnly="1" outline="0" fieldPosition="0"/>
    </format>
    <format dxfId="651">
      <pivotArea dataOnly="0" labelOnly="1" grandCol="1" outline="0" fieldPosition="0"/>
    </format>
    <format dxfId="650">
      <pivotArea outline="0" fieldPosition="0"/>
    </format>
    <format dxfId="649">
      <pivotArea dataOnly="0" labelOnly="1" outline="0" offset="IV256" fieldPosition="0">
        <references count="1">
          <reference field="0" count="1">
            <x v="9"/>
          </reference>
        </references>
      </pivotArea>
    </format>
    <format dxfId="648">
      <pivotArea dataOnly="0" labelOnly="1" outline="0" fieldPosition="0">
        <references count="1">
          <reference field="0" count="0"/>
        </references>
      </pivotArea>
    </format>
    <format dxfId="647">
      <pivotArea type="origin" dataOnly="0" labelOnly="1" outline="0" fieldPosition="0"/>
    </format>
    <format dxfId="646">
      <pivotArea field="0" type="button" dataOnly="0" labelOnly="1" outline="0" axis="axisRow" fieldPosition="0"/>
    </format>
    <format dxfId="645">
      <pivotArea field="-2" type="button" dataOnly="0" labelOnly="1" outline="0" axis="axisRow" fieldPosition="1"/>
    </format>
    <format dxfId="644">
      <pivotArea field="4" type="button" dataOnly="0" labelOnly="1" outline="0" axis="axisCol" fieldPosition="1"/>
    </format>
    <format dxfId="643">
      <pivotArea type="topRight" dataOnly="0" labelOnly="1" outline="0" fieldPosition="0"/>
    </format>
    <format dxfId="642">
      <pivotArea dataOnly="0" labelOnly="1" grandCol="1" outline="0" offset="IV256" fieldPosition="0"/>
    </format>
    <format dxfId="641">
      <pivotArea field="0" grandRow="1" outline="0" axis="axisRow" fieldPosition="0">
        <references count="1">
          <reference field="4294967294" count="1" selected="0">
            <x v="35"/>
          </reference>
        </references>
      </pivotArea>
    </format>
    <format dxfId="640">
      <pivotArea field="0" dataOnly="0" labelOnly="1" grandRow="1" outline="0" axis="axisRow" fieldPosition="0">
        <references count="1">
          <reference field="4294967294" count="1" selected="0">
            <x v="0"/>
          </reference>
        </references>
      </pivotArea>
    </format>
    <format dxfId="639">
      <pivotArea field="0" dataOnly="0" labelOnly="1" grandRow="1" outline="0" axis="axisRow" fieldPosition="0">
        <references count="1">
          <reference field="4294967294" count="1" selected="0">
            <x v="1"/>
          </reference>
        </references>
      </pivotArea>
    </format>
    <format dxfId="638">
      <pivotArea field="0" dataOnly="0" labelOnly="1" grandRow="1" outline="0" axis="axisRow" fieldPosition="0">
        <references count="1">
          <reference field="4294967294" count="1" selected="0">
            <x v="3"/>
          </reference>
        </references>
      </pivotArea>
    </format>
    <format dxfId="637">
      <pivotArea field="0" dataOnly="0" labelOnly="1" grandRow="1" outline="0" axis="axisRow" fieldPosition="0">
        <references count="1">
          <reference field="4294967294" count="1" selected="0">
            <x v="4"/>
          </reference>
        </references>
      </pivotArea>
    </format>
    <format dxfId="636">
      <pivotArea field="0" dataOnly="0" labelOnly="1" grandRow="1" outline="0" axis="axisRow" fieldPosition="0">
        <references count="1">
          <reference field="4294967294" count="1" selected="0">
            <x v="5"/>
          </reference>
        </references>
      </pivotArea>
    </format>
    <format dxfId="635">
      <pivotArea field="0" dataOnly="0" labelOnly="1" grandRow="1" outline="0" axis="axisRow" fieldPosition="0">
        <references count="1">
          <reference field="4294967294" count="1" selected="0">
            <x v="6"/>
          </reference>
        </references>
      </pivotArea>
    </format>
    <format dxfId="634">
      <pivotArea field="0" dataOnly="0" labelOnly="1" grandRow="1" outline="0" axis="axisRow" fieldPosition="0">
        <references count="1">
          <reference field="4294967294" count="1" selected="0">
            <x v="7"/>
          </reference>
        </references>
      </pivotArea>
    </format>
    <format dxfId="633">
      <pivotArea field="0" dataOnly="0" labelOnly="1" grandRow="1" outline="0" axis="axisRow" fieldPosition="0">
        <references count="1">
          <reference field="4294967294" count="1" selected="0">
            <x v="8"/>
          </reference>
        </references>
      </pivotArea>
    </format>
    <format dxfId="632">
      <pivotArea field="0" dataOnly="0" labelOnly="1" grandRow="1" outline="0" axis="axisRow" fieldPosition="0">
        <references count="1">
          <reference field="4294967294" count="1" selected="0">
            <x v="9"/>
          </reference>
        </references>
      </pivotArea>
    </format>
    <format dxfId="631">
      <pivotArea field="0" dataOnly="0" labelOnly="1" grandRow="1" outline="0" axis="axisRow" fieldPosition="0">
        <references count="1">
          <reference field="4294967294" count="1" selected="0">
            <x v="10"/>
          </reference>
        </references>
      </pivotArea>
    </format>
    <format dxfId="630">
      <pivotArea field="0" dataOnly="0" labelOnly="1" grandRow="1" outline="0" axis="axisRow" fieldPosition="0">
        <references count="1">
          <reference field="4294967294" count="1" selected="0">
            <x v="11"/>
          </reference>
        </references>
      </pivotArea>
    </format>
    <format dxfId="629">
      <pivotArea field="0" dataOnly="0" labelOnly="1" grandRow="1" outline="0" axis="axisRow" fieldPosition="0">
        <references count="1">
          <reference field="4294967294" count="1" selected="0">
            <x v="12"/>
          </reference>
        </references>
      </pivotArea>
    </format>
    <format dxfId="628">
      <pivotArea field="0" dataOnly="0" labelOnly="1" grandRow="1" outline="0" axis="axisRow" fieldPosition="0">
        <references count="1">
          <reference field="4294967294" count="1" selected="0">
            <x v="13"/>
          </reference>
        </references>
      </pivotArea>
    </format>
    <format dxfId="627">
      <pivotArea field="0" dataOnly="0" labelOnly="1" grandRow="1" outline="0" axis="axisRow" fieldPosition="0">
        <references count="1">
          <reference field="4294967294" count="1" selected="0">
            <x v="14"/>
          </reference>
        </references>
      </pivotArea>
    </format>
    <format dxfId="626">
      <pivotArea field="0" dataOnly="0" labelOnly="1" grandRow="1" outline="0" axis="axisRow" fieldPosition="0">
        <references count="1">
          <reference field="4294967294" count="1" selected="0">
            <x v="15"/>
          </reference>
        </references>
      </pivotArea>
    </format>
    <format dxfId="625">
      <pivotArea field="0" dataOnly="0" labelOnly="1" grandRow="1" outline="0" axis="axisRow" fieldPosition="0">
        <references count="1">
          <reference field="4294967294" count="1" selected="0">
            <x v="16"/>
          </reference>
        </references>
      </pivotArea>
    </format>
    <format dxfId="624">
      <pivotArea field="0" dataOnly="0" labelOnly="1" grandRow="1" outline="0" axis="axisRow" fieldPosition="0">
        <references count="1">
          <reference field="4294967294" count="1" selected="0">
            <x v="17"/>
          </reference>
        </references>
      </pivotArea>
    </format>
    <format dxfId="623">
      <pivotArea field="0" dataOnly="0" labelOnly="1" grandRow="1" outline="0" axis="axisRow" fieldPosition="0">
        <references count="1">
          <reference field="4294967294" count="1" selected="0">
            <x v="18"/>
          </reference>
        </references>
      </pivotArea>
    </format>
    <format dxfId="622">
      <pivotArea field="0" dataOnly="0" labelOnly="1" grandRow="1" outline="0" axis="axisRow" fieldPosition="0">
        <references count="1">
          <reference field="4294967294" count="1" selected="0">
            <x v="19"/>
          </reference>
        </references>
      </pivotArea>
    </format>
    <format dxfId="621">
      <pivotArea field="0" dataOnly="0" labelOnly="1" grandRow="1" outline="0" axis="axisRow" fieldPosition="0">
        <references count="1">
          <reference field="4294967294" count="1" selected="0">
            <x v="20"/>
          </reference>
        </references>
      </pivotArea>
    </format>
    <format dxfId="620">
      <pivotArea field="0" dataOnly="0" labelOnly="1" grandRow="1" outline="0" axis="axisRow" fieldPosition="0">
        <references count="1">
          <reference field="4294967294" count="1" selected="0">
            <x v="21"/>
          </reference>
        </references>
      </pivotArea>
    </format>
    <format dxfId="619">
      <pivotArea field="0" dataOnly="0" labelOnly="1" grandRow="1" outline="0" axis="axisRow" fieldPosition="0">
        <references count="1">
          <reference field="4294967294" count="1" selected="0">
            <x v="22"/>
          </reference>
        </references>
      </pivotArea>
    </format>
    <format dxfId="618">
      <pivotArea field="0" dataOnly="0" labelOnly="1" grandRow="1" outline="0" axis="axisRow" fieldPosition="0">
        <references count="1">
          <reference field="4294967294" count="1" selected="0">
            <x v="23"/>
          </reference>
        </references>
      </pivotArea>
    </format>
    <format dxfId="617">
      <pivotArea field="0" dataOnly="0" labelOnly="1" grandRow="1" outline="0" axis="axisRow" fieldPosition="0">
        <references count="1">
          <reference field="4294967294" count="1" selected="0">
            <x v="24"/>
          </reference>
        </references>
      </pivotArea>
    </format>
    <format dxfId="616">
      <pivotArea field="0" dataOnly="0" labelOnly="1" grandRow="1" outline="0" axis="axisRow" fieldPosition="0">
        <references count="1">
          <reference field="4294967294" count="1" selected="0">
            <x v="25"/>
          </reference>
        </references>
      </pivotArea>
    </format>
    <format dxfId="615">
      <pivotArea field="0" dataOnly="0" labelOnly="1" grandRow="1" outline="0" axis="axisRow" fieldPosition="0">
        <references count="1">
          <reference field="4294967294" count="1" selected="0">
            <x v="26"/>
          </reference>
        </references>
      </pivotArea>
    </format>
    <format dxfId="614">
      <pivotArea field="0" dataOnly="0" labelOnly="1" grandRow="1" outline="0" axis="axisRow" fieldPosition="0">
        <references count="1">
          <reference field="4294967294" count="1" selected="0">
            <x v="27"/>
          </reference>
        </references>
      </pivotArea>
    </format>
    <format dxfId="613">
      <pivotArea field="0" dataOnly="0" labelOnly="1" grandRow="1" outline="0" axis="axisRow" fieldPosition="0">
        <references count="1">
          <reference field="4294967294" count="1" selected="0">
            <x v="28"/>
          </reference>
        </references>
      </pivotArea>
    </format>
    <format dxfId="612">
      <pivotArea field="0" dataOnly="0" labelOnly="1" grandRow="1" outline="0" axis="axisRow" fieldPosition="0">
        <references count="1">
          <reference field="4294967294" count="1" selected="0">
            <x v="29"/>
          </reference>
        </references>
      </pivotArea>
    </format>
    <format dxfId="611">
      <pivotArea field="0" dataOnly="0" labelOnly="1" grandRow="1" outline="0" axis="axisRow" fieldPosition="0">
        <references count="1">
          <reference field="4294967294" count="1" selected="0">
            <x v="30"/>
          </reference>
        </references>
      </pivotArea>
    </format>
    <format dxfId="610">
      <pivotArea field="0" dataOnly="0" labelOnly="1" grandRow="1" outline="0" axis="axisRow" fieldPosition="0">
        <references count="1">
          <reference field="4294967294" count="1" selected="0">
            <x v="31"/>
          </reference>
        </references>
      </pivotArea>
    </format>
    <format dxfId="609">
      <pivotArea field="0" dataOnly="0" labelOnly="1" grandRow="1" outline="0" axis="axisRow" fieldPosition="0">
        <references count="1">
          <reference field="4294967294" count="1" selected="0">
            <x v="32"/>
          </reference>
        </references>
      </pivotArea>
    </format>
    <format dxfId="608">
      <pivotArea field="0" dataOnly="0" labelOnly="1" grandRow="1" outline="0" axis="axisRow" fieldPosition="0">
        <references count="1">
          <reference field="4294967294" count="1" selected="0">
            <x v="33"/>
          </reference>
        </references>
      </pivotArea>
    </format>
    <format dxfId="607">
      <pivotArea field="0" dataOnly="0" labelOnly="1" grandRow="1" outline="0" axis="axisRow" fieldPosition="0">
        <references count="1">
          <reference field="4294967294" count="1" selected="0">
            <x v="34"/>
          </reference>
        </references>
      </pivotArea>
    </format>
    <format dxfId="606">
      <pivotArea field="0" dataOnly="0" labelOnly="1" grandRow="1" outline="0" axis="axisRow" fieldPosition="0">
        <references count="1">
          <reference field="4294967294" count="1" selected="0">
            <x v="35"/>
          </reference>
        </references>
      </pivotArea>
    </format>
    <format dxfId="605">
      <pivotArea field="0" grandRow="1" outline="0" axis="axisRow" fieldPosition="0">
        <references count="1">
          <reference field="4294967294" count="1" selected="0">
            <x v="5"/>
          </reference>
        </references>
      </pivotArea>
    </format>
    <format dxfId="604">
      <pivotArea field="0" grandRow="1" outline="0" axis="axisRow" fieldPosition="0">
        <references count="1">
          <reference field="4294967294" count="1" selected="0">
            <x v="8"/>
          </reference>
        </references>
      </pivotArea>
    </format>
    <format dxfId="603">
      <pivotArea field="0" grandRow="1" outline="0" axis="axisRow" fieldPosition="0">
        <references count="1">
          <reference field="4294967294" count="1" selected="0">
            <x v="11"/>
          </reference>
        </references>
      </pivotArea>
    </format>
    <format dxfId="602">
      <pivotArea field="0" grandRow="1" outline="0" axis="axisRow" fieldPosition="0">
        <references count="1">
          <reference field="4294967294" count="1" selected="0">
            <x v="14"/>
          </reference>
        </references>
      </pivotArea>
    </format>
    <format dxfId="601">
      <pivotArea field="0" grandRow="1" outline="0" axis="axisRow" fieldPosition="0">
        <references count="1">
          <reference field="4294967294" count="1" selected="0">
            <x v="17"/>
          </reference>
        </references>
      </pivotArea>
    </format>
    <format dxfId="600">
      <pivotArea field="0" grandRow="1" outline="0" axis="axisRow" fieldPosition="0">
        <references count="1">
          <reference field="4294967294" count="1" selected="0">
            <x v="20"/>
          </reference>
        </references>
      </pivotArea>
    </format>
    <format dxfId="599">
      <pivotArea field="0" grandRow="1" outline="0" axis="axisRow" fieldPosition="0">
        <references count="1">
          <reference field="4294967294" count="1" selected="0">
            <x v="23"/>
          </reference>
        </references>
      </pivotArea>
    </format>
    <format dxfId="598">
      <pivotArea field="0" grandRow="1" outline="0" axis="axisRow" fieldPosition="0">
        <references count="1">
          <reference field="4294967294" count="1" selected="0">
            <x v="26"/>
          </reference>
        </references>
      </pivotArea>
    </format>
    <format dxfId="597">
      <pivotArea field="0" grandRow="1" outline="0" axis="axisRow" fieldPosition="0">
        <references count="1">
          <reference field="4294967294" count="1" selected="0">
            <x v="29"/>
          </reference>
        </references>
      </pivotArea>
    </format>
    <format dxfId="596">
      <pivotArea field="0" grandRow="1" outline="0" axis="axisRow" fieldPosition="0">
        <references count="1">
          <reference field="4294967294" count="1" selected="0">
            <x v="32"/>
          </reference>
        </references>
      </pivotArea>
    </format>
    <format dxfId="595">
      <pivotArea field="0" grandRow="1" outline="0" axis="axisRow" fieldPosition="0">
        <references count="1">
          <reference field="4294967294" count="1" selected="0">
            <x v="35"/>
          </reference>
        </references>
      </pivotArea>
    </format>
    <format dxfId="594">
      <pivotArea field="4" type="button" dataOnly="0" labelOnly="1" outline="0" axis="axisCol" fieldPosition="1"/>
    </format>
    <format dxfId="593">
      <pivotArea type="topRight" dataOnly="0" labelOnly="1" outline="0" fieldPosition="0"/>
    </format>
    <format dxfId="592">
      <pivotArea type="topRight" dataOnly="0" labelOnly="1" outline="0" offset="O1" fieldPosition="0"/>
    </format>
    <format dxfId="591">
      <pivotArea type="origin" dataOnly="0" labelOnly="1" outline="0" offset="A2:B2" fieldPosition="0"/>
    </format>
    <format dxfId="590">
      <pivotArea field="0" dataOnly="0" labelOnly="1" grandRow="1" outline="0" axis="axisRow" fieldPosition="0">
        <references count="1">
          <reference field="4294967294" count="1" selected="0">
            <x v="0"/>
          </reference>
        </references>
      </pivotArea>
    </format>
    <format dxfId="589">
      <pivotArea field="0" dataOnly="0" labelOnly="1" grandRow="1" outline="0" axis="axisRow" fieldPosition="0">
        <references count="1">
          <reference field="4294967294" count="1" selected="0">
            <x v="1"/>
          </reference>
        </references>
      </pivotArea>
    </format>
    <format dxfId="588">
      <pivotArea field="0" dataOnly="0" labelOnly="1" grandRow="1" outline="0" axis="axisRow" fieldPosition="0">
        <references count="1">
          <reference field="4294967294" count="1" selected="0">
            <x v="3"/>
          </reference>
        </references>
      </pivotArea>
    </format>
    <format dxfId="587">
      <pivotArea field="0" dataOnly="0" labelOnly="1" grandRow="1" outline="0" axis="axisRow" fieldPosition="0">
        <references count="1">
          <reference field="4294967294" count="1" selected="0">
            <x v="4"/>
          </reference>
        </references>
      </pivotArea>
    </format>
    <format dxfId="586">
      <pivotArea field="0" dataOnly="0" labelOnly="1" grandRow="1" outline="0" axis="axisRow" fieldPosition="0">
        <references count="1">
          <reference field="4294967294" count="1" selected="0">
            <x v="5"/>
          </reference>
        </references>
      </pivotArea>
    </format>
    <format dxfId="585">
      <pivotArea field="0" dataOnly="0" labelOnly="1" grandRow="1" outline="0" axis="axisRow" fieldPosition="0">
        <references count="1">
          <reference field="4294967294" count="1" selected="0">
            <x v="6"/>
          </reference>
        </references>
      </pivotArea>
    </format>
    <format dxfId="584">
      <pivotArea field="0" dataOnly="0" labelOnly="1" grandRow="1" outline="0" axis="axisRow" fieldPosition="0">
        <references count="1">
          <reference field="4294967294" count="1" selected="0">
            <x v="7"/>
          </reference>
        </references>
      </pivotArea>
    </format>
    <format dxfId="583">
      <pivotArea field="0" dataOnly="0" labelOnly="1" grandRow="1" outline="0" axis="axisRow" fieldPosition="0">
        <references count="1">
          <reference field="4294967294" count="1" selected="0">
            <x v="8"/>
          </reference>
        </references>
      </pivotArea>
    </format>
    <format dxfId="582">
      <pivotArea field="0" dataOnly="0" labelOnly="1" grandRow="1" outline="0" axis="axisRow" fieldPosition="0">
        <references count="1">
          <reference field="4294967294" count="1" selected="0">
            <x v="9"/>
          </reference>
        </references>
      </pivotArea>
    </format>
    <format dxfId="581">
      <pivotArea field="0" dataOnly="0" labelOnly="1" grandRow="1" outline="0" axis="axisRow" fieldPosition="0">
        <references count="1">
          <reference field="4294967294" count="1" selected="0">
            <x v="10"/>
          </reference>
        </references>
      </pivotArea>
    </format>
    <format dxfId="580">
      <pivotArea field="0" dataOnly="0" labelOnly="1" grandRow="1" outline="0" axis="axisRow" fieldPosition="0">
        <references count="1">
          <reference field="4294967294" count="1" selected="0">
            <x v="11"/>
          </reference>
        </references>
      </pivotArea>
    </format>
    <format dxfId="579">
      <pivotArea field="0" dataOnly="0" labelOnly="1" grandRow="1" outline="0" axis="axisRow" fieldPosition="0">
        <references count="1">
          <reference field="4294967294" count="1" selected="0">
            <x v="12"/>
          </reference>
        </references>
      </pivotArea>
    </format>
    <format dxfId="578">
      <pivotArea field="0" dataOnly="0" labelOnly="1" grandRow="1" outline="0" axis="axisRow" fieldPosition="0">
        <references count="1">
          <reference field="4294967294" count="1" selected="0">
            <x v="13"/>
          </reference>
        </references>
      </pivotArea>
    </format>
    <format dxfId="577">
      <pivotArea field="0" dataOnly="0" labelOnly="1" grandRow="1" outline="0" axis="axisRow" fieldPosition="0">
        <references count="1">
          <reference field="4294967294" count="1" selected="0">
            <x v="14"/>
          </reference>
        </references>
      </pivotArea>
    </format>
    <format dxfId="576">
      <pivotArea field="0" dataOnly="0" labelOnly="1" grandRow="1" outline="0" axis="axisRow" fieldPosition="0">
        <references count="1">
          <reference field="4294967294" count="1" selected="0">
            <x v="15"/>
          </reference>
        </references>
      </pivotArea>
    </format>
    <format dxfId="575">
      <pivotArea field="0" dataOnly="0" labelOnly="1" grandRow="1" outline="0" axis="axisRow" fieldPosition="0">
        <references count="1">
          <reference field="4294967294" count="1" selected="0">
            <x v="16"/>
          </reference>
        </references>
      </pivotArea>
    </format>
    <format dxfId="574">
      <pivotArea field="0" dataOnly="0" labelOnly="1" grandRow="1" outline="0" axis="axisRow" fieldPosition="0">
        <references count="1">
          <reference field="4294967294" count="1" selected="0">
            <x v="17"/>
          </reference>
        </references>
      </pivotArea>
    </format>
    <format dxfId="573">
      <pivotArea field="0" dataOnly="0" labelOnly="1" grandRow="1" outline="0" axis="axisRow" fieldPosition="0">
        <references count="1">
          <reference field="4294967294" count="1" selected="0">
            <x v="18"/>
          </reference>
        </references>
      </pivotArea>
    </format>
    <format dxfId="572">
      <pivotArea field="0" dataOnly="0" labelOnly="1" grandRow="1" outline="0" axis="axisRow" fieldPosition="0">
        <references count="1">
          <reference field="4294967294" count="1" selected="0">
            <x v="19"/>
          </reference>
        </references>
      </pivotArea>
    </format>
    <format dxfId="571">
      <pivotArea field="0" dataOnly="0" labelOnly="1" grandRow="1" outline="0" axis="axisRow" fieldPosition="0">
        <references count="1">
          <reference field="4294967294" count="1" selected="0">
            <x v="20"/>
          </reference>
        </references>
      </pivotArea>
    </format>
    <format dxfId="570">
      <pivotArea field="0" dataOnly="0" labelOnly="1" grandRow="1" outline="0" axis="axisRow" fieldPosition="0">
        <references count="1">
          <reference field="4294967294" count="1" selected="0">
            <x v="21"/>
          </reference>
        </references>
      </pivotArea>
    </format>
    <format dxfId="569">
      <pivotArea field="0" dataOnly="0" labelOnly="1" grandRow="1" outline="0" axis="axisRow" fieldPosition="0">
        <references count="1">
          <reference field="4294967294" count="1" selected="0">
            <x v="22"/>
          </reference>
        </references>
      </pivotArea>
    </format>
    <format dxfId="568">
      <pivotArea field="0" dataOnly="0" labelOnly="1" grandRow="1" outline="0" axis="axisRow" fieldPosition="0">
        <references count="1">
          <reference field="4294967294" count="1" selected="0">
            <x v="23"/>
          </reference>
        </references>
      </pivotArea>
    </format>
    <format dxfId="567">
      <pivotArea field="0" dataOnly="0" labelOnly="1" grandRow="1" outline="0" axis="axisRow" fieldPosition="0">
        <references count="1">
          <reference field="4294967294" count="1" selected="0">
            <x v="24"/>
          </reference>
        </references>
      </pivotArea>
    </format>
    <format dxfId="566">
      <pivotArea field="0" dataOnly="0" labelOnly="1" grandRow="1" outline="0" axis="axisRow" fieldPosition="0">
        <references count="1">
          <reference field="4294967294" count="1" selected="0">
            <x v="25"/>
          </reference>
        </references>
      </pivotArea>
    </format>
    <format dxfId="565">
      <pivotArea field="0" dataOnly="0" labelOnly="1" grandRow="1" outline="0" axis="axisRow" fieldPosition="0">
        <references count="1">
          <reference field="4294967294" count="1" selected="0">
            <x v="26"/>
          </reference>
        </references>
      </pivotArea>
    </format>
    <format dxfId="564">
      <pivotArea field="0" dataOnly="0" labelOnly="1" grandRow="1" outline="0" axis="axisRow" fieldPosition="0">
        <references count="1">
          <reference field="4294967294" count="1" selected="0">
            <x v="27"/>
          </reference>
        </references>
      </pivotArea>
    </format>
    <format dxfId="563">
      <pivotArea field="0" dataOnly="0" labelOnly="1" grandRow="1" outline="0" axis="axisRow" fieldPosition="0">
        <references count="1">
          <reference field="4294967294" count="1" selected="0">
            <x v="28"/>
          </reference>
        </references>
      </pivotArea>
    </format>
    <format dxfId="562">
      <pivotArea field="0" dataOnly="0" labelOnly="1" grandRow="1" outline="0" axis="axisRow" fieldPosition="0">
        <references count="1">
          <reference field="4294967294" count="1" selected="0">
            <x v="29"/>
          </reference>
        </references>
      </pivotArea>
    </format>
    <format dxfId="561">
      <pivotArea field="0" dataOnly="0" labelOnly="1" grandRow="1" outline="0" axis="axisRow" fieldPosition="0">
        <references count="1">
          <reference field="4294967294" count="1" selected="0">
            <x v="30"/>
          </reference>
        </references>
      </pivotArea>
    </format>
    <format dxfId="560">
      <pivotArea field="0" dataOnly="0" labelOnly="1" grandRow="1" outline="0" axis="axisRow" fieldPosition="0">
        <references count="1">
          <reference field="4294967294" count="1" selected="0">
            <x v="31"/>
          </reference>
        </references>
      </pivotArea>
    </format>
    <format dxfId="559">
      <pivotArea field="0" dataOnly="0" labelOnly="1" grandRow="1" outline="0" axis="axisRow" fieldPosition="0">
        <references count="1">
          <reference field="4294967294" count="1" selected="0">
            <x v="32"/>
          </reference>
        </references>
      </pivotArea>
    </format>
    <format dxfId="558">
      <pivotArea field="0" dataOnly="0" labelOnly="1" grandRow="1" outline="0" axis="axisRow" fieldPosition="0">
        <references count="1">
          <reference field="4294967294" count="1" selected="0">
            <x v="33"/>
          </reference>
        </references>
      </pivotArea>
    </format>
    <format dxfId="557">
      <pivotArea field="0" dataOnly="0" labelOnly="1" grandRow="1" outline="0" axis="axisRow" fieldPosition="0">
        <references count="1">
          <reference field="4294967294" count="1" selected="0">
            <x v="34"/>
          </reference>
        </references>
      </pivotArea>
    </format>
    <format dxfId="556">
      <pivotArea field="0" dataOnly="0" labelOnly="1" grandRow="1" outline="0" axis="axisRow" fieldPosition="0">
        <references count="1">
          <reference field="4294967294" count="1" selected="0">
            <x v="35"/>
          </reference>
        </references>
      </pivotArea>
    </format>
    <format dxfId="555">
      <pivotArea field="0" grandRow="1" outline="0" axis="axisRow" fieldPosition="0">
        <references count="1">
          <reference field="4294967294" count="1" selected="0">
            <x v="35"/>
          </reference>
        </references>
      </pivotArea>
    </format>
    <format dxfId="554">
      <pivotArea field="0" dataOnly="0" labelOnly="1" grandRow="1" outline="0" offset="IV256" axis="axisRow" fieldPosition="0">
        <references count="1">
          <reference field="4294967294" count="1" selected="0">
            <x v="0"/>
          </reference>
        </references>
      </pivotArea>
    </format>
    <format dxfId="553">
      <pivotArea field="0" dataOnly="0" labelOnly="1" grandRow="1" outline="0" offset="IV256" axis="axisRow" fieldPosition="0">
        <references count="1">
          <reference field="4294967294" count="1" selected="0">
            <x v="1"/>
          </reference>
        </references>
      </pivotArea>
    </format>
    <format dxfId="552">
      <pivotArea field="0" dataOnly="0" labelOnly="1" grandRow="1" outline="0" offset="IV256" axis="axisRow" fieldPosition="0">
        <references count="1">
          <reference field="4294967294" count="1" selected="0">
            <x v="3"/>
          </reference>
        </references>
      </pivotArea>
    </format>
    <format dxfId="551">
      <pivotArea field="0" dataOnly="0" labelOnly="1" grandRow="1" outline="0" offset="IV256" axis="axisRow" fieldPosition="0">
        <references count="1">
          <reference field="4294967294" count="1" selected="0">
            <x v="4"/>
          </reference>
        </references>
      </pivotArea>
    </format>
    <format dxfId="550">
      <pivotArea field="0" dataOnly="0" labelOnly="1" grandRow="1" outline="0" offset="IV256" axis="axisRow" fieldPosition="0">
        <references count="1">
          <reference field="4294967294" count="1" selected="0">
            <x v="5"/>
          </reference>
        </references>
      </pivotArea>
    </format>
    <format dxfId="549">
      <pivotArea field="0" dataOnly="0" labelOnly="1" grandRow="1" outline="0" offset="IV256" axis="axisRow" fieldPosition="0">
        <references count="1">
          <reference field="4294967294" count="1" selected="0">
            <x v="6"/>
          </reference>
        </references>
      </pivotArea>
    </format>
    <format dxfId="548">
      <pivotArea field="0" dataOnly="0" labelOnly="1" grandRow="1" outline="0" offset="IV256" axis="axisRow" fieldPosition="0">
        <references count="1">
          <reference field="4294967294" count="1" selected="0">
            <x v="7"/>
          </reference>
        </references>
      </pivotArea>
    </format>
    <format dxfId="547">
      <pivotArea field="0" dataOnly="0" labelOnly="1" grandRow="1" outline="0" offset="IV256" axis="axisRow" fieldPosition="0">
        <references count="1">
          <reference field="4294967294" count="1" selected="0">
            <x v="8"/>
          </reference>
        </references>
      </pivotArea>
    </format>
    <format dxfId="546">
      <pivotArea field="0" dataOnly="0" labelOnly="1" grandRow="1" outline="0" offset="IV256" axis="axisRow" fieldPosition="0">
        <references count="1">
          <reference field="4294967294" count="1" selected="0">
            <x v="9"/>
          </reference>
        </references>
      </pivotArea>
    </format>
    <format dxfId="545">
      <pivotArea field="0" dataOnly="0" labelOnly="1" grandRow="1" outline="0" offset="IV256" axis="axisRow" fieldPosition="0">
        <references count="1">
          <reference field="4294967294" count="1" selected="0">
            <x v="10"/>
          </reference>
        </references>
      </pivotArea>
    </format>
    <format dxfId="544">
      <pivotArea field="0" dataOnly="0" labelOnly="1" grandRow="1" outline="0" offset="IV256" axis="axisRow" fieldPosition="0">
        <references count="1">
          <reference field="4294967294" count="1" selected="0">
            <x v="11"/>
          </reference>
        </references>
      </pivotArea>
    </format>
    <format dxfId="543">
      <pivotArea field="0" dataOnly="0" labelOnly="1" grandRow="1" outline="0" offset="IV256" axis="axisRow" fieldPosition="0">
        <references count="1">
          <reference field="4294967294" count="1" selected="0">
            <x v="12"/>
          </reference>
        </references>
      </pivotArea>
    </format>
    <format dxfId="542">
      <pivotArea field="0" dataOnly="0" labelOnly="1" grandRow="1" outline="0" offset="IV256" axis="axisRow" fieldPosition="0">
        <references count="1">
          <reference field="4294967294" count="1" selected="0">
            <x v="13"/>
          </reference>
        </references>
      </pivotArea>
    </format>
    <format dxfId="541">
      <pivotArea field="0" dataOnly="0" labelOnly="1" grandRow="1" outline="0" offset="IV256" axis="axisRow" fieldPosition="0">
        <references count="1">
          <reference field="4294967294" count="1" selected="0">
            <x v="14"/>
          </reference>
        </references>
      </pivotArea>
    </format>
    <format dxfId="540">
      <pivotArea field="0" dataOnly="0" labelOnly="1" grandRow="1" outline="0" offset="IV256" axis="axisRow" fieldPosition="0">
        <references count="1">
          <reference field="4294967294" count="1" selected="0">
            <x v="15"/>
          </reference>
        </references>
      </pivotArea>
    </format>
    <format dxfId="539">
      <pivotArea field="0" dataOnly="0" labelOnly="1" grandRow="1" outline="0" offset="IV256" axis="axisRow" fieldPosition="0">
        <references count="1">
          <reference field="4294967294" count="1" selected="0">
            <x v="16"/>
          </reference>
        </references>
      </pivotArea>
    </format>
    <format dxfId="538">
      <pivotArea field="0" dataOnly="0" labelOnly="1" grandRow="1" outline="0" offset="IV256" axis="axisRow" fieldPosition="0">
        <references count="1">
          <reference field="4294967294" count="1" selected="0">
            <x v="17"/>
          </reference>
        </references>
      </pivotArea>
    </format>
    <format dxfId="537">
      <pivotArea field="0" dataOnly="0" labelOnly="1" grandRow="1" outline="0" offset="IV256" axis="axisRow" fieldPosition="0">
        <references count="1">
          <reference field="4294967294" count="1" selected="0">
            <x v="18"/>
          </reference>
        </references>
      </pivotArea>
    </format>
    <format dxfId="536">
      <pivotArea field="0" dataOnly="0" labelOnly="1" grandRow="1" outline="0" offset="IV256" axis="axisRow" fieldPosition="0">
        <references count="1">
          <reference field="4294967294" count="1" selected="0">
            <x v="19"/>
          </reference>
        </references>
      </pivotArea>
    </format>
    <format dxfId="535">
      <pivotArea field="0" dataOnly="0" labelOnly="1" grandRow="1" outline="0" offset="IV256" axis="axisRow" fieldPosition="0">
        <references count="1">
          <reference field="4294967294" count="1" selected="0">
            <x v="20"/>
          </reference>
        </references>
      </pivotArea>
    </format>
    <format dxfId="534">
      <pivotArea field="0" dataOnly="0" labelOnly="1" grandRow="1" outline="0" offset="IV256" axis="axisRow" fieldPosition="0">
        <references count="1">
          <reference field="4294967294" count="1" selected="0">
            <x v="21"/>
          </reference>
        </references>
      </pivotArea>
    </format>
    <format dxfId="533">
      <pivotArea field="0" dataOnly="0" labelOnly="1" grandRow="1" outline="0" offset="IV256" axis="axisRow" fieldPosition="0">
        <references count="1">
          <reference field="4294967294" count="1" selected="0">
            <x v="22"/>
          </reference>
        </references>
      </pivotArea>
    </format>
    <format dxfId="532">
      <pivotArea field="0" dataOnly="0" labelOnly="1" grandRow="1" outline="0" offset="IV256" axis="axisRow" fieldPosition="0">
        <references count="1">
          <reference field="4294967294" count="1" selected="0">
            <x v="23"/>
          </reference>
        </references>
      </pivotArea>
    </format>
    <format dxfId="531">
      <pivotArea field="0" dataOnly="0" labelOnly="1" grandRow="1" outline="0" offset="IV256" axis="axisRow" fieldPosition="0">
        <references count="1">
          <reference field="4294967294" count="1" selected="0">
            <x v="24"/>
          </reference>
        </references>
      </pivotArea>
    </format>
    <format dxfId="530">
      <pivotArea field="0" dataOnly="0" labelOnly="1" grandRow="1" outline="0" offset="IV256" axis="axisRow" fieldPosition="0">
        <references count="1">
          <reference field="4294967294" count="1" selected="0">
            <x v="25"/>
          </reference>
        </references>
      </pivotArea>
    </format>
    <format dxfId="529">
      <pivotArea field="0" dataOnly="0" labelOnly="1" grandRow="1" outline="0" offset="IV256" axis="axisRow" fieldPosition="0">
        <references count="1">
          <reference field="4294967294" count="1" selected="0">
            <x v="26"/>
          </reference>
        </references>
      </pivotArea>
    </format>
    <format dxfId="528">
      <pivotArea field="0" dataOnly="0" labelOnly="1" grandRow="1" outline="0" offset="IV256" axis="axisRow" fieldPosition="0">
        <references count="1">
          <reference field="4294967294" count="1" selected="0">
            <x v="27"/>
          </reference>
        </references>
      </pivotArea>
    </format>
    <format dxfId="527">
      <pivotArea field="0" dataOnly="0" labelOnly="1" grandRow="1" outline="0" offset="IV256" axis="axisRow" fieldPosition="0">
        <references count="1">
          <reference field="4294967294" count="1" selected="0">
            <x v="28"/>
          </reference>
        </references>
      </pivotArea>
    </format>
    <format dxfId="526">
      <pivotArea field="0" dataOnly="0" labelOnly="1" grandRow="1" outline="0" offset="IV256" axis="axisRow" fieldPosition="0">
        <references count="1">
          <reference field="4294967294" count="1" selected="0">
            <x v="29"/>
          </reference>
        </references>
      </pivotArea>
    </format>
    <format dxfId="525">
      <pivotArea field="0" dataOnly="0" labelOnly="1" grandRow="1" outline="0" offset="IV256" axis="axisRow" fieldPosition="0">
        <references count="1">
          <reference field="4294967294" count="1" selected="0">
            <x v="30"/>
          </reference>
        </references>
      </pivotArea>
    </format>
    <format dxfId="524">
      <pivotArea field="0" dataOnly="0" labelOnly="1" grandRow="1" outline="0" offset="IV256" axis="axisRow" fieldPosition="0">
        <references count="1">
          <reference field="4294967294" count="1" selected="0">
            <x v="31"/>
          </reference>
        </references>
      </pivotArea>
    </format>
    <format dxfId="523">
      <pivotArea field="0" dataOnly="0" labelOnly="1" grandRow="1" outline="0" offset="IV256" axis="axisRow" fieldPosition="0">
        <references count="1">
          <reference field="4294967294" count="1" selected="0">
            <x v="32"/>
          </reference>
        </references>
      </pivotArea>
    </format>
    <format dxfId="522">
      <pivotArea field="0" dataOnly="0" labelOnly="1" grandRow="1" outline="0" offset="IV256" axis="axisRow" fieldPosition="0">
        <references count="1">
          <reference field="4294967294" count="1" selected="0">
            <x v="33"/>
          </reference>
        </references>
      </pivotArea>
    </format>
    <format dxfId="521">
      <pivotArea field="0" dataOnly="0" labelOnly="1" grandRow="1" outline="0" offset="IV256" axis="axisRow" fieldPosition="0">
        <references count="1">
          <reference field="4294967294" count="1" selected="0">
            <x v="34"/>
          </reference>
        </references>
      </pivotArea>
    </format>
    <format dxfId="520">
      <pivotArea field="0" dataOnly="0" labelOnly="1" grandRow="1" outline="0" offset="IV256" axis="axisRow" fieldPosition="0">
        <references count="1">
          <reference field="4294967294" count="1" selected="0">
            <x v="35"/>
          </reference>
        </references>
      </pivotArea>
    </format>
    <format dxfId="519">
      <pivotArea type="all" dataOnly="0" outline="0" fieldPosition="0"/>
    </format>
    <format dxfId="518">
      <pivotArea type="all" dataOnly="0" outline="0" fieldPosition="0"/>
    </format>
    <format dxfId="517">
      <pivotArea outline="0" fieldPosition="0">
        <references count="2">
          <reference field="4" count="1" selected="0">
            <x v="8"/>
          </reference>
          <reference field="70" count="1" selected="0">
            <x v="1"/>
          </reference>
        </references>
      </pivotArea>
    </format>
    <format dxfId="516">
      <pivotArea dataOnly="0" labelOnly="1" outline="0" offset="B256" fieldPosition="0">
        <references count="1">
          <reference field="70" count="1">
            <x v="1"/>
          </reference>
        </references>
      </pivotArea>
    </format>
    <format dxfId="515">
      <pivotArea dataOnly="0" labelOnly="1" outline="0" fieldPosition="0">
        <references count="2">
          <reference field="4" count="1">
            <x v="8"/>
          </reference>
          <reference field="70" count="1" selected="0">
            <x v="1"/>
          </reference>
        </references>
      </pivotArea>
    </format>
    <format dxfId="514">
      <pivotArea outline="0" fieldPosition="0">
        <references count="2">
          <reference field="4" count="1" selected="0">
            <x v="7"/>
          </reference>
          <reference field="70" count="1" selected="0">
            <x v="1"/>
          </reference>
        </references>
      </pivotArea>
    </format>
    <format dxfId="513">
      <pivotArea dataOnly="0" labelOnly="1" outline="0" fieldPosition="0">
        <references count="2">
          <reference field="4" count="1">
            <x v="7"/>
          </reference>
          <reference field="70" count="1" selected="0">
            <x v="1"/>
          </reference>
        </references>
      </pivotArea>
    </format>
    <format dxfId="512">
      <pivotArea dataOnly="0" labelOnly="1" outline="0" offset="A256" fieldPosition="0">
        <references count="1">
          <reference field="70" count="1">
            <x v="1"/>
          </reference>
        </references>
      </pivotArea>
    </format>
    <format dxfId="511">
      <pivotArea outline="0" fieldPosition="0">
        <references count="2">
          <reference field="4" count="1" selected="0">
            <x v="11"/>
          </reference>
          <reference field="70" count="1" selected="0">
            <x v="2"/>
          </reference>
        </references>
      </pivotArea>
    </format>
    <format dxfId="510">
      <pivotArea dataOnly="0" labelOnly="1" outline="0" fieldPosition="0">
        <references count="2">
          <reference field="4" count="1">
            <x v="11"/>
          </reference>
          <reference field="70" count="1" selected="0">
            <x v="2"/>
          </reference>
        </references>
      </pivotArea>
    </format>
    <format dxfId="509">
      <pivotArea outline="0" fieldPosition="0">
        <references count="4">
          <reference field="4294967294" count="1" selected="0">
            <x v="19"/>
          </reference>
          <reference field="0" count="1" selected="0">
            <x v="1"/>
          </reference>
          <reference field="4" count="1" selected="0">
            <x v="6"/>
          </reference>
          <reference field="70" count="1" selected="0">
            <x v="0"/>
          </reference>
        </references>
      </pivotArea>
    </format>
    <format dxfId="508">
      <pivotArea outline="0" fieldPosition="0">
        <references count="2">
          <reference field="4294967294" count="1" selected="0">
            <x v="35"/>
          </reference>
          <reference field="0" count="1" selected="0">
            <x v="0"/>
          </reference>
        </references>
      </pivotArea>
    </format>
    <format dxfId="507">
      <pivotArea dataOnly="0" labelOnly="1" outline="0" offset="IV256" fieldPosition="0">
        <references count="1">
          <reference field="0" count="1">
            <x v="0"/>
          </reference>
        </references>
      </pivotArea>
    </format>
    <format dxfId="506">
      <pivotArea dataOnly="0" labelOnly="1" outline="0" fieldPosition="0">
        <references count="2">
          <reference field="4294967294" count="1">
            <x v="35"/>
          </reference>
          <reference field="0" count="1" selected="0">
            <x v="0"/>
          </reference>
        </references>
      </pivotArea>
    </format>
    <format dxfId="505">
      <pivotArea outline="0" fieldPosition="0">
        <references count="4">
          <reference field="4294967294" count="1" selected="0">
            <x v="26"/>
          </reference>
          <reference field="0" count="1" selected="0">
            <x v="10"/>
          </reference>
          <reference field="4" count="1" selected="0">
            <x v="0"/>
          </reference>
          <reference field="70" count="1" selected="0">
            <x v="0"/>
          </reference>
        </references>
      </pivotArea>
    </format>
    <format dxfId="504">
      <pivotArea outline="0" fieldPosition="0">
        <references count="4">
          <reference field="4294967294" count="1" selected="0">
            <x v="20"/>
          </reference>
          <reference field="0" count="1" selected="0">
            <x v="10"/>
          </reference>
          <reference field="4" count="1" selected="0">
            <x v="0"/>
          </reference>
          <reference field="70" count="1" selected="0">
            <x v="0"/>
          </reference>
        </references>
      </pivotArea>
    </format>
    <format dxfId="503">
      <pivotArea outline="0" fieldPosition="0">
        <references count="4">
          <reference field="4294967294" count="1" selected="0">
            <x v="2"/>
          </reference>
          <reference field="0" count="1" selected="0">
            <x v="14"/>
          </reference>
          <reference field="4" count="1" selected="0">
            <x v="5"/>
          </reference>
          <reference field="70" count="1" selected="0">
            <x v="0"/>
          </reference>
        </references>
      </pivotArea>
    </format>
    <format dxfId="502">
      <pivotArea outline="0" fieldPosition="0">
        <references count="4">
          <reference field="4294967294" count="1" selected="0">
            <x v="11"/>
          </reference>
          <reference field="0" count="1" selected="0">
            <x v="14"/>
          </reference>
          <reference field="4" count="1" selected="0">
            <x v="2"/>
          </reference>
          <reference field="70" count="1" selected="0">
            <x v="0"/>
          </reference>
        </references>
      </pivotArea>
    </format>
    <format dxfId="501">
      <pivotArea outline="0" fieldPosition="0">
        <references count="4">
          <reference field="4294967294" count="1" selected="0">
            <x v="26"/>
          </reference>
          <reference field="0" count="1" selected="0">
            <x v="14"/>
          </reference>
          <reference field="4" count="1" selected="0">
            <x v="3"/>
          </reference>
          <reference field="70" count="1" selected="0">
            <x v="0"/>
          </reference>
        </references>
      </pivotArea>
    </format>
    <format dxfId="500">
      <pivotArea outline="0" fieldPosition="0">
        <references count="4">
          <reference field="4294967294" count="1" selected="0">
            <x v="29"/>
          </reference>
          <reference field="0" count="1" selected="0">
            <x v="14"/>
          </reference>
          <reference field="4" count="1" selected="0">
            <x v="2"/>
          </reference>
          <reference field="70" count="1" selected="0">
            <x v="0"/>
          </reference>
        </references>
      </pivotArea>
    </format>
    <format dxfId="499">
      <pivotArea outline="0" fieldPosition="0">
        <references count="4">
          <reference field="4294967294" count="1" selected="0">
            <x v="23"/>
          </reference>
          <reference field="0" count="1" selected="0">
            <x v="11"/>
          </reference>
          <reference field="4" count="1" selected="0">
            <x v="5"/>
          </reference>
          <reference field="70" count="1" selected="0">
            <x v="0"/>
          </reference>
        </references>
      </pivotArea>
    </format>
    <format dxfId="498">
      <pivotArea outline="0" fieldPosition="0">
        <references count="4">
          <reference field="4294967294" count="1" selected="0">
            <x v="26"/>
          </reference>
          <reference field="0" count="1" selected="0">
            <x v="11"/>
          </reference>
          <reference field="4" count="1" selected="0">
            <x v="5"/>
          </reference>
          <reference field="70" count="1" selected="0">
            <x v="0"/>
          </reference>
        </references>
      </pivotArea>
    </format>
    <format dxfId="497">
      <pivotArea outline="0" fieldPosition="0">
        <references count="4">
          <reference field="4294967294" count="1" selected="0">
            <x v="2"/>
          </reference>
          <reference field="0" count="1" selected="0">
            <x v="3"/>
          </reference>
          <reference field="4" count="1" selected="0">
            <x v="10"/>
          </reference>
          <reference field="70" count="1" selected="0">
            <x v="1"/>
          </reference>
        </references>
      </pivotArea>
    </format>
    <format dxfId="496">
      <pivotArea outline="0" fieldPosition="0">
        <references count="4">
          <reference field="4294967294" count="1" selected="0">
            <x v="14"/>
          </reference>
          <reference field="0" count="1" selected="0">
            <x v="3"/>
          </reference>
          <reference field="4" count="1" selected="0">
            <x v="10"/>
          </reference>
          <reference field="70" count="1" selected="0">
            <x v="1"/>
          </reference>
        </references>
      </pivotArea>
    </format>
    <format dxfId="495">
      <pivotArea outline="0" fieldPosition="0">
        <references count="4">
          <reference field="4294967294" count="1" selected="0">
            <x v="26"/>
          </reference>
          <reference field="0" count="1" selected="0">
            <x v="7"/>
          </reference>
          <reference field="4" count="1" selected="0">
            <x v="6"/>
          </reference>
          <reference field="70" count="1" selected="0">
            <x v="0"/>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2" cacheId="0" dataOnRows="1" applyNumberFormats="0" applyBorderFormats="0" applyFontFormats="0" applyPatternFormats="0" applyAlignmentFormats="0" applyWidthHeightFormats="1" dataCaption="Data" updatedVersion="4" asteriskTotals="1" showMemberPropertyTips="0" useAutoFormatting="1" rowGrandTotals="0" colGrandTotals="0" itemPrintTitles="1" createdVersion="1" indent="0" compact="0" compactData="0" gridDropZones="1">
  <location ref="A3:S133" firstHeaderRow="1" firstDataRow="3" firstDataCol="2"/>
  <pivotFields count="74">
    <pivotField axis="axisRow" compact="0" outline="0" subtotalTop="0" showAll="0" includeNewItemsInFilter="1" sortType="ascending">
      <items count="18">
        <item x="0"/>
        <item x="1"/>
        <item x="2"/>
        <item x="3"/>
        <item x="4"/>
        <item m="1" x="16"/>
        <item x="5"/>
        <item x="6"/>
        <item x="7"/>
        <item x="8"/>
        <item x="9"/>
        <item x="10"/>
        <item x="11"/>
        <item x="12"/>
        <item x="13"/>
        <item x="14"/>
        <item x="15"/>
        <item t="default"/>
      </items>
    </pivotField>
    <pivotField compact="0" outline="0" subtotalTop="0" showAll="0" includeNewItemsInFilter="1"/>
    <pivotField compact="0" outline="0" subtotalTop="0" showAll="0" includeNewItemsInFilter="1" defaultSubtotal="0"/>
    <pivotField compact="0" outline="0" subtotalTop="0" showAll="0" includeNewItemsInFilter="1"/>
    <pivotField axis="axisCol" compact="0" outline="0" subtotalTop="0" showAll="0" includeNewItemsInFilter="1" defaultSubtotal="0">
      <items count="16">
        <item x="0"/>
        <item x="1"/>
        <item x="2"/>
        <item x="3"/>
        <item x="4"/>
        <item x="5"/>
        <item x="12"/>
        <item m="1" x="15"/>
        <item m="1" x="14"/>
        <item x="13"/>
        <item x="11"/>
        <item x="6"/>
        <item x="7"/>
        <item x="8"/>
        <item x="9"/>
        <item x="10"/>
      </items>
    </pivotField>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axis="axisCol" compact="0" outline="0" subtotalTop="0" showAll="0" includeNewItemsInFilter="1">
      <items count="6">
        <item n="Four-Year" x="2"/>
        <item x="1"/>
        <item x="0"/>
        <item n="Two-Year" x="3"/>
        <item n="Techncial" x="4"/>
        <item t="default"/>
      </items>
    </pivotField>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0"/>
    <field x="-2"/>
  </rowFields>
  <rowItems count="128">
    <i>
      <x/>
      <x/>
    </i>
    <i r="1" i="1">
      <x v="1"/>
    </i>
    <i r="1" i="2">
      <x v="2"/>
    </i>
    <i r="1" i="3">
      <x v="3"/>
    </i>
    <i r="1" i="4">
      <x v="4"/>
    </i>
    <i r="1" i="5">
      <x v="5"/>
    </i>
    <i r="1" i="6">
      <x v="6"/>
    </i>
    <i r="1" i="7">
      <x v="7"/>
    </i>
    <i>
      <x v="1"/>
      <x/>
    </i>
    <i r="1" i="1">
      <x v="1"/>
    </i>
    <i r="1" i="2">
      <x v="2"/>
    </i>
    <i r="1" i="3">
      <x v="3"/>
    </i>
    <i r="1" i="4">
      <x v="4"/>
    </i>
    <i r="1" i="5">
      <x v="5"/>
    </i>
    <i r="1" i="6">
      <x v="6"/>
    </i>
    <i r="1" i="7">
      <x v="7"/>
    </i>
    <i>
      <x v="2"/>
      <x/>
    </i>
    <i r="1" i="1">
      <x v="1"/>
    </i>
    <i r="1" i="2">
      <x v="2"/>
    </i>
    <i r="1" i="3">
      <x v="3"/>
    </i>
    <i r="1" i="4">
      <x v="4"/>
    </i>
    <i r="1" i="5">
      <x v="5"/>
    </i>
    <i r="1" i="6">
      <x v="6"/>
    </i>
    <i r="1" i="7">
      <x v="7"/>
    </i>
    <i>
      <x v="3"/>
      <x/>
    </i>
    <i r="1" i="1">
      <x v="1"/>
    </i>
    <i r="1" i="2">
      <x v="2"/>
    </i>
    <i r="1" i="3">
      <x v="3"/>
    </i>
    <i r="1" i="4">
      <x v="4"/>
    </i>
    <i r="1" i="5">
      <x v="5"/>
    </i>
    <i r="1" i="6">
      <x v="6"/>
    </i>
    <i r="1" i="7">
      <x v="7"/>
    </i>
    <i>
      <x v="4"/>
      <x/>
    </i>
    <i r="1" i="1">
      <x v="1"/>
    </i>
    <i r="1" i="2">
      <x v="2"/>
    </i>
    <i r="1" i="3">
      <x v="3"/>
    </i>
    <i r="1" i="4">
      <x v="4"/>
    </i>
    <i r="1" i="5">
      <x v="5"/>
    </i>
    <i r="1" i="6">
      <x v="6"/>
    </i>
    <i r="1" i="7">
      <x v="7"/>
    </i>
    <i>
      <x v="6"/>
      <x/>
    </i>
    <i r="1" i="1">
      <x v="1"/>
    </i>
    <i r="1" i="2">
      <x v="2"/>
    </i>
    <i r="1" i="3">
      <x v="3"/>
    </i>
    <i r="1" i="4">
      <x v="4"/>
    </i>
    <i r="1" i="5">
      <x v="5"/>
    </i>
    <i r="1" i="6">
      <x v="6"/>
    </i>
    <i r="1" i="7">
      <x v="7"/>
    </i>
    <i>
      <x v="7"/>
      <x/>
    </i>
    <i r="1" i="1">
      <x v="1"/>
    </i>
    <i r="1" i="2">
      <x v="2"/>
    </i>
    <i r="1" i="3">
      <x v="3"/>
    </i>
    <i r="1" i="4">
      <x v="4"/>
    </i>
    <i r="1" i="5">
      <x v="5"/>
    </i>
    <i r="1" i="6">
      <x v="6"/>
    </i>
    <i r="1" i="7">
      <x v="7"/>
    </i>
    <i>
      <x v="8"/>
      <x/>
    </i>
    <i r="1" i="1">
      <x v="1"/>
    </i>
    <i r="1" i="2">
      <x v="2"/>
    </i>
    <i r="1" i="3">
      <x v="3"/>
    </i>
    <i r="1" i="4">
      <x v="4"/>
    </i>
    <i r="1" i="5">
      <x v="5"/>
    </i>
    <i r="1" i="6">
      <x v="6"/>
    </i>
    <i r="1" i="7">
      <x v="7"/>
    </i>
    <i>
      <x v="9"/>
      <x/>
    </i>
    <i r="1" i="1">
      <x v="1"/>
    </i>
    <i r="1" i="2">
      <x v="2"/>
    </i>
    <i r="1" i="3">
      <x v="3"/>
    </i>
    <i r="1" i="4">
      <x v="4"/>
    </i>
    <i r="1" i="5">
      <x v="5"/>
    </i>
    <i r="1" i="6">
      <x v="6"/>
    </i>
    <i r="1" i="7">
      <x v="7"/>
    </i>
    <i>
      <x v="10"/>
      <x/>
    </i>
    <i r="1" i="1">
      <x v="1"/>
    </i>
    <i r="1" i="2">
      <x v="2"/>
    </i>
    <i r="1" i="3">
      <x v="3"/>
    </i>
    <i r="1" i="4">
      <x v="4"/>
    </i>
    <i r="1" i="5">
      <x v="5"/>
    </i>
    <i r="1" i="6">
      <x v="6"/>
    </i>
    <i r="1" i="7">
      <x v="7"/>
    </i>
    <i>
      <x v="11"/>
      <x/>
    </i>
    <i r="1" i="1">
      <x v="1"/>
    </i>
    <i r="1" i="2">
      <x v="2"/>
    </i>
    <i r="1" i="3">
      <x v="3"/>
    </i>
    <i r="1" i="4">
      <x v="4"/>
    </i>
    <i r="1" i="5">
      <x v="5"/>
    </i>
    <i r="1" i="6">
      <x v="6"/>
    </i>
    <i r="1" i="7">
      <x v="7"/>
    </i>
    <i>
      <x v="12"/>
      <x/>
    </i>
    <i r="1" i="1">
      <x v="1"/>
    </i>
    <i r="1" i="2">
      <x v="2"/>
    </i>
    <i r="1" i="3">
      <x v="3"/>
    </i>
    <i r="1" i="4">
      <x v="4"/>
    </i>
    <i r="1" i="5">
      <x v="5"/>
    </i>
    <i r="1" i="6">
      <x v="6"/>
    </i>
    <i r="1" i="7">
      <x v="7"/>
    </i>
    <i>
      <x v="13"/>
      <x/>
    </i>
    <i r="1" i="1">
      <x v="1"/>
    </i>
    <i r="1" i="2">
      <x v="2"/>
    </i>
    <i r="1" i="3">
      <x v="3"/>
    </i>
    <i r="1" i="4">
      <x v="4"/>
    </i>
    <i r="1" i="5">
      <x v="5"/>
    </i>
    <i r="1" i="6">
      <x v="6"/>
    </i>
    <i r="1" i="7">
      <x v="7"/>
    </i>
    <i>
      <x v="14"/>
      <x/>
    </i>
    <i r="1" i="1">
      <x v="1"/>
    </i>
    <i r="1" i="2">
      <x v="2"/>
    </i>
    <i r="1" i="3">
      <x v="3"/>
    </i>
    <i r="1" i="4">
      <x v="4"/>
    </i>
    <i r="1" i="5">
      <x v="5"/>
    </i>
    <i r="1" i="6">
      <x v="6"/>
    </i>
    <i r="1" i="7">
      <x v="7"/>
    </i>
    <i>
      <x v="15"/>
      <x/>
    </i>
    <i r="1" i="1">
      <x v="1"/>
    </i>
    <i r="1" i="2">
      <x v="2"/>
    </i>
    <i r="1" i="3">
      <x v="3"/>
    </i>
    <i r="1" i="4">
      <x v="4"/>
    </i>
    <i r="1" i="5">
      <x v="5"/>
    </i>
    <i r="1" i="6">
      <x v="6"/>
    </i>
    <i r="1" i="7">
      <x v="7"/>
    </i>
    <i>
      <x v="16"/>
      <x/>
    </i>
    <i r="1" i="1">
      <x v="1"/>
    </i>
    <i r="1" i="2">
      <x v="2"/>
    </i>
    <i r="1" i="3">
      <x v="3"/>
    </i>
    <i r="1" i="4">
      <x v="4"/>
    </i>
    <i r="1" i="5">
      <x v="5"/>
    </i>
    <i r="1" i="6">
      <x v="6"/>
    </i>
    <i r="1" i="7">
      <x v="7"/>
    </i>
  </rowItems>
  <colFields count="2">
    <field x="70"/>
    <field x="4"/>
  </colFields>
  <colItems count="17">
    <i>
      <x/>
      <x/>
    </i>
    <i r="1">
      <x v="1"/>
    </i>
    <i r="1">
      <x v="2"/>
    </i>
    <i r="1">
      <x v="3"/>
    </i>
    <i r="1">
      <x v="4"/>
    </i>
    <i r="1">
      <x v="5"/>
    </i>
    <i r="1">
      <x v="6"/>
    </i>
    <i r="1">
      <x v="9"/>
    </i>
    <i t="default">
      <x/>
    </i>
    <i>
      <x v="3"/>
      <x v="10"/>
    </i>
    <i r="1">
      <x v="11"/>
    </i>
    <i r="1">
      <x v="12"/>
    </i>
    <i r="1">
      <x v="13"/>
    </i>
    <i t="default">
      <x v="3"/>
    </i>
    <i>
      <x v="4"/>
      <x v="14"/>
    </i>
    <i r="1">
      <x v="15"/>
    </i>
    <i t="default">
      <x v="4"/>
    </i>
  </colItems>
  <dataFields count="8">
    <dataField name="Sum of OLD-Tot UG SCH Calc" fld="5" baseField="0" baseItem="0"/>
    <dataField name="Sum of NEW-Tot UG SCH Calc" fld="6" baseField="0" baseItem="0"/>
    <dataField name="Sum of Old UG E-Learning" fld="66" baseField="0" baseItem="0"/>
    <dataField name="Sum of New UG E-Learning" fld="68" baseField="0" baseItem="0"/>
    <dataField name="Sum of Old-Tot G SCH Calc" fld="19" baseField="0" baseItem="0"/>
    <dataField name="Sum of New-Tot G SCH Calc" fld="20" baseField="0" baseItem="0"/>
    <dataField name="Sum of Old G E-Learning" fld="67" baseField="0" baseItem="0"/>
    <dataField name="Sum of New G E-Learning" fld="69" baseField="0" baseItem="0"/>
  </dataFields>
  <formats count="147">
    <format dxfId="146">
      <pivotArea field="4" type="button" dataOnly="0" labelOnly="1" outline="0" axis="axisCol" fieldPosition="1"/>
    </format>
    <format dxfId="145">
      <pivotArea type="topRight" dataOnly="0" labelOnly="1" outline="0" fieldPosition="0"/>
    </format>
    <format dxfId="144">
      <pivotArea dataOnly="0" labelOnly="1" grandCol="1" outline="0" fieldPosition="0"/>
    </format>
    <format dxfId="143">
      <pivotArea dataOnly="0" labelOnly="1" outline="0" offset="IV256" fieldPosition="0">
        <references count="1">
          <reference field="0" count="1">
            <x v="3"/>
          </reference>
        </references>
      </pivotArea>
    </format>
    <format dxfId="142">
      <pivotArea dataOnly="0" labelOnly="1" outline="0" offset="IV256" fieldPosition="0">
        <references count="1">
          <reference field="0" count="1">
            <x v="4"/>
          </reference>
        </references>
      </pivotArea>
    </format>
    <format dxfId="141">
      <pivotArea dataOnly="0" labelOnly="1" outline="0" offset="IV256" fieldPosition="0">
        <references count="1">
          <reference field="0" count="1">
            <x v="6"/>
          </reference>
        </references>
      </pivotArea>
    </format>
    <format dxfId="140">
      <pivotArea dataOnly="0" labelOnly="1" outline="0" offset="IV256" fieldPosition="0">
        <references count="1">
          <reference field="0" count="1">
            <x v="8"/>
          </reference>
        </references>
      </pivotArea>
    </format>
    <format dxfId="139">
      <pivotArea dataOnly="0" labelOnly="1" outline="0" offset="IV256" fieldPosition="0">
        <references count="1">
          <reference field="0" count="1">
            <x v="9"/>
          </reference>
        </references>
      </pivotArea>
    </format>
    <format dxfId="138">
      <pivotArea dataOnly="0" labelOnly="1" outline="0" offset="IV256" fieldPosition="0">
        <references count="1">
          <reference field="0" count="1">
            <x v="10"/>
          </reference>
        </references>
      </pivotArea>
    </format>
    <format dxfId="137">
      <pivotArea dataOnly="0" labelOnly="1" outline="0" offset="IV256" fieldPosition="0">
        <references count="1">
          <reference field="0" count="1">
            <x v="11"/>
          </reference>
        </references>
      </pivotArea>
    </format>
    <format dxfId="136">
      <pivotArea dataOnly="0" labelOnly="1" outline="0" offset="IV256" fieldPosition="0">
        <references count="1">
          <reference field="0" count="1">
            <x v="12"/>
          </reference>
        </references>
      </pivotArea>
    </format>
    <format dxfId="135">
      <pivotArea dataOnly="0" labelOnly="1" outline="0" offset="IV256" fieldPosition="0">
        <references count="1">
          <reference field="0" count="1">
            <x v="13"/>
          </reference>
        </references>
      </pivotArea>
    </format>
    <format dxfId="134">
      <pivotArea dataOnly="0" labelOnly="1" outline="0" offset="IV256" fieldPosition="0">
        <references count="1">
          <reference field="0" count="1">
            <x v="14"/>
          </reference>
        </references>
      </pivotArea>
    </format>
    <format dxfId="133">
      <pivotArea type="origin" dataOnly="0" labelOnly="1" outline="0" offset="A2:B2" fieldPosition="0"/>
    </format>
    <format dxfId="132">
      <pivotArea dataOnly="0" labelOnly="1" outline="0" fieldPosition="0">
        <references count="1">
          <reference field="0" count="0"/>
        </references>
      </pivotArea>
    </format>
    <format dxfId="131">
      <pivotArea dataOnly="0" labelOnly="1" outline="0" offset="IV1" fieldPosition="0">
        <references count="1">
          <reference field="0" count="1">
            <x v="0"/>
          </reference>
        </references>
      </pivotArea>
    </format>
    <format dxfId="130">
      <pivotArea type="origin" dataOnly="0" labelOnly="1" outline="0" fieldPosition="0"/>
    </format>
    <format dxfId="129">
      <pivotArea field="0" type="button" dataOnly="0" labelOnly="1" outline="0" axis="axisRow" fieldPosition="0"/>
    </format>
    <format dxfId="128">
      <pivotArea dataOnly="0" labelOnly="1" outline="0" offset="IV5:IV6" fieldPosition="0">
        <references count="1">
          <reference field="0" count="1">
            <x v="1"/>
          </reference>
        </references>
      </pivotArea>
    </format>
    <format dxfId="127">
      <pivotArea dataOnly="0" labelOnly="1" outline="0" offset="IV7:IV8" fieldPosition="0">
        <references count="1">
          <reference field="0" count="1">
            <x v="1"/>
          </reference>
        </references>
      </pivotArea>
    </format>
    <format dxfId="126">
      <pivotArea dataOnly="0" labelOnly="1" outline="0" offset="IV9:IV10" fieldPosition="0">
        <references count="1">
          <reference field="0" count="1">
            <x v="1"/>
          </reference>
        </references>
      </pivotArea>
    </format>
    <format dxfId="125">
      <pivotArea dataOnly="0" labelOnly="1" outline="0" offset="IV11:IV12" fieldPosition="0">
        <references count="1">
          <reference field="0" count="1">
            <x v="1"/>
          </reference>
        </references>
      </pivotArea>
    </format>
    <format dxfId="124">
      <pivotArea dataOnly="0" labelOnly="1" outline="0" offset="IV256" fieldPosition="0">
        <references count="1">
          <reference field="0" count="1">
            <x v="0"/>
          </reference>
        </references>
      </pivotArea>
    </format>
    <format dxfId="123">
      <pivotArea dataOnly="0" labelOnly="1" grandCol="1" outline="0" offset="IV256" fieldPosition="0"/>
    </format>
    <format dxfId="122">
      <pivotArea dataOnly="0" labelOnly="1" outline="0" offset="IV256" fieldPosition="0">
        <references count="1">
          <reference field="0" count="1">
            <x v="1"/>
          </reference>
        </references>
      </pivotArea>
    </format>
    <format dxfId="121">
      <pivotArea dataOnly="0" labelOnly="1" outline="0" offset="IV1" fieldPosition="0">
        <references count="1">
          <reference field="0" count="1">
            <x v="0"/>
          </reference>
        </references>
      </pivotArea>
    </format>
    <format dxfId="120">
      <pivotArea dataOnly="0" labelOnly="1" outline="0" offset="IV1" fieldPosition="0">
        <references count="1">
          <reference field="0" count="1">
            <x v="1"/>
          </reference>
        </references>
      </pivotArea>
    </format>
    <format dxfId="119">
      <pivotArea dataOnly="0" labelOnly="1" outline="0" offset="IV1" fieldPosition="0">
        <references count="1">
          <reference field="0" count="1">
            <x v="3"/>
          </reference>
        </references>
      </pivotArea>
    </format>
    <format dxfId="118">
      <pivotArea dataOnly="0" labelOnly="1" outline="0" offset="IV1" fieldPosition="0">
        <references count="1">
          <reference field="0" count="1">
            <x v="4"/>
          </reference>
        </references>
      </pivotArea>
    </format>
    <format dxfId="117">
      <pivotArea dataOnly="0" labelOnly="1" outline="0" offset="IV256" fieldPosition="0">
        <references count="1">
          <reference field="0" count="1">
            <x v="16"/>
          </reference>
        </references>
      </pivotArea>
    </format>
    <format dxfId="116">
      <pivotArea outline="0" fieldPosition="0">
        <references count="1">
          <reference field="0" count="1" selected="0">
            <x v="0"/>
          </reference>
        </references>
      </pivotArea>
    </format>
    <format dxfId="115">
      <pivotArea dataOnly="0" labelOnly="1" outline="0" fieldPosition="0">
        <references count="1">
          <reference field="0" count="1">
            <x v="0"/>
          </reference>
        </references>
      </pivotArea>
    </format>
    <format dxfId="114">
      <pivotArea dataOnly="0" labelOnly="1" outline="0" fieldPosition="0">
        <references count="2">
          <reference field="4294967294" count="0"/>
          <reference field="0" count="1" selected="0">
            <x v="0"/>
          </reference>
        </references>
      </pivotArea>
    </format>
    <format dxfId="113">
      <pivotArea type="all" dataOnly="0" outline="0" fieldPosition="0"/>
    </format>
    <format dxfId="112">
      <pivotArea outline="0" fieldPosition="0"/>
    </format>
    <format dxfId="111">
      <pivotArea outline="0" fieldPosition="0">
        <references count="2">
          <reference field="4294967294" count="1" selected="0">
            <x v="0"/>
          </reference>
          <reference field="0" count="1" selected="0">
            <x v="4"/>
          </reference>
        </references>
      </pivotArea>
    </format>
    <format dxfId="110">
      <pivotArea outline="0" fieldPosition="0">
        <references count="2">
          <reference field="4294967294" count="1" selected="0">
            <x v="0"/>
          </reference>
          <reference field="0" count="1" selected="0">
            <x v="6"/>
          </reference>
        </references>
      </pivotArea>
    </format>
    <format dxfId="109">
      <pivotArea outline="0" fieldPosition="0">
        <references count="2">
          <reference field="4294967294" count="1" selected="0">
            <x v="0"/>
          </reference>
          <reference field="0" count="1" selected="0">
            <x v="8"/>
          </reference>
        </references>
      </pivotArea>
    </format>
    <format dxfId="108">
      <pivotArea outline="0" fieldPosition="0">
        <references count="2">
          <reference field="4294967294" count="1" selected="0">
            <x v="1"/>
          </reference>
          <reference field="0" count="1" selected="0">
            <x v="4"/>
          </reference>
        </references>
      </pivotArea>
    </format>
    <format dxfId="107">
      <pivotArea outline="0" fieldPosition="0">
        <references count="2">
          <reference field="4294967294" count="1" selected="0">
            <x v="1"/>
          </reference>
          <reference field="0" count="1" selected="0">
            <x v="6"/>
          </reference>
        </references>
      </pivotArea>
    </format>
    <format dxfId="106">
      <pivotArea outline="0" fieldPosition="0">
        <references count="2">
          <reference field="4294967294" count="1" selected="0">
            <x v="2"/>
          </reference>
          <reference field="0" count="1" selected="0">
            <x v="4"/>
          </reference>
        </references>
      </pivotArea>
    </format>
    <format dxfId="105">
      <pivotArea outline="0" fieldPosition="0">
        <references count="2">
          <reference field="4294967294" count="1" selected="0">
            <x v="2"/>
          </reference>
          <reference field="0" count="1" selected="0">
            <x v="6"/>
          </reference>
        </references>
      </pivotArea>
    </format>
    <format dxfId="104">
      <pivotArea outline="0" fieldPosition="0">
        <references count="2">
          <reference field="4294967294" count="1" selected="0">
            <x v="2"/>
          </reference>
          <reference field="0" count="1" selected="0">
            <x v="8"/>
          </reference>
        </references>
      </pivotArea>
    </format>
    <format dxfId="103">
      <pivotArea outline="0" fieldPosition="0">
        <references count="2">
          <reference field="4294967294" count="1" selected="0">
            <x v="3"/>
          </reference>
          <reference field="0" count="1" selected="0">
            <x v="6"/>
          </reference>
        </references>
      </pivotArea>
    </format>
    <format dxfId="102">
      <pivotArea outline="0" fieldPosition="0">
        <references count="2">
          <reference field="4294967294" count="1" selected="0">
            <x v="3"/>
          </reference>
          <reference field="0" count="1" selected="0">
            <x v="4"/>
          </reference>
        </references>
      </pivotArea>
    </format>
    <format dxfId="101">
      <pivotArea outline="0" fieldPosition="0">
        <references count="1">
          <reference field="0" count="1" selected="0">
            <x v="0"/>
          </reference>
        </references>
      </pivotArea>
    </format>
    <format dxfId="100">
      <pivotArea dataOnly="0" labelOnly="1" outline="0" fieldPosition="0">
        <references count="1">
          <reference field="0" count="1">
            <x v="0"/>
          </reference>
        </references>
      </pivotArea>
    </format>
    <format dxfId="99">
      <pivotArea dataOnly="0" labelOnly="1" outline="0" fieldPosition="0">
        <references count="2">
          <reference field="4294967294" count="0"/>
          <reference field="0" count="1" selected="0">
            <x v="0"/>
          </reference>
        </references>
      </pivotArea>
    </format>
    <format dxfId="98">
      <pivotArea outline="0" fieldPosition="0">
        <references count="1">
          <reference field="0" count="1" selected="0">
            <x v="16"/>
          </reference>
        </references>
      </pivotArea>
    </format>
    <format dxfId="97">
      <pivotArea dataOnly="0" labelOnly="1" outline="0" fieldPosition="0">
        <references count="1">
          <reference field="0" count="1">
            <x v="16"/>
          </reference>
        </references>
      </pivotArea>
    </format>
    <format dxfId="96">
      <pivotArea dataOnly="0" labelOnly="1" outline="0" fieldPosition="0">
        <references count="2">
          <reference field="4294967294" count="0"/>
          <reference field="0" count="1" selected="0">
            <x v="16"/>
          </reference>
        </references>
      </pivotArea>
    </format>
    <format dxfId="95">
      <pivotArea outline="0" fieldPosition="0">
        <references count="1">
          <reference field="0" count="1" selected="0">
            <x v="13"/>
          </reference>
        </references>
      </pivotArea>
    </format>
    <format dxfId="94">
      <pivotArea dataOnly="0" labelOnly="1" outline="0" fieldPosition="0">
        <references count="1">
          <reference field="0" count="1">
            <x v="13"/>
          </reference>
        </references>
      </pivotArea>
    </format>
    <format dxfId="93">
      <pivotArea dataOnly="0" labelOnly="1" outline="0" fieldPosition="0">
        <references count="2">
          <reference field="4294967294" count="0"/>
          <reference field="0" count="1" selected="0">
            <x v="13"/>
          </reference>
        </references>
      </pivotArea>
    </format>
    <format dxfId="92">
      <pivotArea outline="0" fieldPosition="0"/>
    </format>
    <format dxfId="91">
      <pivotArea field="-2" type="button" dataOnly="0" labelOnly="1" outline="0" axis="axisRow" fieldPosition="1"/>
    </format>
    <format dxfId="90">
      <pivotArea field="4" type="button" dataOnly="0" labelOnly="1" outline="0" axis="axisCol" fieldPosition="1"/>
    </format>
    <format dxfId="89">
      <pivotArea type="topRight" dataOnly="0" labelOnly="1" outline="0" fieldPosition="0"/>
    </format>
    <format dxfId="88">
      <pivotArea dataOnly="0" labelOnly="1" outline="0" fieldPosition="0">
        <references count="2">
          <reference field="4294967294" count="8">
            <x v="0"/>
            <x v="1"/>
            <x v="2"/>
            <x v="3"/>
            <x v="4"/>
            <x v="5"/>
            <x v="6"/>
            <x v="7"/>
          </reference>
          <reference field="0" count="1" selected="0">
            <x v="0"/>
          </reference>
        </references>
      </pivotArea>
    </format>
    <format dxfId="87">
      <pivotArea dataOnly="0" labelOnly="1" outline="0" fieldPosition="0">
        <references count="2">
          <reference field="4294967294" count="8">
            <x v="0"/>
            <x v="1"/>
            <x v="2"/>
            <x v="3"/>
            <x v="4"/>
            <x v="5"/>
            <x v="6"/>
            <x v="7"/>
          </reference>
          <reference field="0" count="1" selected="0">
            <x v="1"/>
          </reference>
        </references>
      </pivotArea>
    </format>
    <format dxfId="86">
      <pivotArea dataOnly="0" labelOnly="1" outline="0" fieldPosition="0">
        <references count="2">
          <reference field="4294967294" count="8">
            <x v="0"/>
            <x v="1"/>
            <x v="2"/>
            <x v="3"/>
            <x v="4"/>
            <x v="5"/>
            <x v="6"/>
            <x v="7"/>
          </reference>
          <reference field="0" count="1" selected="0">
            <x v="3"/>
          </reference>
        </references>
      </pivotArea>
    </format>
    <format dxfId="85">
      <pivotArea dataOnly="0" labelOnly="1" outline="0" fieldPosition="0">
        <references count="2">
          <reference field="4294967294" count="8">
            <x v="0"/>
            <x v="1"/>
            <x v="2"/>
            <x v="3"/>
            <x v="4"/>
            <x v="5"/>
            <x v="6"/>
            <x v="7"/>
          </reference>
          <reference field="0" count="1" selected="0">
            <x v="4"/>
          </reference>
        </references>
      </pivotArea>
    </format>
    <format dxfId="84">
      <pivotArea dataOnly="0" labelOnly="1" outline="0" fieldPosition="0">
        <references count="2">
          <reference field="4294967294" count="8">
            <x v="0"/>
            <x v="1"/>
            <x v="2"/>
            <x v="3"/>
            <x v="4"/>
            <x v="5"/>
            <x v="6"/>
            <x v="7"/>
          </reference>
          <reference field="0" count="1" selected="0">
            <x v="6"/>
          </reference>
        </references>
      </pivotArea>
    </format>
    <format dxfId="83">
      <pivotArea dataOnly="0" labelOnly="1" outline="0" fieldPosition="0">
        <references count="2">
          <reference field="4294967294" count="8">
            <x v="0"/>
            <x v="1"/>
            <x v="2"/>
            <x v="3"/>
            <x v="4"/>
            <x v="5"/>
            <x v="6"/>
            <x v="7"/>
          </reference>
          <reference field="0" count="1" selected="0">
            <x v="8"/>
          </reference>
        </references>
      </pivotArea>
    </format>
    <format dxfId="82">
      <pivotArea dataOnly="0" labelOnly="1" outline="0" fieldPosition="0">
        <references count="2">
          <reference field="4294967294" count="8">
            <x v="0"/>
            <x v="1"/>
            <x v="2"/>
            <x v="3"/>
            <x v="4"/>
            <x v="5"/>
            <x v="6"/>
            <x v="7"/>
          </reference>
          <reference field="0" count="1" selected="0">
            <x v="9"/>
          </reference>
        </references>
      </pivotArea>
    </format>
    <format dxfId="81">
      <pivotArea dataOnly="0" labelOnly="1" outline="0" fieldPosition="0">
        <references count="2">
          <reference field="4294967294" count="8">
            <x v="0"/>
            <x v="1"/>
            <x v="2"/>
            <x v="3"/>
            <x v="4"/>
            <x v="5"/>
            <x v="6"/>
            <x v="7"/>
          </reference>
          <reference field="0" count="1" selected="0">
            <x v="10"/>
          </reference>
        </references>
      </pivotArea>
    </format>
    <format dxfId="80">
      <pivotArea dataOnly="0" labelOnly="1" outline="0" fieldPosition="0">
        <references count="2">
          <reference field="4294967294" count="8">
            <x v="0"/>
            <x v="1"/>
            <x v="2"/>
            <x v="3"/>
            <x v="4"/>
            <x v="5"/>
            <x v="6"/>
            <x v="7"/>
          </reference>
          <reference field="0" count="1" selected="0">
            <x v="11"/>
          </reference>
        </references>
      </pivotArea>
    </format>
    <format dxfId="79">
      <pivotArea dataOnly="0" labelOnly="1" outline="0" fieldPosition="0">
        <references count="2">
          <reference field="4294967294" count="8">
            <x v="0"/>
            <x v="1"/>
            <x v="2"/>
            <x v="3"/>
            <x v="4"/>
            <x v="5"/>
            <x v="6"/>
            <x v="7"/>
          </reference>
          <reference field="0" count="1" selected="0">
            <x v="12"/>
          </reference>
        </references>
      </pivotArea>
    </format>
    <format dxfId="78">
      <pivotArea dataOnly="0" labelOnly="1" outline="0" fieldPosition="0">
        <references count="2">
          <reference field="4294967294" count="8">
            <x v="0"/>
            <x v="1"/>
            <x v="2"/>
            <x v="3"/>
            <x v="4"/>
            <x v="5"/>
            <x v="6"/>
            <x v="7"/>
          </reference>
          <reference field="0" count="1" selected="0">
            <x v="13"/>
          </reference>
        </references>
      </pivotArea>
    </format>
    <format dxfId="77">
      <pivotArea dataOnly="0" labelOnly="1" outline="0" fieldPosition="0">
        <references count="2">
          <reference field="4294967294" count="8">
            <x v="0"/>
            <x v="1"/>
            <x v="2"/>
            <x v="3"/>
            <x v="4"/>
            <x v="5"/>
            <x v="6"/>
            <x v="7"/>
          </reference>
          <reference field="0" count="1" selected="0">
            <x v="14"/>
          </reference>
        </references>
      </pivotArea>
    </format>
    <format dxfId="76">
      <pivotArea dataOnly="0" labelOnly="1" outline="0" fieldPosition="0">
        <references count="2">
          <reference field="4294967294" count="8">
            <x v="0"/>
            <x v="1"/>
            <x v="2"/>
            <x v="3"/>
            <x v="4"/>
            <x v="5"/>
            <x v="6"/>
            <x v="7"/>
          </reference>
          <reference field="0" count="1" selected="0">
            <x v="16"/>
          </reference>
        </references>
      </pivotArea>
    </format>
    <format dxfId="75">
      <pivotArea outline="0" fieldPosition="0"/>
    </format>
    <format dxfId="74">
      <pivotArea field="-2" type="button" dataOnly="0" labelOnly="1" outline="0" axis="axisRow" fieldPosition="1"/>
    </format>
    <format dxfId="73">
      <pivotArea field="4" type="button" dataOnly="0" labelOnly="1" outline="0" axis="axisCol" fieldPosition="1"/>
    </format>
    <format dxfId="72">
      <pivotArea type="topRight" dataOnly="0" labelOnly="1" outline="0" fieldPosition="0"/>
    </format>
    <format dxfId="71">
      <pivotArea dataOnly="0" labelOnly="1" outline="0" fieldPosition="0">
        <references count="2">
          <reference field="4294967294" count="8">
            <x v="0"/>
            <x v="1"/>
            <x v="2"/>
            <x v="3"/>
            <x v="4"/>
            <x v="5"/>
            <x v="6"/>
            <x v="7"/>
          </reference>
          <reference field="0" count="1" selected="0">
            <x v="0"/>
          </reference>
        </references>
      </pivotArea>
    </format>
    <format dxfId="70">
      <pivotArea dataOnly="0" labelOnly="1" outline="0" fieldPosition="0">
        <references count="2">
          <reference field="4294967294" count="8">
            <x v="0"/>
            <x v="1"/>
            <x v="2"/>
            <x v="3"/>
            <x v="4"/>
            <x v="5"/>
            <x v="6"/>
            <x v="7"/>
          </reference>
          <reference field="0" count="1" selected="0">
            <x v="1"/>
          </reference>
        </references>
      </pivotArea>
    </format>
    <format dxfId="69">
      <pivotArea dataOnly="0" labelOnly="1" outline="0" fieldPosition="0">
        <references count="2">
          <reference field="4294967294" count="8">
            <x v="0"/>
            <x v="1"/>
            <x v="2"/>
            <x v="3"/>
            <x v="4"/>
            <x v="5"/>
            <x v="6"/>
            <x v="7"/>
          </reference>
          <reference field="0" count="1" selected="0">
            <x v="3"/>
          </reference>
        </references>
      </pivotArea>
    </format>
    <format dxfId="68">
      <pivotArea dataOnly="0" labelOnly="1" outline="0" fieldPosition="0">
        <references count="2">
          <reference field="4294967294" count="8">
            <x v="0"/>
            <x v="1"/>
            <x v="2"/>
            <x v="3"/>
            <x v="4"/>
            <x v="5"/>
            <x v="6"/>
            <x v="7"/>
          </reference>
          <reference field="0" count="1" selected="0">
            <x v="4"/>
          </reference>
        </references>
      </pivotArea>
    </format>
    <format dxfId="67">
      <pivotArea dataOnly="0" labelOnly="1" outline="0" fieldPosition="0">
        <references count="2">
          <reference field="4294967294" count="8">
            <x v="0"/>
            <x v="1"/>
            <x v="2"/>
            <x v="3"/>
            <x v="4"/>
            <x v="5"/>
            <x v="6"/>
            <x v="7"/>
          </reference>
          <reference field="0" count="1" selected="0">
            <x v="6"/>
          </reference>
        </references>
      </pivotArea>
    </format>
    <format dxfId="66">
      <pivotArea dataOnly="0" labelOnly="1" outline="0" fieldPosition="0">
        <references count="2">
          <reference field="4294967294" count="8">
            <x v="0"/>
            <x v="1"/>
            <x v="2"/>
            <x v="3"/>
            <x v="4"/>
            <x v="5"/>
            <x v="6"/>
            <x v="7"/>
          </reference>
          <reference field="0" count="1" selected="0">
            <x v="8"/>
          </reference>
        </references>
      </pivotArea>
    </format>
    <format dxfId="65">
      <pivotArea dataOnly="0" labelOnly="1" outline="0" fieldPosition="0">
        <references count="2">
          <reference field="4294967294" count="8">
            <x v="0"/>
            <x v="1"/>
            <x v="2"/>
            <x v="3"/>
            <x v="4"/>
            <x v="5"/>
            <x v="6"/>
            <x v="7"/>
          </reference>
          <reference field="0" count="1" selected="0">
            <x v="9"/>
          </reference>
        </references>
      </pivotArea>
    </format>
    <format dxfId="64">
      <pivotArea dataOnly="0" labelOnly="1" outline="0" fieldPosition="0">
        <references count="2">
          <reference field="4294967294" count="8">
            <x v="0"/>
            <x v="1"/>
            <x v="2"/>
            <x v="3"/>
            <x v="4"/>
            <x v="5"/>
            <x v="6"/>
            <x v="7"/>
          </reference>
          <reference field="0" count="1" selected="0">
            <x v="10"/>
          </reference>
        </references>
      </pivotArea>
    </format>
    <format dxfId="63">
      <pivotArea dataOnly="0" labelOnly="1" outline="0" fieldPosition="0">
        <references count="2">
          <reference field="4294967294" count="8">
            <x v="0"/>
            <x v="1"/>
            <x v="2"/>
            <x v="3"/>
            <x v="4"/>
            <x v="5"/>
            <x v="6"/>
            <x v="7"/>
          </reference>
          <reference field="0" count="1" selected="0">
            <x v="11"/>
          </reference>
        </references>
      </pivotArea>
    </format>
    <format dxfId="62">
      <pivotArea dataOnly="0" labelOnly="1" outline="0" fieldPosition="0">
        <references count="2">
          <reference field="4294967294" count="8">
            <x v="0"/>
            <x v="1"/>
            <x v="2"/>
            <x v="3"/>
            <x v="4"/>
            <x v="5"/>
            <x v="6"/>
            <x v="7"/>
          </reference>
          <reference field="0" count="1" selected="0">
            <x v="12"/>
          </reference>
        </references>
      </pivotArea>
    </format>
    <format dxfId="61">
      <pivotArea dataOnly="0" labelOnly="1" outline="0" fieldPosition="0">
        <references count="2">
          <reference field="4294967294" count="8">
            <x v="0"/>
            <x v="1"/>
            <x v="2"/>
            <x v="3"/>
            <x v="4"/>
            <x v="5"/>
            <x v="6"/>
            <x v="7"/>
          </reference>
          <reference field="0" count="1" selected="0">
            <x v="13"/>
          </reference>
        </references>
      </pivotArea>
    </format>
    <format dxfId="60">
      <pivotArea dataOnly="0" labelOnly="1" outline="0" fieldPosition="0">
        <references count="2">
          <reference field="4294967294" count="8">
            <x v="0"/>
            <x v="1"/>
            <x v="2"/>
            <x v="3"/>
            <x v="4"/>
            <x v="5"/>
            <x v="6"/>
            <x v="7"/>
          </reference>
          <reference field="0" count="1" selected="0">
            <x v="14"/>
          </reference>
        </references>
      </pivotArea>
    </format>
    <format dxfId="59">
      <pivotArea dataOnly="0" labelOnly="1" outline="0" fieldPosition="0">
        <references count="2">
          <reference field="4294967294" count="8">
            <x v="0"/>
            <x v="1"/>
            <x v="2"/>
            <x v="3"/>
            <x v="4"/>
            <x v="5"/>
            <x v="6"/>
            <x v="7"/>
          </reference>
          <reference field="0" count="1" selected="0">
            <x v="16"/>
          </reference>
        </references>
      </pivotArea>
    </format>
    <format dxfId="58">
      <pivotArea type="all" dataOnly="0" outline="0" fieldPosition="0"/>
    </format>
    <format dxfId="57">
      <pivotArea type="all" dataOnly="0" outline="0" fieldPosition="0"/>
    </format>
    <format dxfId="56">
      <pivotArea outline="0" fieldPosition="0"/>
    </format>
    <format dxfId="55">
      <pivotArea dataOnly="0" labelOnly="1" outline="0" fieldPosition="0">
        <references count="1">
          <reference field="0" count="0"/>
        </references>
      </pivotArea>
    </format>
    <format dxfId="54">
      <pivotArea dataOnly="0" labelOnly="1" outline="0" fieldPosition="0">
        <references count="2">
          <reference field="4294967294" count="8">
            <x v="0"/>
            <x v="1"/>
            <x v="2"/>
            <x v="3"/>
            <x v="4"/>
            <x v="5"/>
            <x v="6"/>
            <x v="7"/>
          </reference>
          <reference field="0" count="1" selected="0">
            <x v="0"/>
          </reference>
        </references>
      </pivotArea>
    </format>
    <format dxfId="53">
      <pivotArea dataOnly="0" labelOnly="1" outline="0" fieldPosition="0">
        <references count="2">
          <reference field="4294967294" count="8">
            <x v="0"/>
            <x v="1"/>
            <x v="2"/>
            <x v="3"/>
            <x v="4"/>
            <x v="5"/>
            <x v="6"/>
            <x v="7"/>
          </reference>
          <reference field="0" count="1" selected="0">
            <x v="1"/>
          </reference>
        </references>
      </pivotArea>
    </format>
    <format dxfId="52">
      <pivotArea dataOnly="0" labelOnly="1" outline="0" fieldPosition="0">
        <references count="2">
          <reference field="4294967294" count="8">
            <x v="0"/>
            <x v="1"/>
            <x v="2"/>
            <x v="3"/>
            <x v="4"/>
            <x v="5"/>
            <x v="6"/>
            <x v="7"/>
          </reference>
          <reference field="0" count="1" selected="0">
            <x v="2"/>
          </reference>
        </references>
      </pivotArea>
    </format>
    <format dxfId="51">
      <pivotArea dataOnly="0" labelOnly="1" outline="0" fieldPosition="0">
        <references count="2">
          <reference field="4294967294" count="8">
            <x v="0"/>
            <x v="1"/>
            <x v="2"/>
            <x v="3"/>
            <x v="4"/>
            <x v="5"/>
            <x v="6"/>
            <x v="7"/>
          </reference>
          <reference field="0" count="1" selected="0">
            <x v="3"/>
          </reference>
        </references>
      </pivotArea>
    </format>
    <format dxfId="50">
      <pivotArea dataOnly="0" labelOnly="1" outline="0" fieldPosition="0">
        <references count="2">
          <reference field="4294967294" count="8">
            <x v="0"/>
            <x v="1"/>
            <x v="2"/>
            <x v="3"/>
            <x v="4"/>
            <x v="5"/>
            <x v="6"/>
            <x v="7"/>
          </reference>
          <reference field="0" count="1" selected="0">
            <x v="4"/>
          </reference>
        </references>
      </pivotArea>
    </format>
    <format dxfId="49">
      <pivotArea dataOnly="0" labelOnly="1" outline="0" fieldPosition="0">
        <references count="2">
          <reference field="4294967294" count="8">
            <x v="0"/>
            <x v="1"/>
            <x v="2"/>
            <x v="3"/>
            <x v="4"/>
            <x v="5"/>
            <x v="6"/>
            <x v="7"/>
          </reference>
          <reference field="0" count="1" selected="0">
            <x v="6"/>
          </reference>
        </references>
      </pivotArea>
    </format>
    <format dxfId="48">
      <pivotArea dataOnly="0" labelOnly="1" outline="0" fieldPosition="0">
        <references count="2">
          <reference field="4294967294" count="8">
            <x v="0"/>
            <x v="1"/>
            <x v="2"/>
            <x v="3"/>
            <x v="4"/>
            <x v="5"/>
            <x v="6"/>
            <x v="7"/>
          </reference>
          <reference field="0" count="1" selected="0">
            <x v="7"/>
          </reference>
        </references>
      </pivotArea>
    </format>
    <format dxfId="47">
      <pivotArea dataOnly="0" labelOnly="1" outline="0" fieldPosition="0">
        <references count="2">
          <reference field="4294967294" count="8">
            <x v="0"/>
            <x v="1"/>
            <x v="2"/>
            <x v="3"/>
            <x v="4"/>
            <x v="5"/>
            <x v="6"/>
            <x v="7"/>
          </reference>
          <reference field="0" count="1" selected="0">
            <x v="8"/>
          </reference>
        </references>
      </pivotArea>
    </format>
    <format dxfId="46">
      <pivotArea dataOnly="0" labelOnly="1" outline="0" fieldPosition="0">
        <references count="2">
          <reference field="4294967294" count="8">
            <x v="0"/>
            <x v="1"/>
            <x v="2"/>
            <x v="3"/>
            <x v="4"/>
            <x v="5"/>
            <x v="6"/>
            <x v="7"/>
          </reference>
          <reference field="0" count="1" selected="0">
            <x v="9"/>
          </reference>
        </references>
      </pivotArea>
    </format>
    <format dxfId="45">
      <pivotArea dataOnly="0" labelOnly="1" outline="0" fieldPosition="0">
        <references count="2">
          <reference field="4294967294" count="8">
            <x v="0"/>
            <x v="1"/>
            <x v="2"/>
            <x v="3"/>
            <x v="4"/>
            <x v="5"/>
            <x v="6"/>
            <x v="7"/>
          </reference>
          <reference field="0" count="1" selected="0">
            <x v="10"/>
          </reference>
        </references>
      </pivotArea>
    </format>
    <format dxfId="44">
      <pivotArea dataOnly="0" labelOnly="1" outline="0" fieldPosition="0">
        <references count="2">
          <reference field="4294967294" count="8">
            <x v="0"/>
            <x v="1"/>
            <x v="2"/>
            <x v="3"/>
            <x v="4"/>
            <x v="5"/>
            <x v="6"/>
            <x v="7"/>
          </reference>
          <reference field="0" count="1" selected="0">
            <x v="11"/>
          </reference>
        </references>
      </pivotArea>
    </format>
    <format dxfId="43">
      <pivotArea dataOnly="0" labelOnly="1" outline="0" fieldPosition="0">
        <references count="2">
          <reference field="4294967294" count="8">
            <x v="0"/>
            <x v="1"/>
            <x v="2"/>
            <x v="3"/>
            <x v="4"/>
            <x v="5"/>
            <x v="6"/>
            <x v="7"/>
          </reference>
          <reference field="0" count="1" selected="0">
            <x v="12"/>
          </reference>
        </references>
      </pivotArea>
    </format>
    <format dxfId="42">
      <pivotArea dataOnly="0" labelOnly="1" outline="0" fieldPosition="0">
        <references count="2">
          <reference field="4294967294" count="8">
            <x v="0"/>
            <x v="1"/>
            <x v="2"/>
            <x v="3"/>
            <x v="4"/>
            <x v="5"/>
            <x v="6"/>
            <x v="7"/>
          </reference>
          <reference field="0" count="1" selected="0">
            <x v="13"/>
          </reference>
        </references>
      </pivotArea>
    </format>
    <format dxfId="41">
      <pivotArea dataOnly="0" labelOnly="1" outline="0" fieldPosition="0">
        <references count="2">
          <reference field="4294967294" count="8">
            <x v="0"/>
            <x v="1"/>
            <x v="2"/>
            <x v="3"/>
            <x v="4"/>
            <x v="5"/>
            <x v="6"/>
            <x v="7"/>
          </reference>
          <reference field="0" count="1" selected="0">
            <x v="14"/>
          </reference>
        </references>
      </pivotArea>
    </format>
    <format dxfId="40">
      <pivotArea dataOnly="0" labelOnly="1" outline="0" fieldPosition="0">
        <references count="2">
          <reference field="4294967294" count="8">
            <x v="0"/>
            <x v="1"/>
            <x v="2"/>
            <x v="3"/>
            <x v="4"/>
            <x v="5"/>
            <x v="6"/>
            <x v="7"/>
          </reference>
          <reference field="0" count="1" selected="0">
            <x v="15"/>
          </reference>
        </references>
      </pivotArea>
    </format>
    <format dxfId="39">
      <pivotArea dataOnly="0" labelOnly="1" outline="0" fieldPosition="0">
        <references count="2">
          <reference field="4294967294" count="8">
            <x v="0"/>
            <x v="1"/>
            <x v="2"/>
            <x v="3"/>
            <x v="4"/>
            <x v="5"/>
            <x v="6"/>
            <x v="7"/>
          </reference>
          <reference field="0" count="1" selected="0">
            <x v="16"/>
          </reference>
        </references>
      </pivotArea>
    </format>
    <format dxfId="38">
      <pivotArea outline="0" fieldPosition="0"/>
    </format>
    <format dxfId="37">
      <pivotArea dataOnly="0" labelOnly="1" outline="0" fieldPosition="0">
        <references count="1">
          <reference field="0" count="0"/>
        </references>
      </pivotArea>
    </format>
    <format dxfId="36">
      <pivotArea dataOnly="0" labelOnly="1" outline="0" fieldPosition="0">
        <references count="2">
          <reference field="4294967294" count="8">
            <x v="0"/>
            <x v="1"/>
            <x v="2"/>
            <x v="3"/>
            <x v="4"/>
            <x v="5"/>
            <x v="6"/>
            <x v="7"/>
          </reference>
          <reference field="0" count="1" selected="0">
            <x v="0"/>
          </reference>
        </references>
      </pivotArea>
    </format>
    <format dxfId="35">
      <pivotArea dataOnly="0" labelOnly="1" outline="0" fieldPosition="0">
        <references count="2">
          <reference field="4294967294" count="8">
            <x v="0"/>
            <x v="1"/>
            <x v="2"/>
            <x v="3"/>
            <x v="4"/>
            <x v="5"/>
            <x v="6"/>
            <x v="7"/>
          </reference>
          <reference field="0" count="1" selected="0">
            <x v="1"/>
          </reference>
        </references>
      </pivotArea>
    </format>
    <format dxfId="34">
      <pivotArea dataOnly="0" labelOnly="1" outline="0" fieldPosition="0">
        <references count="2">
          <reference field="4294967294" count="8">
            <x v="0"/>
            <x v="1"/>
            <x v="2"/>
            <x v="3"/>
            <x v="4"/>
            <x v="5"/>
            <x v="6"/>
            <x v="7"/>
          </reference>
          <reference field="0" count="1" selected="0">
            <x v="2"/>
          </reference>
        </references>
      </pivotArea>
    </format>
    <format dxfId="33">
      <pivotArea dataOnly="0" labelOnly="1" outline="0" fieldPosition="0">
        <references count="2">
          <reference field="4294967294" count="8">
            <x v="0"/>
            <x v="1"/>
            <x v="2"/>
            <x v="3"/>
            <x v="4"/>
            <x v="5"/>
            <x v="6"/>
            <x v="7"/>
          </reference>
          <reference field="0" count="1" selected="0">
            <x v="3"/>
          </reference>
        </references>
      </pivotArea>
    </format>
    <format dxfId="32">
      <pivotArea dataOnly="0" labelOnly="1" outline="0" fieldPosition="0">
        <references count="2">
          <reference field="4294967294" count="8">
            <x v="0"/>
            <x v="1"/>
            <x v="2"/>
            <x v="3"/>
            <x v="4"/>
            <x v="5"/>
            <x v="6"/>
            <x v="7"/>
          </reference>
          <reference field="0" count="1" selected="0">
            <x v="4"/>
          </reference>
        </references>
      </pivotArea>
    </format>
    <format dxfId="31">
      <pivotArea dataOnly="0" labelOnly="1" outline="0" fieldPosition="0">
        <references count="2">
          <reference field="4294967294" count="8">
            <x v="0"/>
            <x v="1"/>
            <x v="2"/>
            <x v="3"/>
            <x v="4"/>
            <x v="5"/>
            <x v="6"/>
            <x v="7"/>
          </reference>
          <reference field="0" count="1" selected="0">
            <x v="6"/>
          </reference>
        </references>
      </pivotArea>
    </format>
    <format dxfId="30">
      <pivotArea dataOnly="0" labelOnly="1" outline="0" fieldPosition="0">
        <references count="2">
          <reference field="4294967294" count="8">
            <x v="0"/>
            <x v="1"/>
            <x v="2"/>
            <x v="3"/>
            <x v="4"/>
            <x v="5"/>
            <x v="6"/>
            <x v="7"/>
          </reference>
          <reference field="0" count="1" selected="0">
            <x v="7"/>
          </reference>
        </references>
      </pivotArea>
    </format>
    <format dxfId="29">
      <pivotArea dataOnly="0" labelOnly="1" outline="0" fieldPosition="0">
        <references count="2">
          <reference field="4294967294" count="8">
            <x v="0"/>
            <x v="1"/>
            <x v="2"/>
            <x v="3"/>
            <x v="4"/>
            <x v="5"/>
            <x v="6"/>
            <x v="7"/>
          </reference>
          <reference field="0" count="1" selected="0">
            <x v="8"/>
          </reference>
        </references>
      </pivotArea>
    </format>
    <format dxfId="28">
      <pivotArea dataOnly="0" labelOnly="1" outline="0" fieldPosition="0">
        <references count="2">
          <reference field="4294967294" count="8">
            <x v="0"/>
            <x v="1"/>
            <x v="2"/>
            <x v="3"/>
            <x v="4"/>
            <x v="5"/>
            <x v="6"/>
            <x v="7"/>
          </reference>
          <reference field="0" count="1" selected="0">
            <x v="9"/>
          </reference>
        </references>
      </pivotArea>
    </format>
    <format dxfId="27">
      <pivotArea dataOnly="0" labelOnly="1" outline="0" fieldPosition="0">
        <references count="2">
          <reference field="4294967294" count="8">
            <x v="0"/>
            <x v="1"/>
            <x v="2"/>
            <x v="3"/>
            <x v="4"/>
            <x v="5"/>
            <x v="6"/>
            <x v="7"/>
          </reference>
          <reference field="0" count="1" selected="0">
            <x v="10"/>
          </reference>
        </references>
      </pivotArea>
    </format>
    <format dxfId="26">
      <pivotArea dataOnly="0" labelOnly="1" outline="0" fieldPosition="0">
        <references count="2">
          <reference field="4294967294" count="8">
            <x v="0"/>
            <x v="1"/>
            <x v="2"/>
            <x v="3"/>
            <x v="4"/>
            <x v="5"/>
            <x v="6"/>
            <x v="7"/>
          </reference>
          <reference field="0" count="1" selected="0">
            <x v="11"/>
          </reference>
        </references>
      </pivotArea>
    </format>
    <format dxfId="25">
      <pivotArea dataOnly="0" labelOnly="1" outline="0" fieldPosition="0">
        <references count="2">
          <reference field="4294967294" count="8">
            <x v="0"/>
            <x v="1"/>
            <x v="2"/>
            <x v="3"/>
            <x v="4"/>
            <x v="5"/>
            <x v="6"/>
            <x v="7"/>
          </reference>
          <reference field="0" count="1" selected="0">
            <x v="12"/>
          </reference>
        </references>
      </pivotArea>
    </format>
    <format dxfId="24">
      <pivotArea dataOnly="0" labelOnly="1" outline="0" fieldPosition="0">
        <references count="2">
          <reference field="4294967294" count="8">
            <x v="0"/>
            <x v="1"/>
            <x v="2"/>
            <x v="3"/>
            <x v="4"/>
            <x v="5"/>
            <x v="6"/>
            <x v="7"/>
          </reference>
          <reference field="0" count="1" selected="0">
            <x v="13"/>
          </reference>
        </references>
      </pivotArea>
    </format>
    <format dxfId="23">
      <pivotArea dataOnly="0" labelOnly="1" outline="0" fieldPosition="0">
        <references count="2">
          <reference field="4294967294" count="8">
            <x v="0"/>
            <x v="1"/>
            <x v="2"/>
            <x v="3"/>
            <x v="4"/>
            <x v="5"/>
            <x v="6"/>
            <x v="7"/>
          </reference>
          <reference field="0" count="1" selected="0">
            <x v="14"/>
          </reference>
        </references>
      </pivotArea>
    </format>
    <format dxfId="22">
      <pivotArea dataOnly="0" labelOnly="1" outline="0" fieldPosition="0">
        <references count="2">
          <reference field="4294967294" count="8">
            <x v="0"/>
            <x v="1"/>
            <x v="2"/>
            <x v="3"/>
            <x v="4"/>
            <x v="5"/>
            <x v="6"/>
            <x v="7"/>
          </reference>
          <reference field="0" count="1" selected="0">
            <x v="15"/>
          </reference>
        </references>
      </pivotArea>
    </format>
    <format dxfId="21">
      <pivotArea dataOnly="0" labelOnly="1" outline="0" fieldPosition="0">
        <references count="2">
          <reference field="4294967294" count="8">
            <x v="0"/>
            <x v="1"/>
            <x v="2"/>
            <x v="3"/>
            <x v="4"/>
            <x v="5"/>
            <x v="6"/>
            <x v="7"/>
          </reference>
          <reference field="0" count="1" selected="0">
            <x v="16"/>
          </reference>
        </references>
      </pivotArea>
    </format>
    <format dxfId="20">
      <pivotArea field="0" type="button" dataOnly="0" labelOnly="1" outline="0" axis="axisRow" fieldPosition="0"/>
    </format>
    <format dxfId="19">
      <pivotArea field="-2" type="button" dataOnly="0" labelOnly="1" outline="0" axis="axisRow" fieldPosition="1"/>
    </format>
    <format dxfId="18">
      <pivotArea outline="0" fieldPosition="0">
        <references count="2">
          <reference field="4294967294" count="1" selected="0">
            <x v="7"/>
          </reference>
          <reference field="0" count="1" selected="0">
            <x v="0"/>
          </reference>
        </references>
      </pivotArea>
    </format>
    <format dxfId="17">
      <pivotArea dataOnly="0" labelOnly="1" outline="0" offset="IV256" fieldPosition="0">
        <references count="1">
          <reference field="0" count="1">
            <x v="0"/>
          </reference>
        </references>
      </pivotArea>
    </format>
    <format dxfId="16">
      <pivotArea dataOnly="0" labelOnly="1" outline="0" fieldPosition="0">
        <references count="2">
          <reference field="4294967294" count="1">
            <x v="7"/>
          </reference>
          <reference field="0" count="1" selected="0">
            <x v="0"/>
          </reference>
        </references>
      </pivotArea>
    </format>
    <format dxfId="15">
      <pivotArea outline="0" fieldPosition="0">
        <references count="2">
          <reference field="4294967294" count="1" selected="0">
            <x v="1"/>
          </reference>
          <reference field="0" count="1" selected="0">
            <x v="0"/>
          </reference>
        </references>
      </pivotArea>
    </format>
    <format dxfId="14">
      <pivotArea dataOnly="0" labelOnly="1" outline="0" fieldPosition="0">
        <references count="2">
          <reference field="4294967294" count="1">
            <x v="1"/>
          </reference>
          <reference field="0" count="1" selected="0">
            <x v="0"/>
          </reference>
        </references>
      </pivotArea>
    </format>
    <format dxfId="13">
      <pivotArea outline="0" fieldPosition="0">
        <references count="2">
          <reference field="4294967294" count="1" selected="0">
            <x v="3"/>
          </reference>
          <reference field="0" count="1" selected="0">
            <x v="0"/>
          </reference>
        </references>
      </pivotArea>
    </format>
    <format dxfId="12">
      <pivotArea dataOnly="0" labelOnly="1" outline="0" fieldPosition="0">
        <references count="2">
          <reference field="4294967294" count="1">
            <x v="3"/>
          </reference>
          <reference field="0" count="1" selected="0">
            <x v="0"/>
          </reference>
        </references>
      </pivotArea>
    </format>
    <format dxfId="11">
      <pivotArea outline="0" fieldPosition="0">
        <references count="2">
          <reference field="4294967294" count="1" selected="0">
            <x v="5"/>
          </reference>
          <reference field="0" count="1" selected="0">
            <x v="0"/>
          </reference>
        </references>
      </pivotArea>
    </format>
    <format dxfId="10">
      <pivotArea dataOnly="0" labelOnly="1" outline="0" fieldPosition="0">
        <references count="2">
          <reference field="4294967294" count="1">
            <x v="5"/>
          </reference>
          <reference field="0" count="1" selected="0">
            <x v="0"/>
          </reference>
        </references>
      </pivotArea>
    </format>
    <format dxfId="9">
      <pivotArea type="topRight" dataOnly="0" labelOnly="1" outline="0" offset="F1" fieldPosition="0"/>
    </format>
    <format dxfId="8">
      <pivotArea outline="0" fieldPosition="0">
        <references count="2">
          <reference field="4" count="1" selected="0">
            <x v="13"/>
          </reference>
          <reference field="70" count="1" selected="0">
            <x v="3"/>
          </reference>
        </references>
      </pivotArea>
    </format>
    <format dxfId="7">
      <pivotArea type="topRight" dataOnly="0" labelOnly="1" outline="0" offset="K1" fieldPosition="0"/>
    </format>
    <format dxfId="6">
      <pivotArea dataOnly="0" labelOnly="1" outline="0" offset="IV256" fieldPosition="0">
        <references count="1">
          <reference field="70" count="1">
            <x v="3"/>
          </reference>
        </references>
      </pivotArea>
    </format>
    <format dxfId="5">
      <pivotArea dataOnly="0" labelOnly="1" outline="0" fieldPosition="0">
        <references count="2">
          <reference field="4" count="1">
            <x v="13"/>
          </reference>
          <reference field="70" count="1" selected="0">
            <x v="3"/>
          </reference>
        </references>
      </pivotArea>
    </format>
    <format dxfId="4">
      <pivotArea outline="0" fieldPosition="0">
        <references count="2">
          <reference field="4" count="1" selected="0">
            <x v="15"/>
          </reference>
          <reference field="70" count="1" selected="0">
            <x v="4"/>
          </reference>
        </references>
      </pivotArea>
    </format>
    <format dxfId="3">
      <pivotArea type="topRight" dataOnly="0" labelOnly="1" outline="0" offset="N1" fieldPosition="0"/>
    </format>
    <format dxfId="2">
      <pivotArea dataOnly="0" labelOnly="1" outline="0" offset="IV256" fieldPosition="0">
        <references count="1">
          <reference field="70" count="1">
            <x v="4"/>
          </reference>
        </references>
      </pivotArea>
    </format>
    <format dxfId="1">
      <pivotArea dataOnly="0" labelOnly="1" outline="0" fieldPosition="0">
        <references count="2">
          <reference field="4" count="1">
            <x v="15"/>
          </reference>
          <reference field="70" count="1" selected="0">
            <x v="4"/>
          </reference>
        </references>
      </pivotArea>
    </format>
    <format dxfId="0">
      <pivotArea outline="0" fieldPosition="0">
        <references count="4">
          <reference field="4294967294" count="1" selected="0">
            <x v="2"/>
          </reference>
          <reference field="0" count="1" selected="0">
            <x v="12"/>
          </reference>
          <reference field="4" count="1" selected="0">
            <x v="2"/>
          </reference>
          <reference field="70" count="1" selected="0">
            <x v="0"/>
          </reference>
        </references>
      </pivotArea>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N116"/>
  <sheetViews>
    <sheetView showZeros="0" tabSelected="1" view="pageBreakPreview" zoomScaleNormal="100" zoomScaleSheetLayoutView="100" workbookViewId="0"/>
  </sheetViews>
  <sheetFormatPr defaultRowHeight="15" x14ac:dyDescent="0.25"/>
  <cols>
    <col min="1" max="1" width="12.7109375" style="148" customWidth="1"/>
    <col min="2" max="12" width="7.140625" style="148" customWidth="1"/>
    <col min="13" max="13" width="7.140625" style="156" customWidth="1"/>
    <col min="14" max="16" width="7.140625" style="148" customWidth="1"/>
    <col min="17" max="23" width="9.140625" style="148"/>
    <col min="24" max="24" width="13.28515625" style="148" customWidth="1"/>
    <col min="25" max="16384" width="9.140625" style="148"/>
  </cols>
  <sheetData>
    <row r="1" spans="1:33" ht="18" x14ac:dyDescent="0.25">
      <c r="A1" s="16" t="s">
        <v>138</v>
      </c>
      <c r="B1" s="34"/>
      <c r="C1" s="34"/>
      <c r="D1" s="34"/>
      <c r="E1" s="34"/>
      <c r="F1" s="34"/>
      <c r="G1" s="146"/>
      <c r="H1" s="146"/>
      <c r="I1" s="146"/>
      <c r="J1" s="146"/>
      <c r="K1" s="146"/>
      <c r="L1" s="146"/>
      <c r="M1" s="614"/>
      <c r="N1" s="146"/>
      <c r="O1" s="19"/>
      <c r="P1" s="19"/>
    </row>
    <row r="2" spans="1:33" s="28" customFormat="1" ht="12.75" x14ac:dyDescent="0.2">
      <c r="A2" s="18"/>
      <c r="B2" s="19"/>
      <c r="C2" s="19"/>
      <c r="D2" s="19"/>
      <c r="E2" s="19"/>
      <c r="F2" s="19"/>
      <c r="G2" s="19"/>
      <c r="H2" s="19"/>
      <c r="I2" s="19"/>
      <c r="J2" s="19"/>
      <c r="K2" s="19"/>
      <c r="L2" s="19"/>
      <c r="M2" s="36"/>
      <c r="N2" s="19"/>
      <c r="O2" s="19"/>
      <c r="P2" s="19"/>
    </row>
    <row r="3" spans="1:33" ht="15.75" x14ac:dyDescent="0.25">
      <c r="A3" s="37" t="s">
        <v>863</v>
      </c>
      <c r="B3" s="19"/>
      <c r="C3" s="19"/>
      <c r="D3" s="19"/>
      <c r="E3" s="19"/>
      <c r="F3" s="19"/>
      <c r="G3" s="146"/>
      <c r="H3" s="146"/>
      <c r="I3" s="146"/>
      <c r="J3" s="146"/>
      <c r="K3" s="146"/>
      <c r="L3" s="146"/>
      <c r="M3" s="614"/>
      <c r="N3" s="146"/>
      <c r="O3" s="146"/>
      <c r="P3" s="146"/>
    </row>
    <row r="4" spans="1:33" x14ac:dyDescent="0.25">
      <c r="A4" s="615"/>
      <c r="B4" s="147"/>
      <c r="C4" s="147"/>
      <c r="D4" s="147"/>
      <c r="E4" s="147"/>
      <c r="F4" s="147"/>
      <c r="G4" s="147"/>
      <c r="H4" s="147"/>
      <c r="I4" s="147"/>
      <c r="J4" s="147"/>
      <c r="K4" s="147"/>
      <c r="L4" s="147"/>
    </row>
    <row r="5" spans="1:33" s="31" customFormat="1" x14ac:dyDescent="0.25">
      <c r="A5" s="616"/>
      <c r="B5" s="668" t="s">
        <v>55</v>
      </c>
      <c r="C5" s="668"/>
      <c r="D5" s="668"/>
      <c r="E5" s="668"/>
      <c r="F5" s="668"/>
      <c r="G5" s="668"/>
      <c r="H5" s="669"/>
      <c r="I5" s="670" t="s">
        <v>56</v>
      </c>
      <c r="J5" s="668"/>
      <c r="K5" s="668"/>
      <c r="L5" s="668"/>
      <c r="M5" s="668"/>
      <c r="N5" s="53" t="s">
        <v>57</v>
      </c>
      <c r="O5" s="44"/>
      <c r="P5" s="44"/>
      <c r="R5" s="148"/>
      <c r="S5" s="148"/>
      <c r="T5" s="148"/>
      <c r="U5" s="148"/>
      <c r="V5" s="148"/>
      <c r="W5" s="148"/>
      <c r="X5" s="148"/>
      <c r="Y5" s="148"/>
      <c r="Z5" s="148"/>
      <c r="AA5" s="148"/>
      <c r="AB5" s="148"/>
      <c r="AC5" s="148"/>
      <c r="AD5" s="148"/>
      <c r="AE5" s="148"/>
      <c r="AF5" s="148"/>
      <c r="AG5" s="148"/>
    </row>
    <row r="6" spans="1:33" s="32" customFormat="1" ht="24.75" x14ac:dyDescent="0.25">
      <c r="A6" s="617"/>
      <c r="B6" s="609">
        <v>1</v>
      </c>
      <c r="C6" s="609">
        <v>2</v>
      </c>
      <c r="D6" s="609">
        <v>3</v>
      </c>
      <c r="E6" s="609">
        <v>4</v>
      </c>
      <c r="F6" s="609">
        <v>5</v>
      </c>
      <c r="G6" s="609">
        <v>6</v>
      </c>
      <c r="H6" s="174" t="s">
        <v>918</v>
      </c>
      <c r="I6" s="618" t="s">
        <v>140</v>
      </c>
      <c r="J6" s="609">
        <v>1</v>
      </c>
      <c r="K6" s="609">
        <v>2</v>
      </c>
      <c r="L6" s="609">
        <v>3</v>
      </c>
      <c r="M6" s="608" t="s">
        <v>139</v>
      </c>
      <c r="N6" s="608">
        <v>1</v>
      </c>
      <c r="O6" s="609">
        <v>2</v>
      </c>
      <c r="P6" s="608" t="s">
        <v>139</v>
      </c>
      <c r="R6" s="148"/>
      <c r="S6" s="148"/>
      <c r="T6" s="148"/>
      <c r="U6" s="148"/>
      <c r="V6" s="148"/>
      <c r="W6" s="148"/>
      <c r="X6" s="148"/>
      <c r="Y6" s="148"/>
      <c r="Z6" s="148"/>
      <c r="AA6" s="148"/>
      <c r="AB6" s="148"/>
      <c r="AC6" s="148"/>
      <c r="AD6" s="148"/>
      <c r="AE6" s="148"/>
      <c r="AF6" s="148"/>
      <c r="AG6" s="148"/>
    </row>
    <row r="7" spans="1:33" x14ac:dyDescent="0.25">
      <c r="A7" s="28" t="s">
        <v>141</v>
      </c>
      <c r="B7" s="122">
        <f>+'NEW...Tables 91-112'!B41+'NEW...Tables 91-112'!C41</f>
        <v>95.330691431824235</v>
      </c>
      <c r="C7" s="122">
        <f>+'NEW...Tables 91-112'!B72+'NEW...Tables 91-112'!C72</f>
        <v>90.355744898636161</v>
      </c>
      <c r="D7" s="122">
        <f>+'NEW...Tables 91-112'!B103+'NEW...Tables 91-112'!C103</f>
        <v>83.357736303973297</v>
      </c>
      <c r="E7" s="122">
        <f>+'NEW...Tables 91-112'!B134+'NEW...Tables 91-112'!C134</f>
        <v>85.921485228868136</v>
      </c>
      <c r="F7" s="122">
        <f>+'NEW...Tables 91-112'!B165+'NEW...Tables 91-112'!C165</f>
        <v>95.403286093747511</v>
      </c>
      <c r="G7" s="122">
        <f>+'NEW...Tables 91-112'!B196+'NEW...Tables 91-112'!C196</f>
        <v>40.169406359916735</v>
      </c>
      <c r="H7" s="116">
        <f>+'NEW...Tables 91-112'!B9+'NEW...Tables 91-112'!C9</f>
        <v>88.945739160574618</v>
      </c>
      <c r="I7" s="119">
        <f>+'NEW...Tables 91-112'!B258+'NEW...Tables 91-112'!C258</f>
        <v>0</v>
      </c>
      <c r="J7" s="122">
        <f>+'NEW...Tables 91-112'!B289+'NEW...Tables 91-112'!C289</f>
        <v>80.012240352543969</v>
      </c>
      <c r="K7" s="122">
        <f>+'NEW...Tables 91-112'!B320+'NEW...Tables 91-112'!C320</f>
        <v>85.301198954383267</v>
      </c>
      <c r="L7" s="122">
        <f>+'NEW...Tables 91-112'!B351+'NEW...Tables 91-112'!C351</f>
        <v>76.363451879661113</v>
      </c>
      <c r="M7" s="119">
        <f>+'NEW...Tables 91-112'!B227+'NEW...Tables 91-112'!C227</f>
        <v>82.24203245668005</v>
      </c>
      <c r="N7" s="619">
        <f>+'NEW...Tables 91-112'!B412+'NEW...Tables 91-112'!C412</f>
        <v>91.849893769455008</v>
      </c>
      <c r="O7" s="63">
        <f>+'NEW...Tables 91-112'!B442+'NEW...Tables 91-112'!C442</f>
        <v>91.920905746543198</v>
      </c>
      <c r="P7" s="119">
        <f>+'NEW...Tables 91-112'!B382+'NEW...Tables 91-112'!C382</f>
        <v>91.893144810801417</v>
      </c>
      <c r="Q7" s="28"/>
      <c r="R7" s="28"/>
      <c r="V7" s="28"/>
    </row>
    <row r="8" spans="1:33" x14ac:dyDescent="0.25">
      <c r="A8" s="28" t="s">
        <v>142</v>
      </c>
      <c r="B8" s="122">
        <f>+'NEW...Tables 91-112'!B42+'NEW...Tables 91-112'!C42</f>
        <v>94.50138158887988</v>
      </c>
      <c r="C8" s="122">
        <f>+'NEW...Tables 91-112'!B73+'NEW...Tables 91-112'!C73</f>
        <v>0</v>
      </c>
      <c r="D8" s="122">
        <f>+'NEW...Tables 91-112'!B104+'NEW...Tables 91-112'!C104</f>
        <v>81.437512695005239</v>
      </c>
      <c r="E8" s="122">
        <f>+'NEW...Tables 91-112'!B135+'NEW...Tables 91-112'!C135</f>
        <v>89.42605852173422</v>
      </c>
      <c r="F8" s="122">
        <f>+'NEW...Tables 91-112'!B166+'NEW...Tables 91-112'!C166</f>
        <v>82.546314656393406</v>
      </c>
      <c r="G8" s="122">
        <f>+'NEW...Tables 91-112'!B197+'NEW...Tables 91-112'!C197</f>
        <v>87.658038234418513</v>
      </c>
      <c r="H8" s="116">
        <f>+'NEW...Tables 91-112'!B10+'NEW...Tables 91-112'!C10</f>
        <v>86.63841046529727</v>
      </c>
      <c r="I8" s="119">
        <f>+'NEW...Tables 91-112'!B259+'NEW...Tables 91-112'!C259</f>
        <v>0</v>
      </c>
      <c r="J8" s="122">
        <f>+'NEW...Tables 91-112'!B290+'NEW...Tables 91-112'!C290</f>
        <v>71.267930226089717</v>
      </c>
      <c r="K8" s="122">
        <f>+'NEW...Tables 91-112'!B321+'NEW...Tables 91-112'!C321</f>
        <v>80.949611436990764</v>
      </c>
      <c r="L8" s="122">
        <f>+'NEW...Tables 91-112'!B352+'NEW...Tables 91-112'!C352</f>
        <v>80.369953197807178</v>
      </c>
      <c r="M8" s="119">
        <f>+'NEW...Tables 91-112'!B228+'NEW...Tables 91-112'!C228</f>
        <v>77.43078365690009</v>
      </c>
      <c r="N8" s="619">
        <f>+'NEW...Tables 91-112'!B413+'NEW...Tables 91-112'!C413</f>
        <v>0</v>
      </c>
      <c r="O8" s="63">
        <f>+'NEW...Tables 91-112'!B443+'NEW...Tables 91-112'!C443</f>
        <v>0</v>
      </c>
      <c r="P8" s="119">
        <f>+'NEW...Tables 91-112'!B383+'NEW...Tables 91-112'!C383</f>
        <v>0</v>
      </c>
    </row>
    <row r="9" spans="1:33" x14ac:dyDescent="0.25">
      <c r="A9" s="28" t="s">
        <v>143</v>
      </c>
      <c r="B9" s="122">
        <f>+'NEW...Tables 91-112'!B43+'NEW...Tables 91-112'!C43</f>
        <v>97.369197619193443</v>
      </c>
      <c r="C9" s="122">
        <f>+'NEW...Tables 91-112'!B74+'NEW...Tables 91-112'!C74</f>
        <v>0</v>
      </c>
      <c r="D9" s="122">
        <f>+'NEW...Tables 91-112'!B105+'NEW...Tables 91-112'!C105</f>
        <v>98.52044386683994</v>
      </c>
      <c r="E9" s="122">
        <f>+'NEW...Tables 91-112'!B136+'NEW...Tables 91-112'!C136</f>
        <v>0</v>
      </c>
      <c r="F9" s="122">
        <f>+'NEW...Tables 91-112'!B167+'NEW...Tables 91-112'!C167</f>
        <v>0</v>
      </c>
      <c r="G9" s="122">
        <f>+'NEW...Tables 91-112'!B198+'NEW...Tables 91-112'!C198</f>
        <v>0</v>
      </c>
      <c r="H9" s="116">
        <f>+'NEW...Tables 91-112'!B11+'NEW...Tables 91-112'!C11</f>
        <v>97.564430169440328</v>
      </c>
      <c r="I9" s="119">
        <f>+'NEW...Tables 91-112'!B260+'NEW...Tables 91-112'!C260</f>
        <v>0</v>
      </c>
      <c r="J9" s="122">
        <f>+'NEW...Tables 91-112'!B291+'NEW...Tables 91-112'!C291</f>
        <v>89.126240173135344</v>
      </c>
      <c r="K9" s="122">
        <f>+'NEW...Tables 91-112'!B322+'NEW...Tables 91-112'!C322</f>
        <v>81.015408347709354</v>
      </c>
      <c r="L9" s="122">
        <f>+'NEW...Tables 91-112'!B353+'NEW...Tables 91-112'!C353</f>
        <v>0</v>
      </c>
      <c r="M9" s="119">
        <f>+'NEW...Tables 91-112'!B229+'NEW...Tables 91-112'!C229</f>
        <v>84.864609016578555</v>
      </c>
      <c r="N9" s="619">
        <f>+'NEW...Tables 91-112'!B414+'NEW...Tables 91-112'!C414</f>
        <v>0</v>
      </c>
      <c r="O9" s="63">
        <f>+'NEW...Tables 91-112'!B444+'NEW...Tables 91-112'!C444</f>
        <v>0</v>
      </c>
      <c r="P9" s="119">
        <f>+'NEW...Tables 91-112'!B384+'NEW...Tables 91-112'!C384</f>
        <v>0</v>
      </c>
    </row>
    <row r="10" spans="1:33" x14ac:dyDescent="0.25">
      <c r="A10" s="28" t="s">
        <v>144</v>
      </c>
      <c r="B10" s="122">
        <f>+'NEW...Tables 91-112'!B44+'NEW...Tables 91-112'!C44</f>
        <v>77.113307809286127</v>
      </c>
      <c r="C10" s="122">
        <f>+'NEW...Tables 91-112'!B75+'NEW...Tables 91-112'!C75</f>
        <v>88.110180689196739</v>
      </c>
      <c r="D10" s="122">
        <f>+'NEW...Tables 91-112'!B106+'NEW...Tables 91-112'!C106</f>
        <v>84.682950370773511</v>
      </c>
      <c r="E10" s="122">
        <f>+'NEW...Tables 91-112'!B137+'NEW...Tables 91-112'!C137</f>
        <v>82.383086080706406</v>
      </c>
      <c r="F10" s="122">
        <f>+'NEW...Tables 91-112'!B168+'NEW...Tables 91-112'!C168</f>
        <v>0</v>
      </c>
      <c r="G10" s="122">
        <f>+'NEW...Tables 91-112'!B199+'NEW...Tables 91-112'!C199</f>
        <v>100</v>
      </c>
      <c r="H10" s="116">
        <f>+'NEW...Tables 91-112'!B12+'NEW...Tables 91-112'!C12</f>
        <v>79.332999481916815</v>
      </c>
      <c r="I10" s="119">
        <f>+'NEW...Tables 91-112'!B261+'NEW...Tables 91-112'!C261</f>
        <v>74.300750344846534</v>
      </c>
      <c r="J10" s="122">
        <f>+'NEW...Tables 91-112'!B292+'NEW...Tables 91-112'!C292</f>
        <v>78.235094961227702</v>
      </c>
      <c r="K10" s="122">
        <f>+'NEW...Tables 91-112'!B323+'NEW...Tables 91-112'!C323</f>
        <v>72.504368133873101</v>
      </c>
      <c r="L10" s="122">
        <f>+'NEW...Tables 91-112'!B354+'NEW...Tables 91-112'!C354</f>
        <v>64.846762735944793</v>
      </c>
      <c r="M10" s="119">
        <f>+'NEW...Tables 91-112'!B230+'NEW...Tables 91-112'!C230</f>
        <v>76.32159606738054</v>
      </c>
      <c r="N10" s="619">
        <f>+'NEW...Tables 91-112'!B415+'NEW...Tables 91-112'!C415</f>
        <v>0</v>
      </c>
      <c r="O10" s="63">
        <f>+'NEW...Tables 91-112'!B445+'NEW...Tables 91-112'!C445</f>
        <v>0</v>
      </c>
      <c r="P10" s="119">
        <f>+'NEW...Tables 91-112'!B385+'NEW...Tables 91-112'!C385</f>
        <v>0</v>
      </c>
    </row>
    <row r="11" spans="1:33" x14ac:dyDescent="0.25">
      <c r="A11" s="28"/>
      <c r="B11" s="122"/>
      <c r="C11" s="122"/>
      <c r="D11" s="122"/>
      <c r="E11" s="122"/>
      <c r="F11" s="122"/>
      <c r="G11" s="122"/>
      <c r="H11" s="116"/>
      <c r="I11" s="119"/>
      <c r="J11" s="122"/>
      <c r="K11" s="122"/>
      <c r="L11" s="122"/>
      <c r="M11" s="119"/>
      <c r="N11" s="619"/>
      <c r="O11" s="63"/>
      <c r="P11" s="119"/>
    </row>
    <row r="12" spans="1:33" x14ac:dyDescent="0.25">
      <c r="A12" s="28" t="s">
        <v>145</v>
      </c>
      <c r="B12" s="122">
        <f>+'NEW...Tables 91-112'!B46+'NEW...Tables 91-112'!C46</f>
        <v>97.527158327367133</v>
      </c>
      <c r="C12" s="122">
        <f>+'NEW...Tables 91-112'!B77+'NEW...Tables 91-112'!C77</f>
        <v>99.279122869921295</v>
      </c>
      <c r="D12" s="122">
        <f>+'NEW...Tables 91-112'!B108+'NEW...Tables 91-112'!C108</f>
        <v>88.451886108374765</v>
      </c>
      <c r="E12" s="122">
        <f>+'NEW...Tables 91-112'!B139+'NEW...Tables 91-112'!C139</f>
        <v>89.955590935895842</v>
      </c>
      <c r="F12" s="122">
        <f>+'NEW...Tables 91-112'!B170+'NEW...Tables 91-112'!C170</f>
        <v>86.086655401333005</v>
      </c>
      <c r="G12" s="122">
        <f>+'NEW...Tables 91-112'!B201+'NEW...Tables 91-112'!C201</f>
        <v>93.051049087457372</v>
      </c>
      <c r="H12" s="116">
        <f>+'NEW...Tables 91-112'!B14+'NEW...Tables 91-112'!C14</f>
        <v>92.134228171543683</v>
      </c>
      <c r="I12" s="119">
        <f>+'NEW...Tables 91-112'!B263+'NEW...Tables 91-112'!C263</f>
        <v>96.388386220392036</v>
      </c>
      <c r="J12" s="122">
        <f>+'NEW...Tables 91-112'!B294+'NEW...Tables 91-112'!C294</f>
        <v>72.611727158154338</v>
      </c>
      <c r="K12" s="122">
        <f>+'NEW...Tables 91-112'!B325+'NEW...Tables 91-112'!C325</f>
        <v>80.370851381582639</v>
      </c>
      <c r="L12" s="122">
        <f>+'NEW...Tables 91-112'!B356+'NEW...Tables 91-112'!C356</f>
        <v>96.305784180690651</v>
      </c>
      <c r="M12" s="119">
        <f>+'NEW...Tables 91-112'!B232+'NEW...Tables 91-112'!C232</f>
        <v>82.449325432553721</v>
      </c>
      <c r="N12" s="619">
        <f>+'NEW...Tables 91-112'!B417+'NEW...Tables 91-112'!C417</f>
        <v>76.975953669682738</v>
      </c>
      <c r="O12" s="63">
        <f>+'NEW...Tables 91-112'!B447+'NEW...Tables 91-112'!C447</f>
        <v>0</v>
      </c>
      <c r="P12" s="119">
        <f>+'NEW...Tables 91-112'!B387+'NEW...Tables 91-112'!C387</f>
        <v>76.975953669682738</v>
      </c>
    </row>
    <row r="13" spans="1:33" x14ac:dyDescent="0.25">
      <c r="A13" s="28" t="s">
        <v>146</v>
      </c>
      <c r="B13" s="122">
        <f>+'NEW...Tables 91-112'!B47+'NEW...Tables 91-112'!C47</f>
        <v>93.930205549126285</v>
      </c>
      <c r="C13" s="122">
        <f>+'NEW...Tables 91-112'!B78+'NEW...Tables 91-112'!C78</f>
        <v>0</v>
      </c>
      <c r="D13" s="122">
        <f>+'NEW...Tables 91-112'!B109+'NEW...Tables 91-112'!C109</f>
        <v>83.811406057432578</v>
      </c>
      <c r="E13" s="122">
        <f>+'NEW...Tables 91-112'!B140+'NEW...Tables 91-112'!C140</f>
        <v>84.500765135131715</v>
      </c>
      <c r="F13" s="122">
        <f>+'NEW...Tables 91-112'!B171+'NEW...Tables 91-112'!C171</f>
        <v>0</v>
      </c>
      <c r="G13" s="122">
        <f>+'NEW...Tables 91-112'!B202+'NEW...Tables 91-112'!C202</f>
        <v>0</v>
      </c>
      <c r="H13" s="116">
        <f>+'NEW...Tables 91-112'!B15+'NEW...Tables 91-112'!C15</f>
        <v>87.667399018483124</v>
      </c>
      <c r="I13" s="119">
        <f>+'NEW...Tables 91-112'!B264+'NEW...Tables 91-112'!C264</f>
        <v>0</v>
      </c>
      <c r="J13" s="122">
        <f>+'NEW...Tables 91-112'!B295+'NEW...Tables 91-112'!C295</f>
        <v>74.421234569823611</v>
      </c>
      <c r="K13" s="122">
        <f>+'NEW...Tables 91-112'!B326+'NEW...Tables 91-112'!C326</f>
        <v>64.752970403536466</v>
      </c>
      <c r="L13" s="122">
        <f>+'NEW...Tables 91-112'!B357+'NEW...Tables 91-112'!C357</f>
        <v>57.391463638028938</v>
      </c>
      <c r="M13" s="119">
        <f>+'NEW...Tables 91-112'!B233+'NEW...Tables 91-112'!C233</f>
        <v>67.800987012209845</v>
      </c>
      <c r="N13" s="619">
        <f>+'NEW...Tables 91-112'!B418+'NEW...Tables 91-112'!C418</f>
        <v>76.620546181025659</v>
      </c>
      <c r="O13" s="63">
        <f>+'NEW...Tables 91-112'!B448+'NEW...Tables 91-112'!C448</f>
        <v>0</v>
      </c>
      <c r="P13" s="119">
        <f>+'NEW...Tables 91-112'!B388+'NEW...Tables 91-112'!C388</f>
        <v>76.620546181025659</v>
      </c>
    </row>
    <row r="14" spans="1:33" x14ac:dyDescent="0.25">
      <c r="A14" s="28" t="s">
        <v>147</v>
      </c>
      <c r="B14" s="122">
        <f>+'NEW...Tables 91-112'!B48+'NEW...Tables 91-112'!C48</f>
        <v>0</v>
      </c>
      <c r="C14" s="122">
        <f>+'NEW...Tables 91-112'!B79+'NEW...Tables 91-112'!C79</f>
        <v>0</v>
      </c>
      <c r="D14" s="122">
        <f>+'NEW...Tables 91-112'!B110+'NEW...Tables 91-112'!C110</f>
        <v>0</v>
      </c>
      <c r="E14" s="122">
        <f>+'NEW...Tables 91-112'!B141+'NEW...Tables 91-112'!C141</f>
        <v>0</v>
      </c>
      <c r="F14" s="122">
        <f>+'NEW...Tables 91-112'!B172+'NEW...Tables 91-112'!C172</f>
        <v>0</v>
      </c>
      <c r="G14" s="122">
        <f>+'NEW...Tables 91-112'!B203+'NEW...Tables 91-112'!C203</f>
        <v>0</v>
      </c>
      <c r="H14" s="116">
        <f>+'NEW...Tables 91-112'!B16+'NEW...Tables 91-112'!C16</f>
        <v>0</v>
      </c>
      <c r="I14" s="119">
        <f>+'NEW...Tables 91-112'!B265+'NEW...Tables 91-112'!C265</f>
        <v>0</v>
      </c>
      <c r="J14" s="122">
        <f>+'NEW...Tables 91-112'!B296+'NEW...Tables 91-112'!C296</f>
        <v>0</v>
      </c>
      <c r="K14" s="122">
        <f>+'NEW...Tables 91-112'!B327+'NEW...Tables 91-112'!C327</f>
        <v>0</v>
      </c>
      <c r="L14" s="122">
        <f>+'NEW...Tables 91-112'!B358+'NEW...Tables 91-112'!C358</f>
        <v>0</v>
      </c>
      <c r="M14" s="119">
        <f>+'NEW...Tables 91-112'!B234+'NEW...Tables 91-112'!C234</f>
        <v>0</v>
      </c>
      <c r="N14" s="619">
        <f>+'NEW...Tables 91-112'!B419+'NEW...Tables 91-112'!C419</f>
        <v>0</v>
      </c>
      <c r="O14" s="63">
        <f>+'NEW...Tables 91-112'!B449+'NEW...Tables 91-112'!C449</f>
        <v>0</v>
      </c>
      <c r="P14" s="119">
        <f>+'NEW...Tables 91-112'!B389+'NEW...Tables 91-112'!C389</f>
        <v>0</v>
      </c>
    </row>
    <row r="15" spans="1:33" x14ac:dyDescent="0.25">
      <c r="A15" s="28" t="s">
        <v>177</v>
      </c>
      <c r="B15" s="122">
        <f>+'NEW...Tables 91-112'!B49+'NEW...Tables 91-112'!C49</f>
        <v>98.019669228093491</v>
      </c>
      <c r="C15" s="122">
        <f>+'NEW...Tables 91-112'!B80+'NEW...Tables 91-112'!C80</f>
        <v>93.641832766164327</v>
      </c>
      <c r="D15" s="122">
        <f>+'NEW...Tables 91-112'!B111+'NEW...Tables 91-112'!C111</f>
        <v>93.920475126927144</v>
      </c>
      <c r="E15" s="122">
        <f>+'NEW...Tables 91-112'!B142+'NEW...Tables 91-112'!C142</f>
        <v>89.288922211252242</v>
      </c>
      <c r="F15" s="122">
        <f>+'NEW...Tables 91-112'!B173+'NEW...Tables 91-112'!C173</f>
        <v>87.672271947533631</v>
      </c>
      <c r="G15" s="122">
        <f>+'NEW...Tables 91-112'!B204+'NEW...Tables 91-112'!C204</f>
        <v>100</v>
      </c>
      <c r="H15" s="116">
        <f>+'NEW...Tables 91-112'!B17+'NEW...Tables 91-112'!C17</f>
        <v>78.244025936467352</v>
      </c>
      <c r="I15" s="119">
        <f>+'NEW...Tables 91-112'!B266+'NEW...Tables 91-112'!C266</f>
        <v>0</v>
      </c>
      <c r="J15" s="122">
        <f>+'NEW...Tables 91-112'!B297+'NEW...Tables 91-112'!C297</f>
        <v>85.058731617389981</v>
      </c>
      <c r="K15" s="122">
        <f>+'NEW...Tables 91-112'!B328+'NEW...Tables 91-112'!C328</f>
        <v>82.350845415147873</v>
      </c>
      <c r="L15" s="122">
        <f>+'NEW...Tables 91-112'!B359+'NEW...Tables 91-112'!C359</f>
        <v>80.15126420651562</v>
      </c>
      <c r="M15" s="119">
        <f>+'NEW...Tables 91-112'!B235+'NEW...Tables 91-112'!C235</f>
        <v>84.284781526421256</v>
      </c>
      <c r="N15" s="619">
        <f>+'NEW...Tables 91-112'!B420+'NEW...Tables 91-112'!C420</f>
        <v>0</v>
      </c>
      <c r="O15" s="63">
        <f>+'NEW...Tables 91-112'!B450+'NEW...Tables 91-112'!C450</f>
        <v>0</v>
      </c>
      <c r="P15" s="119">
        <f>+'NEW...Tables 91-112'!B390+'NEW...Tables 91-112'!C390</f>
        <v>0</v>
      </c>
    </row>
    <row r="16" spans="1:33" x14ac:dyDescent="0.25">
      <c r="A16" s="28"/>
      <c r="B16" s="122"/>
      <c r="C16" s="122"/>
      <c r="D16" s="122"/>
      <c r="E16" s="122"/>
      <c r="F16" s="122"/>
      <c r="G16" s="122"/>
      <c r="H16" s="116"/>
      <c r="I16" s="119"/>
      <c r="J16" s="122"/>
      <c r="K16" s="122"/>
      <c r="L16" s="122"/>
      <c r="M16" s="119"/>
      <c r="N16" s="619"/>
      <c r="O16" s="63"/>
      <c r="P16" s="119"/>
    </row>
    <row r="17" spans="1:40" ht="15.75" customHeight="1" x14ac:dyDescent="0.25">
      <c r="A17" s="28" t="s">
        <v>148</v>
      </c>
      <c r="B17" s="122">
        <f>+'NEW...Tables 91-112'!B51+'NEW...Tables 91-112'!C51</f>
        <v>91.935455647630832</v>
      </c>
      <c r="C17" s="122">
        <f>+'NEW...Tables 91-112'!B82+'NEW...Tables 91-112'!C82</f>
        <v>92.988700331257533</v>
      </c>
      <c r="D17" s="122">
        <f>+'NEW...Tables 91-112'!B113+'NEW...Tables 91-112'!C113</f>
        <v>0</v>
      </c>
      <c r="E17" s="122">
        <f>+'NEW...Tables 91-112'!B144+'NEW...Tables 91-112'!C144</f>
        <v>82.584077820437088</v>
      </c>
      <c r="F17" s="122">
        <f>+'NEW...Tables 91-112'!B175+'NEW...Tables 91-112'!C175</f>
        <v>52.951594724747139</v>
      </c>
      <c r="G17" s="122">
        <f>+'NEW...Tables 91-112'!B206+'NEW...Tables 91-112'!C206</f>
        <v>0</v>
      </c>
      <c r="H17" s="116">
        <f>+'NEW...Tables 91-112'!B19+'NEW...Tables 91-112'!C19</f>
        <v>89.584951508718163</v>
      </c>
      <c r="I17" s="119">
        <f>+'NEW...Tables 91-112'!B268+'NEW...Tables 91-112'!C268</f>
        <v>0</v>
      </c>
      <c r="J17" s="122">
        <f>+'NEW...Tables 91-112'!B299+'NEW...Tables 91-112'!C299</f>
        <v>79.746269563632254</v>
      </c>
      <c r="K17" s="122">
        <f>+'NEW...Tables 91-112'!B330+'NEW...Tables 91-112'!C330</f>
        <v>80.726475803653358</v>
      </c>
      <c r="L17" s="122">
        <f>+'NEW...Tables 91-112'!B361+'NEW...Tables 91-112'!C361</f>
        <v>87.074829931972786</v>
      </c>
      <c r="M17" s="119">
        <f>+'NEW...Tables 91-112'!B237+'NEW...Tables 91-112'!C237</f>
        <v>80.636710982963265</v>
      </c>
      <c r="N17" s="619">
        <f>+'NEW...Tables 91-112'!B422+'NEW...Tables 91-112'!C422</f>
        <v>0</v>
      </c>
      <c r="O17" s="63">
        <f>+'NEW...Tables 91-112'!B452+'NEW...Tables 91-112'!C452</f>
        <v>0</v>
      </c>
      <c r="P17" s="119">
        <f>+'NEW...Tables 91-112'!B392+'NEW...Tables 91-112'!C392</f>
        <v>0</v>
      </c>
    </row>
    <row r="18" spans="1:40" ht="15.75" customHeight="1" x14ac:dyDescent="0.25">
      <c r="A18" s="28" t="s">
        <v>149</v>
      </c>
      <c r="B18" s="122">
        <f>+'NEW...Tables 91-112'!B52+'NEW...Tables 91-112'!C52</f>
        <v>90.686329369848039</v>
      </c>
      <c r="C18" s="122">
        <f>+'NEW...Tables 91-112'!B83+'NEW...Tables 91-112'!C83</f>
        <v>90.55009426047819</v>
      </c>
      <c r="D18" s="122">
        <f>+'NEW...Tables 91-112'!B114+'NEW...Tables 91-112'!C114</f>
        <v>92.604564319495708</v>
      </c>
      <c r="E18" s="122">
        <f>+'NEW...Tables 91-112'!B145+'NEW...Tables 91-112'!C145</f>
        <v>81.327357514345991</v>
      </c>
      <c r="F18" s="122">
        <f>+'NEW...Tables 91-112'!B176+'NEW...Tables 91-112'!C176</f>
        <v>82.480530493292491</v>
      </c>
      <c r="G18" s="122">
        <f>+'NEW...Tables 91-112'!B207+'NEW...Tables 91-112'!C207</f>
        <v>89.32359580110014</v>
      </c>
      <c r="H18" s="116">
        <f>+'NEW...Tables 91-112'!B20+'NEW...Tables 91-112'!C20</f>
        <v>90.393696921696787</v>
      </c>
      <c r="I18" s="119">
        <f>+'NEW...Tables 91-112'!B269+'NEW...Tables 91-112'!C269</f>
        <v>0</v>
      </c>
      <c r="J18" s="122">
        <f>+'NEW...Tables 91-112'!B300+'NEW...Tables 91-112'!C300</f>
        <v>67.292635427844687</v>
      </c>
      <c r="K18" s="122">
        <f>+'NEW...Tables 91-112'!B331+'NEW...Tables 91-112'!C331</f>
        <v>64.752074679449635</v>
      </c>
      <c r="L18" s="122">
        <f>+'NEW...Tables 91-112'!B362+'NEW...Tables 91-112'!C362</f>
        <v>62.55953581271185</v>
      </c>
      <c r="M18" s="119">
        <f>+'NEW...Tables 91-112'!B238+'NEW...Tables 91-112'!C238</f>
        <v>65.60597134398256</v>
      </c>
      <c r="N18" s="619">
        <f>+'NEW...Tables 91-112'!B423+'NEW...Tables 91-112'!C423</f>
        <v>0</v>
      </c>
      <c r="O18" s="63">
        <f>+'NEW...Tables 91-112'!B453+'NEW...Tables 91-112'!C453</f>
        <v>0</v>
      </c>
      <c r="P18" s="119">
        <f>+'NEW...Tables 91-112'!B393+'NEW...Tables 91-112'!C393</f>
        <v>0</v>
      </c>
    </row>
    <row r="19" spans="1:40" ht="15.75" customHeight="1" x14ac:dyDescent="0.25">
      <c r="A19" s="28" t="s">
        <v>150</v>
      </c>
      <c r="B19" s="122">
        <f>+'NEW...Tables 91-112'!B53+'NEW...Tables 91-112'!C53</f>
        <v>89.468226808298525</v>
      </c>
      <c r="C19" s="122">
        <f>+'NEW...Tables 91-112'!B84+'NEW...Tables 91-112'!C84</f>
        <v>0</v>
      </c>
      <c r="D19" s="122">
        <f>+'NEW...Tables 91-112'!B115+'NEW...Tables 91-112'!C115</f>
        <v>87.393437884062536</v>
      </c>
      <c r="E19" s="122">
        <f>+'NEW...Tables 91-112'!B146+'NEW...Tables 91-112'!C146</f>
        <v>67.329300821204299</v>
      </c>
      <c r="F19" s="122">
        <f>+'NEW...Tables 91-112'!B177+'NEW...Tables 91-112'!C177</f>
        <v>83.742611059963352</v>
      </c>
      <c r="G19" s="122">
        <f>+'NEW...Tables 91-112'!B208+'NEW...Tables 91-112'!C208</f>
        <v>79.531054111747366</v>
      </c>
      <c r="H19" s="116">
        <f>+'NEW...Tables 91-112'!B21+'NEW...Tables 91-112'!C21</f>
        <v>86.263316813838088</v>
      </c>
      <c r="I19" s="119">
        <f>+'NEW...Tables 91-112'!B270+'NEW...Tables 91-112'!C270</f>
        <v>73.902091859760915</v>
      </c>
      <c r="J19" s="122">
        <f>+'NEW...Tables 91-112'!B301+'NEW...Tables 91-112'!C301</f>
        <v>76.627393334303463</v>
      </c>
      <c r="K19" s="122">
        <f>+'NEW...Tables 91-112'!B332+'NEW...Tables 91-112'!C332</f>
        <v>74.48625252688106</v>
      </c>
      <c r="L19" s="122">
        <f>+'NEW...Tables 91-112'!B363+'NEW...Tables 91-112'!C363</f>
        <v>67.288033009338449</v>
      </c>
      <c r="M19" s="119">
        <f>+'NEW...Tables 91-112'!B239+'NEW...Tables 91-112'!C239</f>
        <v>73.846190539553263</v>
      </c>
      <c r="N19" s="619">
        <f>+'NEW...Tables 91-112'!B424+'NEW...Tables 91-112'!C424</f>
        <v>0</v>
      </c>
      <c r="O19" s="63">
        <f>+'NEW...Tables 91-112'!B454+'NEW...Tables 91-112'!C454</f>
        <v>0</v>
      </c>
      <c r="P19" s="119">
        <f>+'NEW...Tables 91-112'!B394+'NEW...Tables 91-112'!C394</f>
        <v>0</v>
      </c>
    </row>
    <row r="20" spans="1:40" ht="15.75" customHeight="1" x14ac:dyDescent="0.25">
      <c r="A20" s="28" t="s">
        <v>151</v>
      </c>
      <c r="B20" s="122">
        <f>+'NEW...Tables 91-112'!B54+'NEW...Tables 91-112'!C54</f>
        <v>95.097132975138294</v>
      </c>
      <c r="C20" s="122">
        <f>+'NEW...Tables 91-112'!B85+'NEW...Tables 91-112'!C85</f>
        <v>0</v>
      </c>
      <c r="D20" s="122">
        <f>+'NEW...Tables 91-112'!B116+'NEW...Tables 91-112'!C116</f>
        <v>98.561021298688715</v>
      </c>
      <c r="E20" s="122">
        <f>+'NEW...Tables 91-112'!B147+'NEW...Tables 91-112'!C147</f>
        <v>98.552828362804618</v>
      </c>
      <c r="F20" s="122">
        <f>+'NEW...Tables 91-112'!B178+'NEW...Tables 91-112'!C178</f>
        <v>95.482285925491084</v>
      </c>
      <c r="G20" s="122">
        <f>+'NEW...Tables 91-112'!B209+'NEW...Tables 91-112'!C209</f>
        <v>92.739248380945185</v>
      </c>
      <c r="H20" s="116">
        <f>+'NEW...Tables 91-112'!B22+'NEW...Tables 91-112'!C22</f>
        <v>95.543442212189532</v>
      </c>
      <c r="I20" s="119">
        <f>+'NEW...Tables 91-112'!B271+'NEW...Tables 91-112'!C271</f>
        <v>0</v>
      </c>
      <c r="J20" s="122">
        <f>+'NEW...Tables 91-112'!B302+'NEW...Tables 91-112'!C302</f>
        <v>79.148898063082697</v>
      </c>
      <c r="K20" s="122">
        <f>+'NEW...Tables 91-112'!B333+'NEW...Tables 91-112'!C333</f>
        <v>83.355480504852665</v>
      </c>
      <c r="L20" s="122">
        <f>+'NEW...Tables 91-112'!B364+'NEW...Tables 91-112'!C364</f>
        <v>91.355334245731257</v>
      </c>
      <c r="M20" s="119">
        <f>+'NEW...Tables 91-112'!B240+'NEW...Tables 91-112'!C240</f>
        <v>81.289677056153735</v>
      </c>
      <c r="N20" s="619">
        <f>+'NEW...Tables 91-112'!B425+'NEW...Tables 91-112'!C425</f>
        <v>0</v>
      </c>
      <c r="O20" s="63">
        <f>+'NEW...Tables 91-112'!B455+'NEW...Tables 91-112'!C455</f>
        <v>0</v>
      </c>
      <c r="P20" s="119">
        <f>+'NEW...Tables 91-112'!B395+'NEW...Tables 91-112'!C395</f>
        <v>0</v>
      </c>
    </row>
    <row r="21" spans="1:40" ht="15.75" customHeight="1" x14ac:dyDescent="0.25">
      <c r="A21" s="28"/>
      <c r="B21" s="122"/>
      <c r="C21" s="122"/>
      <c r="D21" s="122"/>
      <c r="E21" s="122"/>
      <c r="F21" s="122"/>
      <c r="G21" s="122"/>
      <c r="H21" s="116"/>
      <c r="I21" s="119"/>
      <c r="J21" s="122"/>
      <c r="K21" s="122"/>
      <c r="L21" s="122"/>
      <c r="M21" s="119"/>
      <c r="N21" s="619"/>
      <c r="O21" s="63"/>
      <c r="P21" s="119"/>
    </row>
    <row r="22" spans="1:40" ht="15.75" customHeight="1" x14ac:dyDescent="0.25">
      <c r="A22" s="28" t="s">
        <v>152</v>
      </c>
      <c r="B22" s="122">
        <f>+'NEW...Tables 91-112'!B56+'NEW...Tables 91-112'!C56</f>
        <v>90.832771561712022</v>
      </c>
      <c r="C22" s="122">
        <f>+'NEW...Tables 91-112'!B87+'NEW...Tables 91-112'!C87</f>
        <v>90.949561551055183</v>
      </c>
      <c r="D22" s="122">
        <f>+'NEW...Tables 91-112'!B118+'NEW...Tables 91-112'!C118</f>
        <v>78.881786177506015</v>
      </c>
      <c r="E22" s="122">
        <f>+'NEW...Tables 91-112'!B149+'NEW...Tables 91-112'!C149</f>
        <v>0</v>
      </c>
      <c r="F22" s="122">
        <f>+'NEW...Tables 91-112'!B180+'NEW...Tables 91-112'!C180</f>
        <v>92.834853395643322</v>
      </c>
      <c r="G22" s="122">
        <f>+'NEW...Tables 91-112'!B211+'NEW...Tables 91-112'!C211</f>
        <v>0</v>
      </c>
      <c r="H22" s="116">
        <f>+'NEW...Tables 91-112'!B24+'NEW...Tables 91-112'!C24</f>
        <v>84.432768325982622</v>
      </c>
      <c r="I22" s="119">
        <f>+'NEW...Tables 91-112'!B273+'NEW...Tables 91-112'!C273</f>
        <v>0</v>
      </c>
      <c r="J22" s="122">
        <f>+'NEW...Tables 91-112'!B304+'NEW...Tables 91-112'!C304</f>
        <v>76.410640321659528</v>
      </c>
      <c r="K22" s="122">
        <f>+'NEW...Tables 91-112'!B335+'NEW...Tables 91-112'!C335</f>
        <v>72.134849227179245</v>
      </c>
      <c r="L22" s="122">
        <f>+'NEW...Tables 91-112'!B366+'NEW...Tables 91-112'!C366</f>
        <v>0</v>
      </c>
      <c r="M22" s="119">
        <f>+'NEW...Tables 91-112'!B242+'NEW...Tables 91-112'!C242</f>
        <v>74.505965605222315</v>
      </c>
      <c r="N22" s="619">
        <f>+'NEW...Tables 91-112'!B427+'NEW...Tables 91-112'!C427</f>
        <v>0</v>
      </c>
      <c r="O22" s="63">
        <f>+'NEW...Tables 91-112'!B457+'NEW...Tables 91-112'!C457</f>
        <v>0</v>
      </c>
      <c r="P22" s="119">
        <f>+'NEW...Tables 91-112'!B397+'NEW...Tables 91-112'!C397</f>
        <v>0</v>
      </c>
    </row>
    <row r="23" spans="1:40" ht="15.75" customHeight="1" x14ac:dyDescent="0.25">
      <c r="A23" s="28" t="s">
        <v>153</v>
      </c>
      <c r="B23" s="122">
        <f>+'NEW...Tables 91-112'!B57+'NEW...Tables 91-112'!C57</f>
        <v>90.215635856109472</v>
      </c>
      <c r="C23" s="122">
        <f>+'NEW...Tables 91-112'!B88+'NEW...Tables 91-112'!C88</f>
        <v>89.152705226405402</v>
      </c>
      <c r="D23" s="122">
        <f>+'NEW...Tables 91-112'!B119+'NEW...Tables 91-112'!C119</f>
        <v>89.076146391802851</v>
      </c>
      <c r="E23" s="122">
        <f>+'NEW...Tables 91-112'!B150+'NEW...Tables 91-112'!C150</f>
        <v>53.492530786590557</v>
      </c>
      <c r="F23" s="122">
        <f>+'NEW...Tables 91-112'!B181+'NEW...Tables 91-112'!C181</f>
        <v>67.162826781886807</v>
      </c>
      <c r="G23" s="122">
        <f>+'NEW...Tables 91-112'!B212+'NEW...Tables 91-112'!C212</f>
        <v>99.894473757289632</v>
      </c>
      <c r="H23" s="116">
        <f>+'NEW...Tables 91-112'!B25+'NEW...Tables 91-112'!C25</f>
        <v>88.600986625291043</v>
      </c>
      <c r="I23" s="119">
        <f>+'NEW...Tables 91-112'!B274+'NEW...Tables 91-112'!C274</f>
        <v>80.209061763724975</v>
      </c>
      <c r="J23" s="122">
        <f>+'NEW...Tables 91-112'!B305+'NEW...Tables 91-112'!C305</f>
        <v>80.039526178678216</v>
      </c>
      <c r="K23" s="122">
        <f>+'NEW...Tables 91-112'!B336+'NEW...Tables 91-112'!C336</f>
        <v>75.695671363854956</v>
      </c>
      <c r="L23" s="122">
        <f>+'NEW...Tables 91-112'!B367+'NEW...Tables 91-112'!C367</f>
        <v>71.694998130411022</v>
      </c>
      <c r="M23" s="119">
        <f>+'NEW...Tables 91-112'!B243+'NEW...Tables 91-112'!C243</f>
        <v>79.143372864219813</v>
      </c>
      <c r="N23" s="619">
        <f>+'NEW...Tables 91-112'!B428+'NEW...Tables 91-112'!C428</f>
        <v>0</v>
      </c>
      <c r="O23" s="63">
        <f>+'NEW...Tables 91-112'!B458+'NEW...Tables 91-112'!C458</f>
        <v>0</v>
      </c>
      <c r="P23" s="119">
        <f>+'NEW...Tables 91-112'!B398+'NEW...Tables 91-112'!C398</f>
        <v>0</v>
      </c>
    </row>
    <row r="24" spans="1:40" ht="15.75" customHeight="1" x14ac:dyDescent="0.25">
      <c r="A24" s="28" t="s">
        <v>154</v>
      </c>
      <c r="B24" s="122">
        <f>+'NEW...Tables 91-112'!B58+'NEW...Tables 91-112'!C58</f>
        <v>94.974810403788695</v>
      </c>
      <c r="C24" s="122">
        <f>+'NEW...Tables 91-112'!B89+'NEW...Tables 91-112'!C89</f>
        <v>96.630894506345982</v>
      </c>
      <c r="D24" s="122">
        <f>+'NEW...Tables 91-112'!B120+'NEW...Tables 91-112'!C120</f>
        <v>97.171988062865836</v>
      </c>
      <c r="E24" s="122">
        <f>+'NEW...Tables 91-112'!B151+'NEW...Tables 91-112'!C151</f>
        <v>96.695179564978844</v>
      </c>
      <c r="F24" s="122">
        <f>+'NEW...Tables 91-112'!B182+'NEW...Tables 91-112'!C182</f>
        <v>98.52421004438078</v>
      </c>
      <c r="G24" s="122">
        <f>+'NEW...Tables 91-112'!B213+'NEW...Tables 91-112'!C213</f>
        <v>88.693681981948515</v>
      </c>
      <c r="H24" s="116">
        <f>+'NEW...Tables 91-112'!B26+'NEW...Tables 91-112'!C26</f>
        <v>95.92283469154799</v>
      </c>
      <c r="I24" s="119">
        <f>+'NEW...Tables 91-112'!B275+'NEW...Tables 91-112'!C275</f>
        <v>0</v>
      </c>
      <c r="J24" s="122">
        <f>+'NEW...Tables 91-112'!B306+'NEW...Tables 91-112'!C306</f>
        <v>75.002194685484682</v>
      </c>
      <c r="K24" s="122">
        <f>+'NEW...Tables 91-112'!B337+'NEW...Tables 91-112'!C337</f>
        <v>71.124813828983434</v>
      </c>
      <c r="L24" s="122">
        <f>+'NEW...Tables 91-112'!B368+'NEW...Tables 91-112'!C368</f>
        <v>70.916063173084623</v>
      </c>
      <c r="M24" s="119">
        <f>+'NEW...Tables 91-112'!B244+'NEW...Tables 91-112'!C244</f>
        <v>73.339042618530144</v>
      </c>
      <c r="N24" s="619">
        <f>+'NEW...Tables 91-112'!B429+'NEW...Tables 91-112'!C429</f>
        <v>0</v>
      </c>
      <c r="O24" s="63">
        <f>+'NEW...Tables 91-112'!B459+'NEW...Tables 91-112'!C459</f>
        <v>0</v>
      </c>
      <c r="P24" s="119">
        <f>+'NEW...Tables 91-112'!B399+'NEW...Tables 91-112'!C399</f>
        <v>0</v>
      </c>
    </row>
    <row r="25" spans="1:40" ht="15.75" customHeight="1" x14ac:dyDescent="0.25">
      <c r="A25" s="242" t="s">
        <v>155</v>
      </c>
      <c r="B25" s="620">
        <f>+'NEW...Tables 91-112'!B59+'NEW...Tables 91-112'!C59</f>
        <v>92.321657811285263</v>
      </c>
      <c r="C25" s="620">
        <f>+'NEW...Tables 91-112'!B90+'NEW...Tables 91-112'!C90</f>
        <v>0</v>
      </c>
      <c r="D25" s="620">
        <f>+'NEW...Tables 91-112'!B121+'NEW...Tables 91-112'!C121</f>
        <v>86.047277818960552</v>
      </c>
      <c r="E25" s="620">
        <f>+'NEW...Tables 91-112'!B152+'NEW...Tables 91-112'!C152</f>
        <v>0</v>
      </c>
      <c r="F25" s="620">
        <f>+'NEW...Tables 91-112'!B183+'NEW...Tables 91-112'!C183</f>
        <v>92.659959118983181</v>
      </c>
      <c r="G25" s="620">
        <f>+'NEW...Tables 91-112'!B214+'NEW...Tables 91-112'!C214</f>
        <v>84.166988588009417</v>
      </c>
      <c r="H25" s="117">
        <f>+'NEW...Tables 91-112'!B27+'NEW...Tables 91-112'!C27</f>
        <v>89.394471792698525</v>
      </c>
      <c r="I25" s="120">
        <f>+'NEW...Tables 91-112'!B276+'NEW...Tables 91-112'!C276</f>
        <v>78.061486864169936</v>
      </c>
      <c r="J25" s="620">
        <f>+'NEW...Tables 91-112'!B307+'NEW...Tables 91-112'!C307</f>
        <v>0</v>
      </c>
      <c r="K25" s="620">
        <f>+'NEW...Tables 91-112'!B338+'NEW...Tables 91-112'!C338</f>
        <v>80.505807814149946</v>
      </c>
      <c r="L25" s="620">
        <f>+'NEW...Tables 91-112'!B369+'NEW...Tables 91-112'!C369</f>
        <v>79.801408958584361</v>
      </c>
      <c r="M25" s="120">
        <f>+'NEW...Tables 91-112'!B245+'NEW...Tables 91-112'!C245</f>
        <v>79.619838940645437</v>
      </c>
      <c r="N25" s="621">
        <f>+'NEW...Tables 91-112'!B430+'NEW...Tables 91-112'!C430</f>
        <v>0</v>
      </c>
      <c r="O25" s="252">
        <f>+'NEW...Tables 91-112'!B460+'NEW...Tables 91-112'!C460</f>
        <v>0</v>
      </c>
      <c r="P25" s="120">
        <f>+'NEW...Tables 91-112'!B400+'NEW...Tables 91-112'!C400</f>
        <v>0</v>
      </c>
      <c r="R25" s="151"/>
      <c r="S25" s="151"/>
      <c r="T25" s="151"/>
      <c r="U25" s="152"/>
      <c r="V25" s="152"/>
      <c r="W25" s="152"/>
    </row>
    <row r="26" spans="1:40" s="25" customFormat="1" ht="29.25" customHeight="1" x14ac:dyDescent="0.2">
      <c r="A26" s="665" t="s">
        <v>915</v>
      </c>
      <c r="B26" s="665"/>
      <c r="C26" s="665"/>
      <c r="D26" s="665"/>
      <c r="E26" s="665"/>
      <c r="F26" s="665"/>
      <c r="G26" s="665"/>
      <c r="H26" s="665"/>
      <c r="I26" s="665"/>
      <c r="J26" s="665"/>
      <c r="K26" s="665"/>
      <c r="L26" s="665"/>
      <c r="M26" s="665"/>
      <c r="N26" s="665"/>
      <c r="O26" s="665"/>
      <c r="P26" s="665"/>
    </row>
    <row r="27" spans="1:40" s="25" customFormat="1" ht="11.25" x14ac:dyDescent="0.2">
      <c r="A27" s="26"/>
      <c r="J27" s="26"/>
      <c r="M27" s="26"/>
    </row>
    <row r="28" spans="1:40" s="25" customFormat="1" ht="11.25" x14ac:dyDescent="0.2">
      <c r="M28" s="622"/>
      <c r="P28" s="27" t="s">
        <v>914</v>
      </c>
    </row>
    <row r="29" spans="1:40" ht="18" x14ac:dyDescent="0.25">
      <c r="A29" s="671" t="s">
        <v>156</v>
      </c>
      <c r="B29" s="671"/>
      <c r="C29" s="671"/>
      <c r="D29" s="671"/>
      <c r="E29" s="671"/>
      <c r="F29" s="671"/>
      <c r="G29" s="671"/>
      <c r="H29" s="671"/>
      <c r="I29" s="671"/>
      <c r="J29" s="671"/>
      <c r="K29" s="671"/>
      <c r="L29" s="671"/>
      <c r="M29" s="671"/>
      <c r="N29" s="671"/>
      <c r="O29" s="671"/>
      <c r="P29" s="671"/>
    </row>
    <row r="30" spans="1:40" s="28" customFormat="1" ht="12.75" x14ac:dyDescent="0.2">
      <c r="A30" s="18"/>
      <c r="B30" s="19"/>
      <c r="C30" s="19"/>
      <c r="D30" s="19"/>
      <c r="E30" s="19"/>
      <c r="F30" s="19"/>
      <c r="G30" s="19"/>
      <c r="H30" s="19"/>
      <c r="I30" s="19"/>
      <c r="J30" s="19"/>
      <c r="K30" s="19"/>
      <c r="L30" s="19"/>
      <c r="M30" s="36"/>
    </row>
    <row r="31" spans="1:40" ht="15.75" x14ac:dyDescent="0.25">
      <c r="A31" s="672" t="s">
        <v>864</v>
      </c>
      <c r="B31" s="672"/>
      <c r="C31" s="672"/>
      <c r="D31" s="672"/>
      <c r="E31" s="672"/>
      <c r="F31" s="672"/>
      <c r="G31" s="672"/>
      <c r="H31" s="672"/>
      <c r="I31" s="672"/>
      <c r="J31" s="672"/>
      <c r="K31" s="672"/>
      <c r="L31" s="672"/>
      <c r="M31" s="672"/>
      <c r="N31" s="672"/>
      <c r="O31" s="672"/>
      <c r="P31" s="672"/>
      <c r="Q31" s="244"/>
      <c r="R31" s="153"/>
      <c r="S31" s="244"/>
      <c r="T31" s="244"/>
      <c r="U31" s="244"/>
      <c r="V31" s="244"/>
      <c r="W31" s="244"/>
      <c r="X31" s="244"/>
      <c r="Y31" s="244"/>
      <c r="Z31" s="156"/>
      <c r="AA31" s="156"/>
      <c r="AB31" s="156"/>
    </row>
    <row r="32" spans="1:40" s="28" customFormat="1" ht="9.75" customHeight="1" x14ac:dyDescent="0.2">
      <c r="A32" s="18"/>
      <c r="B32" s="19"/>
      <c r="C32" s="19"/>
      <c r="D32" s="19"/>
      <c r="E32" s="19"/>
      <c r="F32" s="19"/>
      <c r="G32" s="19"/>
      <c r="H32" s="19"/>
      <c r="I32" s="19"/>
      <c r="J32" s="19"/>
      <c r="K32" s="19"/>
      <c r="L32" s="19"/>
      <c r="M32" s="36"/>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row>
    <row r="33" spans="1:40" s="31" customFormat="1" ht="18" customHeight="1" x14ac:dyDescent="0.2">
      <c r="A33" s="616"/>
      <c r="B33" s="44" t="s">
        <v>55</v>
      </c>
      <c r="C33" s="44"/>
      <c r="D33" s="44"/>
      <c r="E33" s="44"/>
      <c r="F33" s="44"/>
      <c r="G33" s="44"/>
      <c r="H33" s="54"/>
      <c r="I33" s="53" t="s">
        <v>56</v>
      </c>
      <c r="J33" s="44"/>
      <c r="K33" s="44"/>
      <c r="L33" s="44"/>
      <c r="M33" s="44"/>
      <c r="N33" s="53" t="s">
        <v>57</v>
      </c>
      <c r="O33" s="44"/>
      <c r="P33" s="44"/>
      <c r="Q33" s="623" t="s">
        <v>190</v>
      </c>
      <c r="R33" s="624"/>
      <c r="S33" s="624"/>
      <c r="T33" s="153"/>
      <c r="U33" s="153"/>
      <c r="V33" s="153"/>
      <c r="W33" s="153"/>
      <c r="X33" s="153"/>
      <c r="Y33" s="153"/>
      <c r="Z33" s="153"/>
      <c r="AA33" s="153"/>
      <c r="AB33" s="153"/>
      <c r="AC33" s="153"/>
      <c r="AD33" s="153"/>
      <c r="AE33" s="153"/>
      <c r="AF33" s="153"/>
      <c r="AG33" s="153"/>
      <c r="AH33" s="153"/>
      <c r="AI33" s="153"/>
      <c r="AJ33" s="153"/>
      <c r="AK33" s="153"/>
      <c r="AL33" s="153"/>
      <c r="AM33" s="153"/>
      <c r="AN33" s="153"/>
    </row>
    <row r="34" spans="1:40" s="32" customFormat="1" ht="26.25" customHeight="1" x14ac:dyDescent="0.2">
      <c r="A34" s="617"/>
      <c r="B34" s="609">
        <v>1</v>
      </c>
      <c r="C34" s="609">
        <v>2</v>
      </c>
      <c r="D34" s="609">
        <v>3</v>
      </c>
      <c r="E34" s="609">
        <v>4</v>
      </c>
      <c r="F34" s="609">
        <v>5</v>
      </c>
      <c r="G34" s="609">
        <v>6</v>
      </c>
      <c r="H34" s="174" t="s">
        <v>918</v>
      </c>
      <c r="I34" s="618" t="s">
        <v>140</v>
      </c>
      <c r="J34" s="609">
        <v>1</v>
      </c>
      <c r="K34" s="609">
        <v>2</v>
      </c>
      <c r="L34" s="609">
        <v>3</v>
      </c>
      <c r="M34" s="608" t="s">
        <v>139</v>
      </c>
      <c r="N34" s="608">
        <v>1</v>
      </c>
      <c r="O34" s="609">
        <v>2</v>
      </c>
      <c r="P34" s="608" t="s">
        <v>139</v>
      </c>
      <c r="Q34" s="623" t="s">
        <v>191</v>
      </c>
      <c r="R34" s="623" t="s">
        <v>192</v>
      </c>
      <c r="S34" s="623" t="s">
        <v>185</v>
      </c>
      <c r="T34" s="154"/>
      <c r="U34" s="154"/>
      <c r="V34" s="154"/>
      <c r="W34" s="154"/>
      <c r="X34" s="154"/>
      <c r="Y34" s="154"/>
      <c r="Z34" s="154"/>
      <c r="AA34" s="154"/>
      <c r="AB34" s="154"/>
      <c r="AC34" s="154"/>
      <c r="AD34" s="154"/>
      <c r="AE34" s="154"/>
      <c r="AF34" s="154"/>
      <c r="AG34" s="154"/>
      <c r="AH34" s="154"/>
      <c r="AI34" s="154"/>
      <c r="AJ34" s="154"/>
      <c r="AK34" s="154"/>
      <c r="AL34" s="154"/>
      <c r="AM34" s="154"/>
      <c r="AN34" s="154"/>
    </row>
    <row r="35" spans="1:40" ht="15.75" customHeight="1" x14ac:dyDescent="0.25">
      <c r="A35" s="28" t="s">
        <v>141</v>
      </c>
      <c r="B35" s="625">
        <f>+'NEW...Tables 91-112'!D41</f>
        <v>4.6693085681757633</v>
      </c>
      <c r="C35" s="625">
        <f>+'NEW...Tables 91-112'!D72</f>
        <v>9.6442551013638393</v>
      </c>
      <c r="D35" s="625">
        <f>+'NEW...Tables 91-112'!D103</f>
        <v>16.642263696026703</v>
      </c>
      <c r="E35" s="625">
        <f>+'NEW...Tables 91-112'!D134</f>
        <v>14.07851477113187</v>
      </c>
      <c r="F35" s="625">
        <f>+'NEW...Tables 91-112'!D165</f>
        <v>4.5967139062524849</v>
      </c>
      <c r="G35" s="625">
        <f>+'NEW...Tables 91-112'!D196</f>
        <v>59.830593640083265</v>
      </c>
      <c r="H35" s="175">
        <f>+'NEW...Tables 91-112'!D9</f>
        <v>11.054260839425382</v>
      </c>
      <c r="I35" s="176">
        <f>+'NEW...Tables 91-112'!D258</f>
        <v>0</v>
      </c>
      <c r="J35" s="625">
        <f>+'NEW...Tables 91-112'!D289</f>
        <v>19.987759647456041</v>
      </c>
      <c r="K35" s="625">
        <f>+'NEW...Tables 91-112'!D320</f>
        <v>14.698801045616735</v>
      </c>
      <c r="L35" s="625">
        <f>+'NEW...Tables 91-112'!D351</f>
        <v>23.636548120338901</v>
      </c>
      <c r="M35" s="176">
        <f>+'NEW...Tables 91-112'!D227</f>
        <v>17.757967543319946</v>
      </c>
      <c r="N35" s="626">
        <f>+'NEW...Tables 91-112'!D412</f>
        <v>8.1501062305449867</v>
      </c>
      <c r="O35" s="627">
        <f>+'NEW...Tables 91-112'!D442</f>
        <v>8.0790942534568053</v>
      </c>
      <c r="P35" s="176">
        <f>+'NEW...Tables 91-112'!D382</f>
        <v>8.1068551891985869</v>
      </c>
      <c r="Q35" s="628">
        <f>+'NEW...Tables 87-90'!H35-OLD...Tables!H34</f>
        <v>-0.70701279023604258</v>
      </c>
      <c r="R35" s="628">
        <f>+'NEW...Tables 87-90'!M35-OLD...Tables!M34</f>
        <v>-7.6187101238659238E-2</v>
      </c>
      <c r="S35" s="628">
        <f>+'NEW...Tables 87-90'!P35-OLD...Tables!P34</f>
        <v>-1.9209052776304887</v>
      </c>
      <c r="T35" s="87"/>
      <c r="U35" s="155"/>
      <c r="V35" s="155"/>
      <c r="W35" s="155"/>
      <c r="X35" s="244"/>
      <c r="Y35" s="87"/>
      <c r="Z35" s="87"/>
      <c r="AA35" s="87"/>
      <c r="AB35" s="156"/>
      <c r="AC35" s="244"/>
      <c r="AD35" s="87"/>
      <c r="AE35" s="87"/>
      <c r="AF35" s="87"/>
      <c r="AG35" s="155"/>
      <c r="AH35" s="155"/>
      <c r="AI35" s="155"/>
      <c r="AJ35" s="244"/>
      <c r="AK35" s="87"/>
      <c r="AL35" s="87"/>
      <c r="AM35" s="87"/>
      <c r="AN35" s="156"/>
    </row>
    <row r="36" spans="1:40" ht="15.75" customHeight="1" x14ac:dyDescent="0.25">
      <c r="A36" s="28" t="s">
        <v>142</v>
      </c>
      <c r="B36" s="625">
        <f>+'NEW...Tables 91-112'!D42</f>
        <v>3.5837046243728428</v>
      </c>
      <c r="C36" s="625">
        <f>+'NEW...Tables 91-112'!D73</f>
        <v>0</v>
      </c>
      <c r="D36" s="625">
        <f>+'NEW...Tables 91-112'!D104</f>
        <v>18.517083992146024</v>
      </c>
      <c r="E36" s="625">
        <f>+'NEW...Tables 91-112'!D135</f>
        <v>10.573941478265771</v>
      </c>
      <c r="F36" s="625">
        <f>+'NEW...Tables 91-112'!D166</f>
        <v>17.453685343606594</v>
      </c>
      <c r="G36" s="625">
        <f>+'NEW...Tables 91-112'!D197</f>
        <v>12.341961765581487</v>
      </c>
      <c r="H36" s="175">
        <f>+'NEW...Tables 91-112'!D10</f>
        <v>12.822342771891597</v>
      </c>
      <c r="I36" s="176">
        <f>+'NEW...Tables 91-112'!D259</f>
        <v>0</v>
      </c>
      <c r="J36" s="625">
        <f>+'NEW...Tables 91-112'!D290</f>
        <v>28.732069773910283</v>
      </c>
      <c r="K36" s="625">
        <f>+'NEW...Tables 91-112'!D321</f>
        <v>19.050388563009243</v>
      </c>
      <c r="L36" s="625">
        <f>+'NEW...Tables 91-112'!D352</f>
        <v>19.626522319520788</v>
      </c>
      <c r="M36" s="176">
        <f>+'NEW...Tables 91-112'!D228</f>
        <v>22.567354906862267</v>
      </c>
      <c r="N36" s="626">
        <f>+'NEW...Tables 91-112'!D413</f>
        <v>0</v>
      </c>
      <c r="O36" s="627">
        <f>+'NEW...Tables 91-112'!D443</f>
        <v>0</v>
      </c>
      <c r="P36" s="176">
        <f>+'NEW...Tables 91-112'!D383</f>
        <v>0</v>
      </c>
      <c r="Q36" s="628">
        <f>+'NEW...Tables 87-90'!H36-OLD...Tables!H35</f>
        <v>1.0634853034385454</v>
      </c>
      <c r="R36" s="628">
        <f>+'NEW...Tables 87-90'!M36-OLD...Tables!M35</f>
        <v>0.89388494738713575</v>
      </c>
      <c r="S36" s="628">
        <f>+'NEW...Tables 87-90'!P36-OLD...Tables!P35</f>
        <v>0</v>
      </c>
      <c r="T36" s="87"/>
      <c r="U36" s="155"/>
      <c r="V36" s="155"/>
      <c r="W36" s="155"/>
      <c r="X36" s="244"/>
      <c r="Y36" s="87"/>
      <c r="Z36" s="87"/>
      <c r="AA36" s="87"/>
      <c r="AB36" s="156"/>
      <c r="AC36" s="244"/>
      <c r="AD36" s="87"/>
      <c r="AE36" s="87"/>
      <c r="AF36" s="87"/>
      <c r="AG36" s="155"/>
      <c r="AH36" s="155"/>
      <c r="AI36" s="155"/>
      <c r="AJ36" s="244"/>
      <c r="AK36" s="87"/>
      <c r="AL36" s="87"/>
      <c r="AM36" s="87"/>
      <c r="AN36" s="156"/>
    </row>
    <row r="37" spans="1:40" ht="15.75" customHeight="1" x14ac:dyDescent="0.25">
      <c r="A37" s="28" t="s">
        <v>143</v>
      </c>
      <c r="B37" s="625">
        <f>+'NEW...Tables 91-112'!D43</f>
        <v>2.6308023808065566</v>
      </c>
      <c r="C37" s="625">
        <f>+'NEW...Tables 91-112'!D74</f>
        <v>0</v>
      </c>
      <c r="D37" s="625">
        <f>+'NEW...Tables 91-112'!D105</f>
        <v>1.479556133160052</v>
      </c>
      <c r="E37" s="625">
        <f>+'NEW...Tables 91-112'!D136</f>
        <v>0</v>
      </c>
      <c r="F37" s="625">
        <f>+'NEW...Tables 91-112'!D167</f>
        <v>0</v>
      </c>
      <c r="G37" s="625">
        <f>+'NEW...Tables 91-112'!D198</f>
        <v>0</v>
      </c>
      <c r="H37" s="175">
        <f>+'NEW...Tables 91-112'!D11</f>
        <v>2.435569830559674</v>
      </c>
      <c r="I37" s="176">
        <f>+'NEW...Tables 91-112'!D260</f>
        <v>0</v>
      </c>
      <c r="J37" s="625">
        <f>+'NEW...Tables 91-112'!D291</f>
        <v>10.87375982686466</v>
      </c>
      <c r="K37" s="625">
        <f>+'NEW...Tables 91-112'!D322</f>
        <v>18.984591652290643</v>
      </c>
      <c r="L37" s="625">
        <f>+'NEW...Tables 91-112'!D353</f>
        <v>0</v>
      </c>
      <c r="M37" s="176">
        <f>+'NEW...Tables 91-112'!D229</f>
        <v>15.135390983421448</v>
      </c>
      <c r="N37" s="626">
        <f>+'NEW...Tables 91-112'!D414</f>
        <v>0</v>
      </c>
      <c r="O37" s="627">
        <f>+'NEW...Tables 91-112'!D444</f>
        <v>0</v>
      </c>
      <c r="P37" s="176">
        <f>+'NEW...Tables 91-112'!D384</f>
        <v>0</v>
      </c>
      <c r="Q37" s="628">
        <f>+'NEW...Tables 87-90'!H37-OLD...Tables!H36</f>
        <v>-0.36045752611798187</v>
      </c>
      <c r="R37" s="628">
        <f>+'NEW...Tables 87-90'!M37-OLD...Tables!M36</f>
        <v>-1.2101456860187021</v>
      </c>
      <c r="S37" s="628">
        <f>+'NEW...Tables 87-90'!P37-OLD...Tables!P36</f>
        <v>0</v>
      </c>
      <c r="T37" s="87"/>
      <c r="U37" s="155"/>
      <c r="V37" s="157"/>
      <c r="W37" s="155"/>
      <c r="X37" s="244"/>
      <c r="Y37" s="87"/>
      <c r="Z37" s="87"/>
      <c r="AA37" s="87"/>
      <c r="AB37" s="156"/>
      <c r="AC37" s="244"/>
      <c r="AD37" s="87"/>
      <c r="AE37" s="87"/>
      <c r="AF37" s="87"/>
      <c r="AG37" s="155"/>
      <c r="AH37" s="155"/>
      <c r="AI37" s="155"/>
      <c r="AJ37" s="244"/>
      <c r="AK37" s="87"/>
      <c r="AL37" s="87"/>
      <c r="AM37" s="87"/>
      <c r="AN37" s="156"/>
    </row>
    <row r="38" spans="1:40" ht="15.75" customHeight="1" x14ac:dyDescent="0.25">
      <c r="A38" s="28" t="s">
        <v>174</v>
      </c>
      <c r="B38" s="625">
        <f>+'NEW...Tables 91-112'!D44</f>
        <v>22.767531734843033</v>
      </c>
      <c r="C38" s="625">
        <f>+'NEW...Tables 91-112'!D75</f>
        <v>11.889819310803253</v>
      </c>
      <c r="D38" s="625">
        <f>+'NEW...Tables 91-112'!D106</f>
        <v>15.31704962922648</v>
      </c>
      <c r="E38" s="625">
        <f>+'NEW...Tables 91-112'!D137</f>
        <v>17.616913919293587</v>
      </c>
      <c r="F38" s="625">
        <f>+'NEW...Tables 91-112'!D168</f>
        <v>0</v>
      </c>
      <c r="G38" s="625">
        <f>+'NEW...Tables 91-112'!D199</f>
        <v>0</v>
      </c>
      <c r="H38" s="175">
        <f>+'NEW...Tables 91-112'!D12</f>
        <v>20.578780784882298</v>
      </c>
      <c r="I38" s="176">
        <f>+'NEW...Tables 91-112'!D261</f>
        <v>25.420231880160738</v>
      </c>
      <c r="J38" s="625">
        <f>+'NEW...Tables 91-112'!D292</f>
        <v>21.756061089444337</v>
      </c>
      <c r="K38" s="625">
        <f>+'NEW...Tables 91-112'!D323</f>
        <v>26.248084245954917</v>
      </c>
      <c r="L38" s="625">
        <f>+'NEW...Tables 91-112'!D354</f>
        <v>35.153237264055207</v>
      </c>
      <c r="M38" s="176">
        <f>+'NEW...Tables 91-112'!D230</f>
        <v>23.503770822229168</v>
      </c>
      <c r="N38" s="626">
        <f>+'NEW...Tables 91-112'!D415</f>
        <v>0</v>
      </c>
      <c r="O38" s="627">
        <f>+'NEW...Tables 91-112'!D445</f>
        <v>0</v>
      </c>
      <c r="P38" s="176">
        <f>+'NEW...Tables 91-112'!D385</f>
        <v>0</v>
      </c>
      <c r="Q38" s="628">
        <f>+'NEW...Tables 87-90'!H38-OLD...Tables!H37</f>
        <v>2.3207253642146846</v>
      </c>
      <c r="R38" s="628">
        <f>+'NEW...Tables 87-90'!M38-OLD...Tables!M37</f>
        <v>-5.4054064655678538</v>
      </c>
      <c r="S38" s="628">
        <f>+'NEW...Tables 87-90'!P38-OLD...Tables!P37</f>
        <v>0</v>
      </c>
      <c r="T38" s="87"/>
      <c r="U38" s="155"/>
      <c r="V38" s="155"/>
      <c r="W38" s="155"/>
      <c r="X38" s="244"/>
      <c r="Y38" s="87"/>
      <c r="Z38" s="87"/>
      <c r="AA38" s="87"/>
      <c r="AB38" s="156"/>
      <c r="AC38" s="244"/>
      <c r="AD38" s="87"/>
      <c r="AE38" s="87"/>
      <c r="AF38" s="87"/>
      <c r="AG38" s="155"/>
      <c r="AH38" s="155"/>
      <c r="AI38" s="155"/>
      <c r="AJ38" s="244"/>
      <c r="AK38" s="87"/>
      <c r="AL38" s="87"/>
      <c r="AM38" s="87"/>
      <c r="AN38" s="156"/>
    </row>
    <row r="39" spans="1:40" ht="15.75" customHeight="1" x14ac:dyDescent="0.25">
      <c r="A39" s="28"/>
      <c r="B39" s="625"/>
      <c r="C39" s="625"/>
      <c r="D39" s="625"/>
      <c r="E39" s="625"/>
      <c r="F39" s="625"/>
      <c r="G39" s="625"/>
      <c r="H39" s="175"/>
      <c r="I39" s="176"/>
      <c r="J39" s="625"/>
      <c r="K39" s="625"/>
      <c r="L39" s="625"/>
      <c r="M39" s="176"/>
      <c r="N39" s="626"/>
      <c r="O39" s="627"/>
      <c r="P39" s="176"/>
      <c r="Q39" s="628"/>
      <c r="R39" s="628"/>
      <c r="S39" s="628"/>
      <c r="T39" s="87"/>
      <c r="U39" s="155"/>
      <c r="V39" s="155"/>
      <c r="W39" s="155"/>
      <c r="X39" s="244"/>
      <c r="Y39" s="87"/>
      <c r="Z39" s="87"/>
      <c r="AA39" s="87"/>
      <c r="AB39" s="156"/>
      <c r="AC39" s="244"/>
      <c r="AD39" s="87"/>
      <c r="AE39" s="87"/>
      <c r="AF39" s="87"/>
      <c r="AG39" s="155"/>
      <c r="AH39" s="155"/>
      <c r="AI39" s="155"/>
      <c r="AJ39" s="244"/>
      <c r="AK39" s="87"/>
      <c r="AL39" s="87"/>
      <c r="AM39" s="87"/>
      <c r="AN39" s="156"/>
    </row>
    <row r="40" spans="1:40" ht="15.75" customHeight="1" x14ac:dyDescent="0.25">
      <c r="A40" s="28" t="s">
        <v>145</v>
      </c>
      <c r="B40" s="625">
        <f>+'NEW...Tables 91-112'!D46</f>
        <v>2.4722009109637453</v>
      </c>
      <c r="C40" s="625">
        <f>+'NEW...Tables 91-112'!D77</f>
        <v>0.72087713007869259</v>
      </c>
      <c r="D40" s="625">
        <f>+'NEW...Tables 91-112'!D108</f>
        <v>11.548113891625249</v>
      </c>
      <c r="E40" s="625">
        <f>+'NEW...Tables 91-112'!D139</f>
        <v>10.012071259221734</v>
      </c>
      <c r="F40" s="625">
        <f>+'NEW...Tables 91-112'!D170</f>
        <v>13.91334459866701</v>
      </c>
      <c r="G40" s="625">
        <f>+'NEW...Tables 91-112'!D201</f>
        <v>6.9489509125426174</v>
      </c>
      <c r="H40" s="175">
        <f>+'NEW...Tables 91-112'!D14</f>
        <v>7.8564370159218075</v>
      </c>
      <c r="I40" s="176">
        <f>+'NEW...Tables 91-112'!D263</f>
        <v>3.6116137796079659</v>
      </c>
      <c r="J40" s="625">
        <f>+'NEW...Tables 91-112'!D294</f>
        <v>27.388272841845666</v>
      </c>
      <c r="K40" s="625">
        <f>+'NEW...Tables 91-112'!D325</f>
        <v>19.570736179272103</v>
      </c>
      <c r="L40" s="625">
        <f>+'NEW...Tables 91-112'!D356</f>
        <v>3.6942158193093477</v>
      </c>
      <c r="M40" s="176">
        <f>+'NEW...Tables 91-112'!D232</f>
        <v>17.526553459382875</v>
      </c>
      <c r="N40" s="626">
        <f>+'NEW...Tables 91-112'!D417</f>
        <v>23.024046330317251</v>
      </c>
      <c r="O40" s="627">
        <f>+'NEW...Tables 91-112'!D447</f>
        <v>0</v>
      </c>
      <c r="P40" s="176">
        <f>+'NEW...Tables 91-112'!D387</f>
        <v>23.024046330317251</v>
      </c>
      <c r="Q40" s="628">
        <f>+'NEW...Tables 87-90'!H40-OLD...Tables!H39</f>
        <v>7.8564370159218075</v>
      </c>
      <c r="R40" s="628">
        <f>+'NEW...Tables 87-90'!M40-OLD...Tables!M39</f>
        <v>17.526553459382875</v>
      </c>
      <c r="S40" s="628">
        <f>+'NEW...Tables 87-90'!P40-OLD...Tables!P39</f>
        <v>0.5687119610942446</v>
      </c>
      <c r="T40" s="87"/>
      <c r="U40" s="155"/>
      <c r="V40" s="155"/>
      <c r="W40" s="155"/>
      <c r="X40" s="244"/>
      <c r="Y40" s="87"/>
      <c r="Z40" s="87"/>
      <c r="AA40" s="87"/>
      <c r="AB40" s="156"/>
      <c r="AC40" s="244"/>
      <c r="AD40" s="87"/>
      <c r="AE40" s="87"/>
      <c r="AF40" s="87"/>
      <c r="AG40" s="155"/>
      <c r="AH40" s="155"/>
      <c r="AI40" s="155"/>
      <c r="AJ40" s="244"/>
      <c r="AK40" s="87"/>
      <c r="AL40" s="87"/>
      <c r="AM40" s="87"/>
      <c r="AN40" s="156"/>
    </row>
    <row r="41" spans="1:40" ht="15.75" customHeight="1" x14ac:dyDescent="0.25">
      <c r="A41" s="28" t="s">
        <v>146</v>
      </c>
      <c r="B41" s="625">
        <f>+'NEW...Tables 91-112'!D47</f>
        <v>6.0697944508737178</v>
      </c>
      <c r="C41" s="625">
        <f>+'NEW...Tables 91-112'!D78</f>
        <v>0</v>
      </c>
      <c r="D41" s="625">
        <f>+'NEW...Tables 91-112'!D109</f>
        <v>16.188593942567415</v>
      </c>
      <c r="E41" s="625">
        <f>+'NEW...Tables 91-112'!D140</f>
        <v>15.499234864868283</v>
      </c>
      <c r="F41" s="625">
        <f>+'NEW...Tables 91-112'!D171</f>
        <v>0</v>
      </c>
      <c r="G41" s="625">
        <f>+'NEW...Tables 91-112'!D202</f>
        <v>0</v>
      </c>
      <c r="H41" s="175">
        <f>+'NEW...Tables 91-112'!D15</f>
        <v>12.332600981516865</v>
      </c>
      <c r="I41" s="176">
        <f>+'NEW...Tables 91-112'!D264</f>
        <v>0</v>
      </c>
      <c r="J41" s="625">
        <f>+'NEW...Tables 91-112'!D295</f>
        <v>25.578765430176386</v>
      </c>
      <c r="K41" s="625">
        <f>+'NEW...Tables 91-112'!D326</f>
        <v>35.24702959646352</v>
      </c>
      <c r="L41" s="625">
        <f>+'NEW...Tables 91-112'!D357</f>
        <v>42.608536361971055</v>
      </c>
      <c r="M41" s="176">
        <f>+'NEW...Tables 91-112'!D233</f>
        <v>32.199012987790162</v>
      </c>
      <c r="N41" s="626">
        <f>+'NEW...Tables 91-112'!D418</f>
        <v>23.379453818974341</v>
      </c>
      <c r="O41" s="627">
        <f>+'NEW...Tables 91-112'!D448</f>
        <v>0</v>
      </c>
      <c r="P41" s="176">
        <f>+'NEW...Tables 91-112'!D388</f>
        <v>23.379453818974341</v>
      </c>
      <c r="Q41" s="628">
        <f>+'NEW...Tables 87-90'!H41-OLD...Tables!H40</f>
        <v>1.258806395078409</v>
      </c>
      <c r="R41" s="628">
        <f>+'NEW...Tables 87-90'!M41-OLD...Tables!M40</f>
        <v>2.7843710427261357</v>
      </c>
      <c r="S41" s="628">
        <f>+'NEW...Tables 87-90'!P41-OLD...Tables!P40</f>
        <v>13.186669728851586</v>
      </c>
      <c r="T41" s="87"/>
      <c r="U41" s="155"/>
      <c r="V41" s="155"/>
      <c r="W41" s="155"/>
      <c r="X41" s="244"/>
      <c r="Y41" s="87"/>
      <c r="Z41" s="87"/>
      <c r="AA41" s="87"/>
      <c r="AB41" s="156"/>
      <c r="AC41" s="244"/>
      <c r="AD41" s="87"/>
      <c r="AE41" s="87"/>
      <c r="AF41" s="87"/>
      <c r="AG41" s="155"/>
      <c r="AH41" s="155"/>
      <c r="AI41" s="155"/>
      <c r="AJ41" s="244"/>
      <c r="AK41" s="87"/>
      <c r="AL41" s="87"/>
      <c r="AM41" s="87"/>
      <c r="AN41" s="156"/>
    </row>
    <row r="42" spans="1:40" ht="15.75" customHeight="1" x14ac:dyDescent="0.25">
      <c r="A42" s="28" t="s">
        <v>147</v>
      </c>
      <c r="B42" s="625">
        <f>+'NEW...Tables 91-112'!D48</f>
        <v>0</v>
      </c>
      <c r="C42" s="625">
        <f>+'NEW...Tables 91-112'!D79</f>
        <v>0</v>
      </c>
      <c r="D42" s="625">
        <f>+'NEW...Tables 91-112'!D110</f>
        <v>0</v>
      </c>
      <c r="E42" s="625">
        <f>+'NEW...Tables 91-112'!D141</f>
        <v>0</v>
      </c>
      <c r="F42" s="625">
        <f>+'NEW...Tables 91-112'!D172</f>
        <v>0</v>
      </c>
      <c r="G42" s="625">
        <f>+'NEW...Tables 91-112'!D203</f>
        <v>0</v>
      </c>
      <c r="H42" s="175">
        <f>+'NEW...Tables 91-112'!D16</f>
        <v>0</v>
      </c>
      <c r="I42" s="176">
        <f>+'NEW...Tables 91-112'!D265</f>
        <v>0</v>
      </c>
      <c r="J42" s="625">
        <f>+'NEW...Tables 91-112'!D296</f>
        <v>0</v>
      </c>
      <c r="K42" s="625">
        <f>+'NEW...Tables 91-112'!D327</f>
        <v>0</v>
      </c>
      <c r="L42" s="625">
        <f>+'NEW...Tables 91-112'!D358</f>
        <v>0</v>
      </c>
      <c r="M42" s="176">
        <f>+'NEW...Tables 91-112'!D234</f>
        <v>0</v>
      </c>
      <c r="N42" s="626">
        <f>+'NEW...Tables 91-112'!D419</f>
        <v>0</v>
      </c>
      <c r="O42" s="627">
        <f>+'NEW...Tables 91-112'!D449</f>
        <v>0</v>
      </c>
      <c r="P42" s="176">
        <f>+'NEW...Tables 91-112'!D389</f>
        <v>0</v>
      </c>
      <c r="Q42" s="628">
        <f>+'NEW...Tables 87-90'!H42-OLD...Tables!H41</f>
        <v>0</v>
      </c>
      <c r="R42" s="628">
        <f>+'NEW...Tables 87-90'!M42-OLD...Tables!M41</f>
        <v>0</v>
      </c>
      <c r="S42" s="628">
        <f>+'NEW...Tables 87-90'!P42-OLD...Tables!P41</f>
        <v>0</v>
      </c>
      <c r="T42" s="87"/>
      <c r="U42" s="155"/>
      <c r="V42" s="155"/>
      <c r="W42" s="155"/>
      <c r="X42" s="244"/>
      <c r="Y42" s="87"/>
      <c r="Z42" s="87"/>
      <c r="AA42" s="87"/>
      <c r="AB42" s="156"/>
      <c r="AC42" s="244"/>
      <c r="AD42" s="87"/>
      <c r="AE42" s="87"/>
      <c r="AF42" s="87"/>
      <c r="AG42" s="155"/>
      <c r="AH42" s="155"/>
      <c r="AI42" s="155"/>
      <c r="AJ42" s="244"/>
      <c r="AK42" s="87"/>
      <c r="AL42" s="87"/>
      <c r="AM42" s="87"/>
      <c r="AN42" s="156"/>
    </row>
    <row r="43" spans="1:40" ht="15.75" customHeight="1" x14ac:dyDescent="0.25">
      <c r="A43" s="28" t="s">
        <v>177</v>
      </c>
      <c r="B43" s="625">
        <f>+'NEW...Tables 91-112'!D49</f>
        <v>1.9803307719065237</v>
      </c>
      <c r="C43" s="625">
        <f>+'NEW...Tables 91-112'!D80</f>
        <v>6.3581672338356832</v>
      </c>
      <c r="D43" s="625">
        <f>+'NEW...Tables 91-112'!D111</f>
        <v>6.0795248730728479</v>
      </c>
      <c r="E43" s="625">
        <f>+'NEW...Tables 91-112'!D142</f>
        <v>10.711077788747764</v>
      </c>
      <c r="F43" s="625">
        <f>+'NEW...Tables 91-112'!D173</f>
        <v>12.327728052466362</v>
      </c>
      <c r="G43" s="625">
        <f>+'NEW...Tables 91-112'!D204</f>
        <v>0</v>
      </c>
      <c r="H43" s="175">
        <f>+'NEW...Tables 91-112'!D17</f>
        <v>21.755974063532651</v>
      </c>
      <c r="I43" s="176">
        <f>+'NEW...Tables 91-112'!D266</f>
        <v>0</v>
      </c>
      <c r="J43" s="625">
        <f>+'NEW...Tables 91-112'!D297</f>
        <v>14.94126838261003</v>
      </c>
      <c r="K43" s="625">
        <f>+'NEW...Tables 91-112'!D328</f>
        <v>17.649154584852138</v>
      </c>
      <c r="L43" s="625">
        <f>+'NEW...Tables 91-112'!D359</f>
        <v>19.84873579348438</v>
      </c>
      <c r="M43" s="176">
        <f>+'NEW...Tables 91-112'!D235</f>
        <v>15.71521847357875</v>
      </c>
      <c r="N43" s="626">
        <f>+'NEW...Tables 91-112'!D420</f>
        <v>0</v>
      </c>
      <c r="O43" s="627">
        <f>+'NEW...Tables 91-112'!D450</f>
        <v>0</v>
      </c>
      <c r="P43" s="176">
        <f>+'NEW...Tables 91-112'!D390</f>
        <v>0</v>
      </c>
      <c r="Q43" s="628">
        <f>+'NEW...Tables 87-90'!H43-OLD...Tables!H42</f>
        <v>3.4472328371012573</v>
      </c>
      <c r="R43" s="628">
        <f>+'NEW...Tables 87-90'!M43-OLD...Tables!M42</f>
        <v>0.86886834106105582</v>
      </c>
      <c r="S43" s="628">
        <f>+'NEW...Tables 87-90'!P43-OLD...Tables!P42</f>
        <v>0</v>
      </c>
      <c r="T43" s="87"/>
      <c r="U43" s="157"/>
      <c r="V43" s="155"/>
      <c r="W43" s="155"/>
      <c r="X43" s="244"/>
      <c r="Y43" s="87"/>
      <c r="Z43" s="87"/>
      <c r="AA43" s="87"/>
      <c r="AB43" s="156"/>
      <c r="AC43" s="244"/>
      <c r="AD43" s="87"/>
      <c r="AE43" s="87"/>
      <c r="AF43" s="87"/>
      <c r="AG43" s="155"/>
      <c r="AH43" s="155"/>
      <c r="AI43" s="155"/>
      <c r="AJ43" s="244"/>
      <c r="AK43" s="87"/>
      <c r="AL43" s="87"/>
      <c r="AM43" s="87"/>
      <c r="AN43" s="156"/>
    </row>
    <row r="44" spans="1:40" ht="15.75" customHeight="1" x14ac:dyDescent="0.25">
      <c r="A44" s="28"/>
      <c r="B44" s="625"/>
      <c r="C44" s="625"/>
      <c r="D44" s="625"/>
      <c r="E44" s="625"/>
      <c r="F44" s="625"/>
      <c r="G44" s="625"/>
      <c r="H44" s="175"/>
      <c r="I44" s="176"/>
      <c r="J44" s="625"/>
      <c r="K44" s="625"/>
      <c r="L44" s="625"/>
      <c r="M44" s="176"/>
      <c r="N44" s="626"/>
      <c r="O44" s="627"/>
      <c r="P44" s="176"/>
      <c r="Q44" s="628"/>
      <c r="R44" s="628"/>
      <c r="S44" s="628"/>
      <c r="T44" s="87"/>
      <c r="U44" s="157"/>
      <c r="V44" s="155"/>
      <c r="W44" s="155"/>
      <c r="X44" s="244"/>
      <c r="Y44" s="87"/>
      <c r="Z44" s="87"/>
      <c r="AA44" s="87"/>
      <c r="AB44" s="156"/>
      <c r="AC44" s="244"/>
      <c r="AD44" s="87"/>
      <c r="AE44" s="87"/>
      <c r="AF44" s="87"/>
      <c r="AG44" s="155"/>
      <c r="AH44" s="155"/>
      <c r="AI44" s="155"/>
      <c r="AJ44" s="244"/>
      <c r="AK44" s="87"/>
      <c r="AL44" s="87"/>
      <c r="AM44" s="87"/>
      <c r="AN44" s="156"/>
    </row>
    <row r="45" spans="1:40" ht="15.75" customHeight="1" x14ac:dyDescent="0.25">
      <c r="A45" s="28" t="s">
        <v>179</v>
      </c>
      <c r="B45" s="625">
        <f>+'NEW...Tables 91-112'!D51</f>
        <v>8.0645443523691682</v>
      </c>
      <c r="C45" s="625">
        <f>+'NEW...Tables 91-112'!D82</f>
        <v>7.0112996687424625</v>
      </c>
      <c r="D45" s="625">
        <f>+'NEW...Tables 91-112'!D113</f>
        <v>0</v>
      </c>
      <c r="E45" s="625">
        <f>+'NEW...Tables 91-112'!D144</f>
        <v>17.073519639692854</v>
      </c>
      <c r="F45" s="625">
        <f>+'NEW...Tables 91-112'!D175</f>
        <v>47.048405275252861</v>
      </c>
      <c r="G45" s="625">
        <f>+'NEW...Tables 91-112'!D206</f>
        <v>0</v>
      </c>
      <c r="H45" s="175">
        <f>+'NEW...Tables 91-112'!D19</f>
        <v>10.371748014568102</v>
      </c>
      <c r="I45" s="176">
        <f>+'NEW...Tables 91-112'!D268</f>
        <v>0</v>
      </c>
      <c r="J45" s="625">
        <f>+'NEW...Tables 91-112'!D299</f>
        <v>20.253730436367739</v>
      </c>
      <c r="K45" s="625">
        <f>+'NEW...Tables 91-112'!D330</f>
        <v>19.273524196346653</v>
      </c>
      <c r="L45" s="625">
        <f>+'NEW...Tables 91-112'!D361</f>
        <v>12.925170068027212</v>
      </c>
      <c r="M45" s="176">
        <f>+'NEW...Tables 91-112'!D237</f>
        <v>19.363289017036735</v>
      </c>
      <c r="N45" s="626">
        <f>+'NEW...Tables 91-112'!D422</f>
        <v>0</v>
      </c>
      <c r="O45" s="627">
        <f>+'NEW...Tables 91-112'!D452</f>
        <v>0</v>
      </c>
      <c r="P45" s="176">
        <f>+'NEW...Tables 91-112'!D392</f>
        <v>0</v>
      </c>
      <c r="Q45" s="628">
        <f>+'NEW...Tables 87-90'!H45-OLD...Tables!H44</f>
        <v>1.3781652115998178</v>
      </c>
      <c r="R45" s="628">
        <f>+'NEW...Tables 87-90'!M45-OLD...Tables!M44</f>
        <v>-0.10982582579047317</v>
      </c>
      <c r="S45" s="628">
        <f>+'NEW...Tables 87-90'!P45-OLD...Tables!P44</f>
        <v>0</v>
      </c>
      <c r="T45" s="87"/>
      <c r="U45" s="155"/>
      <c r="V45" s="155"/>
      <c r="W45" s="155"/>
      <c r="X45" s="244"/>
      <c r="Y45" s="87"/>
      <c r="Z45" s="87"/>
      <c r="AA45" s="87"/>
      <c r="AB45" s="156"/>
      <c r="AC45" s="244"/>
      <c r="AD45" s="87"/>
      <c r="AE45" s="87"/>
      <c r="AF45" s="87"/>
      <c r="AG45" s="155"/>
      <c r="AH45" s="155"/>
      <c r="AI45" s="155"/>
      <c r="AJ45" s="244"/>
      <c r="AK45" s="87"/>
      <c r="AL45" s="87"/>
      <c r="AM45" s="87"/>
      <c r="AN45" s="156"/>
    </row>
    <row r="46" spans="1:40" ht="15.75" customHeight="1" x14ac:dyDescent="0.25">
      <c r="A46" s="28" t="s">
        <v>149</v>
      </c>
      <c r="B46" s="625">
        <f>+'NEW...Tables 91-112'!D52</f>
        <v>9.3136706301519645</v>
      </c>
      <c r="C46" s="625">
        <f>+'NEW...Tables 91-112'!D83</f>
        <v>9.4499057395218173</v>
      </c>
      <c r="D46" s="625">
        <f>+'NEW...Tables 91-112'!D114</f>
        <v>7.3954356805042911</v>
      </c>
      <c r="E46" s="625">
        <f>+'NEW...Tables 91-112'!D145</f>
        <v>18.672642485654002</v>
      </c>
      <c r="F46" s="625">
        <f>+'NEW...Tables 91-112'!D176</f>
        <v>17.519469506707519</v>
      </c>
      <c r="G46" s="625">
        <f>+'NEW...Tables 91-112'!D207</f>
        <v>10.676404198899871</v>
      </c>
      <c r="H46" s="175">
        <f>+'NEW...Tables 91-112'!D20</f>
        <v>9.6063030783032133</v>
      </c>
      <c r="I46" s="176">
        <f>+'NEW...Tables 91-112'!D269</f>
        <v>0</v>
      </c>
      <c r="J46" s="625">
        <f>+'NEW...Tables 91-112'!D300</f>
        <v>32.707364572155321</v>
      </c>
      <c r="K46" s="625">
        <f>+'NEW...Tables 91-112'!D331</f>
        <v>35.247925320550365</v>
      </c>
      <c r="L46" s="625">
        <f>+'NEW...Tables 91-112'!D362</f>
        <v>37.440464187288143</v>
      </c>
      <c r="M46" s="176">
        <f>+'NEW...Tables 91-112'!D238</f>
        <v>34.394028656017447</v>
      </c>
      <c r="N46" s="626">
        <f>+'NEW...Tables 91-112'!D423</f>
        <v>0</v>
      </c>
      <c r="O46" s="627">
        <f>+'NEW...Tables 91-112'!D453</f>
        <v>0</v>
      </c>
      <c r="P46" s="176">
        <f>+'NEW...Tables 91-112'!D393</f>
        <v>0</v>
      </c>
      <c r="Q46" s="628">
        <f>+'NEW...Tables 87-90'!H46-OLD...Tables!H45</f>
        <v>0.42635315723871869</v>
      </c>
      <c r="R46" s="628">
        <f>+'NEW...Tables 87-90'!M46-OLD...Tables!M45</f>
        <v>2.6925816480441966</v>
      </c>
      <c r="S46" s="628">
        <f>+'NEW...Tables 87-90'!P46-OLD...Tables!P45</f>
        <v>0</v>
      </c>
      <c r="T46" s="87"/>
      <c r="U46" s="155"/>
      <c r="V46" s="155"/>
      <c r="W46" s="155"/>
      <c r="X46" s="244"/>
      <c r="Y46" s="87"/>
      <c r="Z46" s="87"/>
      <c r="AA46" s="87"/>
      <c r="AB46" s="156"/>
      <c r="AC46" s="244"/>
      <c r="AD46" s="87"/>
      <c r="AE46" s="87"/>
      <c r="AF46" s="87"/>
      <c r="AG46" s="155"/>
      <c r="AH46" s="155"/>
      <c r="AI46" s="155"/>
      <c r="AJ46" s="244"/>
      <c r="AK46" s="87"/>
      <c r="AL46" s="87"/>
      <c r="AM46" s="87"/>
      <c r="AN46" s="156"/>
    </row>
    <row r="47" spans="1:40" ht="15.75" customHeight="1" x14ac:dyDescent="0.25">
      <c r="A47" s="28" t="s">
        <v>150</v>
      </c>
      <c r="B47" s="625">
        <f>+'NEW...Tables 91-112'!D53</f>
        <v>10.338465505609918</v>
      </c>
      <c r="C47" s="625">
        <f>+'NEW...Tables 91-112'!D84</f>
        <v>0</v>
      </c>
      <c r="D47" s="625">
        <f>+'NEW...Tables 91-112'!D115</f>
        <v>12.606562115937454</v>
      </c>
      <c r="E47" s="625">
        <f>+'NEW...Tables 91-112'!D146</f>
        <v>32.670699178795708</v>
      </c>
      <c r="F47" s="625">
        <f>+'NEW...Tables 91-112'!D177</f>
        <v>16.257388940036655</v>
      </c>
      <c r="G47" s="625">
        <f>+'NEW...Tables 91-112'!D208</f>
        <v>20.468945888252634</v>
      </c>
      <c r="H47" s="175">
        <f>+'NEW...Tables 91-112'!D21</f>
        <v>13.648063988971092</v>
      </c>
      <c r="I47" s="176">
        <f>+'NEW...Tables 91-112'!D270</f>
        <v>26.059334292536345</v>
      </c>
      <c r="J47" s="625">
        <f>+'NEW...Tables 91-112'!D301</f>
        <v>23.320688915251981</v>
      </c>
      <c r="K47" s="625">
        <f>+'NEW...Tables 91-112'!D332</f>
        <v>25.513747473118947</v>
      </c>
      <c r="L47" s="625">
        <f>+'NEW...Tables 91-112'!D363</f>
        <v>32.711966990661544</v>
      </c>
      <c r="M47" s="176">
        <f>+'NEW...Tables 91-112'!D239</f>
        <v>26.121108882255321</v>
      </c>
      <c r="N47" s="626">
        <f>+'NEW...Tables 91-112'!D424</f>
        <v>0</v>
      </c>
      <c r="O47" s="627">
        <f>+'NEW...Tables 91-112'!D454</f>
        <v>0</v>
      </c>
      <c r="P47" s="176">
        <f>+'NEW...Tables 91-112'!D394</f>
        <v>0</v>
      </c>
      <c r="Q47" s="628">
        <f>+'NEW...Tables 87-90'!H47-OLD...Tables!H46</f>
        <v>-0.47977478025902442</v>
      </c>
      <c r="R47" s="628">
        <f>+'NEW...Tables 87-90'!M47-OLD...Tables!M46</f>
        <v>-1.799384870075901</v>
      </c>
      <c r="S47" s="628">
        <f>+'NEW...Tables 87-90'!P47-OLD...Tables!P46</f>
        <v>0</v>
      </c>
      <c r="T47" s="87"/>
      <c r="U47" s="155"/>
      <c r="V47" s="155"/>
      <c r="W47" s="155"/>
      <c r="X47" s="244"/>
      <c r="Y47" s="87"/>
      <c r="Z47" s="87"/>
      <c r="AA47" s="87"/>
      <c r="AB47" s="156"/>
      <c r="AC47" s="244"/>
      <c r="AD47" s="87"/>
      <c r="AE47" s="87"/>
      <c r="AF47" s="87"/>
      <c r="AG47" s="155"/>
      <c r="AH47" s="155"/>
      <c r="AI47" s="155"/>
      <c r="AJ47" s="244"/>
      <c r="AK47" s="87"/>
      <c r="AL47" s="87"/>
      <c r="AM47" s="87"/>
      <c r="AN47" s="156"/>
    </row>
    <row r="48" spans="1:40" ht="15.75" customHeight="1" x14ac:dyDescent="0.25">
      <c r="A48" s="28" t="s">
        <v>151</v>
      </c>
      <c r="B48" s="625">
        <f>+'NEW...Tables 91-112'!D54</f>
        <v>4.9028670248616972</v>
      </c>
      <c r="C48" s="625">
        <f>+'NEW...Tables 91-112'!D85</f>
        <v>0</v>
      </c>
      <c r="D48" s="625">
        <f>+'NEW...Tables 91-112'!D116</f>
        <v>1.4389787013112725</v>
      </c>
      <c r="E48" s="625">
        <f>+'NEW...Tables 91-112'!D147</f>
        <v>1.4471716371953902</v>
      </c>
      <c r="F48" s="625">
        <f>+'NEW...Tables 91-112'!D178</f>
        <v>4.5177140745089082</v>
      </c>
      <c r="G48" s="625">
        <f>+'NEW...Tables 91-112'!D209</f>
        <v>7.260751619054818</v>
      </c>
      <c r="H48" s="175">
        <f>+'NEW...Tables 91-112'!D22</f>
        <v>4.4565577878104703</v>
      </c>
      <c r="I48" s="176">
        <f>+'NEW...Tables 91-112'!D271</f>
        <v>0</v>
      </c>
      <c r="J48" s="625">
        <f>+'NEW...Tables 91-112'!D302</f>
        <v>20.851101936917306</v>
      </c>
      <c r="K48" s="625">
        <f>+'NEW...Tables 91-112'!D333</f>
        <v>16.644519495147325</v>
      </c>
      <c r="L48" s="625">
        <f>+'NEW...Tables 91-112'!D364</f>
        <v>8.6446657542687326</v>
      </c>
      <c r="M48" s="176">
        <f>+'NEW...Tables 91-112'!D240</f>
        <v>18.710322943846254</v>
      </c>
      <c r="N48" s="626">
        <f>+'NEW...Tables 91-112'!D425</f>
        <v>0</v>
      </c>
      <c r="O48" s="627">
        <f>+'NEW...Tables 91-112'!D455</f>
        <v>0</v>
      </c>
      <c r="P48" s="176">
        <f>+'NEW...Tables 91-112'!D395</f>
        <v>0</v>
      </c>
      <c r="Q48" s="628">
        <f>+'NEW...Tables 87-90'!H48-OLD...Tables!H47</f>
        <v>0.80686484674663772</v>
      </c>
      <c r="R48" s="628">
        <f>+'NEW...Tables 87-90'!M48-OLD...Tables!M47</f>
        <v>0.53594399759140288</v>
      </c>
      <c r="S48" s="628">
        <f>+'NEW...Tables 87-90'!P48-OLD...Tables!P47</f>
        <v>0</v>
      </c>
      <c r="T48" s="87"/>
      <c r="U48" s="155"/>
      <c r="V48" s="155"/>
      <c r="W48" s="155"/>
      <c r="X48" s="244"/>
      <c r="Y48" s="87"/>
      <c r="Z48" s="87"/>
      <c r="AA48" s="87"/>
      <c r="AB48" s="156"/>
      <c r="AC48" s="156"/>
      <c r="AD48" s="156"/>
      <c r="AE48" s="156"/>
      <c r="AF48" s="156"/>
      <c r="AG48" s="156"/>
      <c r="AH48" s="156"/>
      <c r="AI48" s="156"/>
      <c r="AJ48" s="156"/>
      <c r="AK48" s="156"/>
      <c r="AL48" s="156"/>
      <c r="AM48" s="156"/>
      <c r="AN48" s="156"/>
    </row>
    <row r="49" spans="1:40" ht="15.75" customHeight="1" x14ac:dyDescent="0.25">
      <c r="A49" s="28"/>
      <c r="B49" s="625"/>
      <c r="C49" s="625"/>
      <c r="D49" s="625"/>
      <c r="E49" s="625"/>
      <c r="F49" s="625"/>
      <c r="G49" s="625"/>
      <c r="H49" s="175"/>
      <c r="I49" s="176"/>
      <c r="J49" s="625"/>
      <c r="K49" s="625"/>
      <c r="L49" s="625"/>
      <c r="M49" s="176"/>
      <c r="N49" s="626"/>
      <c r="O49" s="627"/>
      <c r="P49" s="176"/>
      <c r="Q49" s="628"/>
      <c r="R49" s="628"/>
      <c r="S49" s="628"/>
      <c r="T49" s="87"/>
      <c r="U49" s="155"/>
      <c r="V49" s="155"/>
      <c r="W49" s="155"/>
      <c r="X49" s="244"/>
      <c r="Y49" s="87"/>
      <c r="Z49" s="87"/>
      <c r="AA49" s="87"/>
      <c r="AB49" s="156"/>
      <c r="AC49" s="156"/>
      <c r="AD49" s="156"/>
      <c r="AE49" s="156"/>
      <c r="AF49" s="156"/>
      <c r="AG49" s="156"/>
      <c r="AH49" s="156"/>
      <c r="AI49" s="156"/>
      <c r="AJ49" s="156"/>
      <c r="AK49" s="156"/>
      <c r="AL49" s="156"/>
      <c r="AM49" s="156"/>
      <c r="AN49" s="156"/>
    </row>
    <row r="50" spans="1:40" ht="15.75" customHeight="1" x14ac:dyDescent="0.25">
      <c r="A50" s="28" t="s">
        <v>152</v>
      </c>
      <c r="B50" s="625">
        <f>+'NEW...Tables 91-112'!D56</f>
        <v>8.4988020998138794</v>
      </c>
      <c r="C50" s="625">
        <f>+'NEW...Tables 91-112'!D87</f>
        <v>8.8267285653412273</v>
      </c>
      <c r="D50" s="625">
        <f>+'NEW...Tables 91-112'!D118</f>
        <v>20.317911660324114</v>
      </c>
      <c r="E50" s="625">
        <f>+'NEW...Tables 91-112'!D149</f>
        <v>0</v>
      </c>
      <c r="F50" s="625">
        <f>+'NEW...Tables 91-112'!D180</f>
        <v>7.0169091228863598</v>
      </c>
      <c r="G50" s="625">
        <f>+'NEW...Tables 91-112'!D211</f>
        <v>0</v>
      </c>
      <c r="H50" s="175">
        <f>+'NEW...Tables 91-112'!D24</f>
        <v>14.886065818966175</v>
      </c>
      <c r="I50" s="176">
        <f>+'NEW...Tables 91-112'!D273</f>
        <v>0</v>
      </c>
      <c r="J50" s="625">
        <f>+'NEW...Tables 91-112'!D304</f>
        <v>23.45907159638022</v>
      </c>
      <c r="K50" s="625">
        <f>+'NEW...Tables 91-112'!D335</f>
        <v>27.583645883619891</v>
      </c>
      <c r="L50" s="625">
        <f>+'NEW...Tables 91-112'!D366</f>
        <v>0</v>
      </c>
      <c r="M50" s="176">
        <f>+'NEW...Tables 91-112'!D242</f>
        <v>25.296385952339726</v>
      </c>
      <c r="N50" s="626">
        <f>+'NEW...Tables 91-112'!D427</f>
        <v>0</v>
      </c>
      <c r="O50" s="627">
        <f>+'NEW...Tables 91-112'!D457</f>
        <v>0</v>
      </c>
      <c r="P50" s="176">
        <f>+'NEW...Tables 91-112'!D397</f>
        <v>0</v>
      </c>
      <c r="Q50" s="628">
        <f>+'NEW...Tables 87-90'!H50-OLD...Tables!H49</f>
        <v>0.68058980515469791</v>
      </c>
      <c r="R50" s="628">
        <f>+'NEW...Tables 87-90'!M50-OLD...Tables!M49</f>
        <v>1.7807580986741236</v>
      </c>
      <c r="S50" s="628">
        <f>+'NEW...Tables 87-90'!P50-OLD...Tables!P49</f>
        <v>0</v>
      </c>
      <c r="T50" s="87"/>
      <c r="U50" s="155"/>
      <c r="V50" s="155"/>
      <c r="W50" s="155"/>
      <c r="X50" s="244"/>
      <c r="Y50" s="87"/>
      <c r="Z50" s="87"/>
      <c r="AA50" s="87"/>
      <c r="AB50" s="156"/>
      <c r="AC50" s="156"/>
      <c r="AD50" s="156"/>
      <c r="AE50" s="156"/>
      <c r="AF50" s="156"/>
      <c r="AG50" s="156"/>
      <c r="AH50" s="156"/>
      <c r="AI50" s="156"/>
      <c r="AJ50" s="156"/>
      <c r="AK50" s="156"/>
      <c r="AL50" s="156"/>
      <c r="AM50" s="156"/>
      <c r="AN50" s="156"/>
    </row>
    <row r="51" spans="1:40" s="25" customFormat="1" ht="16.5" customHeight="1" x14ac:dyDescent="0.25">
      <c r="A51" s="28" t="s">
        <v>153</v>
      </c>
      <c r="B51" s="625">
        <f>+'NEW...Tables 91-112'!D57</f>
        <v>9.7843641438905156</v>
      </c>
      <c r="C51" s="625">
        <f>+'NEW...Tables 91-112'!D88</f>
        <v>10.84729477359461</v>
      </c>
      <c r="D51" s="625">
        <f>+'NEW...Tables 91-112'!D119</f>
        <v>10.923853608197145</v>
      </c>
      <c r="E51" s="625">
        <f>+'NEW...Tables 91-112'!D150</f>
        <v>46.507469213409443</v>
      </c>
      <c r="F51" s="625">
        <f>+'NEW...Tables 91-112'!D181</f>
        <v>32.837173218113193</v>
      </c>
      <c r="G51" s="625">
        <f>+'NEW...Tables 91-112'!D212</f>
        <v>0.10552624271035822</v>
      </c>
      <c r="H51" s="175">
        <f>+'NEW...Tables 91-112'!D25</f>
        <v>11.399013374708964</v>
      </c>
      <c r="I51" s="176">
        <f>+'NEW...Tables 91-112'!D274</f>
        <v>19.790938236275025</v>
      </c>
      <c r="J51" s="625">
        <f>+'NEW...Tables 91-112'!D305</f>
        <v>19.960473821321781</v>
      </c>
      <c r="K51" s="625">
        <f>+'NEW...Tables 91-112'!D336</f>
        <v>24.304328636145044</v>
      </c>
      <c r="L51" s="625">
        <f>+'NEW...Tables 91-112'!D367</f>
        <v>28.305001869588978</v>
      </c>
      <c r="M51" s="176">
        <f>+'NEW...Tables 91-112'!D243</f>
        <v>20.856627135780183</v>
      </c>
      <c r="N51" s="626">
        <f>+'NEW...Tables 91-112'!D428</f>
        <v>0</v>
      </c>
      <c r="O51" s="627">
        <f>+'NEW...Tables 91-112'!D458</f>
        <v>0</v>
      </c>
      <c r="P51" s="176">
        <f>+'NEW...Tables 91-112'!D398</f>
        <v>0</v>
      </c>
      <c r="Q51" s="628">
        <f>+'NEW...Tables 87-90'!H51-OLD...Tables!H50</f>
        <v>1.3609709105295238</v>
      </c>
      <c r="R51" s="628">
        <f>+'NEW...Tables 87-90'!M51-OLD...Tables!M50</f>
        <v>2.2546465841704197</v>
      </c>
      <c r="S51" s="628">
        <f>+'NEW...Tables 87-90'!P51-OLD...Tables!P50</f>
        <v>0</v>
      </c>
      <c r="T51" s="87"/>
      <c r="U51" s="155"/>
      <c r="V51" s="155"/>
      <c r="W51" s="155"/>
      <c r="X51" s="244"/>
      <c r="Y51" s="87"/>
      <c r="Z51" s="87"/>
      <c r="AA51" s="87"/>
      <c r="AB51" s="156"/>
      <c r="AC51" s="148"/>
      <c r="AD51" s="148"/>
      <c r="AE51" s="148"/>
      <c r="AF51" s="148"/>
      <c r="AG51" s="148"/>
      <c r="AH51" s="148"/>
      <c r="AI51" s="148"/>
      <c r="AJ51" s="148"/>
      <c r="AK51" s="148"/>
      <c r="AL51" s="148"/>
      <c r="AM51" s="148"/>
      <c r="AN51" s="148"/>
    </row>
    <row r="52" spans="1:40" s="25" customFormat="1" ht="14.25" customHeight="1" x14ac:dyDescent="0.25">
      <c r="A52" s="28" t="s">
        <v>154</v>
      </c>
      <c r="B52" s="625">
        <f>+'NEW...Tables 91-112'!D58</f>
        <v>5.0251895962113124</v>
      </c>
      <c r="C52" s="625">
        <f>+'NEW...Tables 91-112'!D89</f>
        <v>3.3691054936540272</v>
      </c>
      <c r="D52" s="625">
        <f>+'NEW...Tables 91-112'!D120</f>
        <v>2.8280119371341663</v>
      </c>
      <c r="E52" s="625">
        <f>+'NEW...Tables 91-112'!D151</f>
        <v>3.3048204350211545</v>
      </c>
      <c r="F52" s="625">
        <f>+'NEW...Tables 91-112'!D182</f>
        <v>1.4757899556192262</v>
      </c>
      <c r="G52" s="625">
        <f>+'NEW...Tables 91-112'!D213</f>
        <v>11.306318018051481</v>
      </c>
      <c r="H52" s="175">
        <f>+'NEW...Tables 91-112'!D26</f>
        <v>4.0771653084520061</v>
      </c>
      <c r="I52" s="176">
        <f>+'NEW...Tables 91-112'!D275</f>
        <v>0</v>
      </c>
      <c r="J52" s="625">
        <f>+'NEW...Tables 91-112'!D306</f>
        <v>24.997805314515311</v>
      </c>
      <c r="K52" s="625">
        <f>+'NEW...Tables 91-112'!D337</f>
        <v>28.875186171016569</v>
      </c>
      <c r="L52" s="625">
        <f>+'NEW...Tables 91-112'!D368</f>
        <v>29.08393682691537</v>
      </c>
      <c r="M52" s="176">
        <f>+'NEW...Tables 91-112'!D244</f>
        <v>26.660957381469863</v>
      </c>
      <c r="N52" s="626">
        <f>+'NEW...Tables 91-112'!D429</f>
        <v>0</v>
      </c>
      <c r="O52" s="627">
        <f>+'NEW...Tables 91-112'!D459</f>
        <v>0</v>
      </c>
      <c r="P52" s="176">
        <f>+'NEW...Tables 91-112'!D399</f>
        <v>0</v>
      </c>
      <c r="Q52" s="628">
        <f>+'NEW...Tables 87-90'!H52-OLD...Tables!H51</f>
        <v>0.20951965970636932</v>
      </c>
      <c r="R52" s="628">
        <f>+'NEW...Tables 87-90'!M52-OLD...Tables!M51</f>
        <v>1.1290277922557266</v>
      </c>
      <c r="S52" s="628">
        <f>+'NEW...Tables 87-90'!P52-OLD...Tables!P51</f>
        <v>0</v>
      </c>
      <c r="T52" s="87"/>
      <c r="U52" s="155"/>
      <c r="V52" s="155"/>
      <c r="W52" s="155"/>
      <c r="X52" s="244"/>
      <c r="Y52" s="87"/>
      <c r="Z52" s="87"/>
      <c r="AA52" s="87"/>
      <c r="AB52" s="156"/>
      <c r="AC52" s="148"/>
      <c r="AD52" s="148"/>
      <c r="AE52" s="148"/>
      <c r="AF52" s="148"/>
      <c r="AG52" s="148"/>
      <c r="AH52" s="148"/>
      <c r="AI52" s="148"/>
      <c r="AJ52" s="148"/>
      <c r="AK52" s="148"/>
      <c r="AL52" s="148"/>
      <c r="AM52" s="148"/>
      <c r="AN52" s="148"/>
    </row>
    <row r="53" spans="1:40" s="25" customFormat="1" ht="15" customHeight="1" x14ac:dyDescent="0.25">
      <c r="A53" s="28" t="s">
        <v>155</v>
      </c>
      <c r="B53" s="625">
        <f>+'NEW...Tables 91-112'!D59</f>
        <v>7.6783421887147441</v>
      </c>
      <c r="C53" s="625">
        <f>+'NEW...Tables 91-112'!D90</f>
        <v>0</v>
      </c>
      <c r="D53" s="625">
        <f>+'NEW...Tables 91-112'!D121</f>
        <v>13.952722181039453</v>
      </c>
      <c r="E53" s="625">
        <f>+'NEW...Tables 91-112'!D152</f>
        <v>0</v>
      </c>
      <c r="F53" s="625">
        <f>+'NEW...Tables 91-112'!D183</f>
        <v>7.3400408810168152</v>
      </c>
      <c r="G53" s="625">
        <f>+'NEW...Tables 91-112'!D214</f>
        <v>15.833011411990578</v>
      </c>
      <c r="H53" s="175">
        <f>+'NEW...Tables 91-112'!D27</f>
        <v>10.605528207301465</v>
      </c>
      <c r="I53" s="176">
        <f>+'NEW...Tables 91-112'!D276</f>
        <v>21.938513135830075</v>
      </c>
      <c r="J53" s="625">
        <f>+'NEW...Tables 91-112'!D307</f>
        <v>0</v>
      </c>
      <c r="K53" s="625">
        <f>+'NEW...Tables 91-112'!D338</f>
        <v>19.49419218585005</v>
      </c>
      <c r="L53" s="625">
        <f>+'NEW...Tables 91-112'!D369</f>
        <v>20.198591041415643</v>
      </c>
      <c r="M53" s="176">
        <f>+'NEW...Tables 91-112'!D245</f>
        <v>20.380161059354563</v>
      </c>
      <c r="N53" s="626">
        <f>+'NEW...Tables 91-112'!D430</f>
        <v>0</v>
      </c>
      <c r="O53" s="627">
        <f>+'NEW...Tables 91-112'!D460</f>
        <v>0</v>
      </c>
      <c r="P53" s="176">
        <f>+'NEW...Tables 91-112'!D400</f>
        <v>0</v>
      </c>
      <c r="Q53" s="628">
        <f>+'NEW...Tables 87-90'!H53-OLD...Tables!H52</f>
        <v>0.72026494669825425</v>
      </c>
      <c r="R53" s="628">
        <f>+'NEW...Tables 87-90'!M53-OLD...Tables!M52</f>
        <v>0.41533204841058335</v>
      </c>
      <c r="S53" s="628">
        <f>+'NEW...Tables 87-90'!P53-OLD...Tables!P52</f>
        <v>0</v>
      </c>
      <c r="T53" s="87"/>
      <c r="U53" s="155"/>
      <c r="V53" s="155"/>
      <c r="W53" s="155"/>
      <c r="X53" s="244"/>
      <c r="Y53" s="87"/>
      <c r="Z53" s="87"/>
      <c r="AA53" s="87"/>
      <c r="AB53" s="156"/>
      <c r="AC53" s="148"/>
      <c r="AD53" s="148"/>
      <c r="AE53" s="148"/>
      <c r="AF53" s="148"/>
      <c r="AG53" s="148"/>
      <c r="AH53" s="148"/>
      <c r="AI53" s="148"/>
      <c r="AJ53" s="148"/>
      <c r="AK53" s="148"/>
      <c r="AL53" s="148"/>
      <c r="AM53" s="148"/>
      <c r="AN53" s="148"/>
    </row>
    <row r="54" spans="1:40" s="25" customFormat="1" ht="28.5" customHeight="1" x14ac:dyDescent="0.2">
      <c r="A54" s="665" t="s">
        <v>915</v>
      </c>
      <c r="B54" s="665"/>
      <c r="C54" s="665"/>
      <c r="D54" s="665"/>
      <c r="E54" s="665"/>
      <c r="F54" s="665"/>
      <c r="G54" s="665"/>
      <c r="H54" s="665"/>
      <c r="I54" s="665"/>
      <c r="J54" s="665"/>
      <c r="K54" s="665"/>
      <c r="L54" s="665"/>
      <c r="M54" s="665"/>
      <c r="N54" s="665"/>
      <c r="O54" s="665"/>
      <c r="P54" s="665"/>
      <c r="Q54" s="26"/>
      <c r="R54" s="26"/>
      <c r="S54" s="26"/>
      <c r="T54" s="26"/>
      <c r="U54" s="26"/>
      <c r="V54" s="26"/>
      <c r="W54" s="26"/>
      <c r="X54" s="26"/>
      <c r="Y54" s="26"/>
      <c r="Z54" s="26"/>
      <c r="AA54" s="26"/>
      <c r="AB54" s="26"/>
    </row>
    <row r="55" spans="1:40" s="25" customFormat="1" ht="27" customHeight="1" x14ac:dyDescent="0.2">
      <c r="A55" s="673" t="s">
        <v>917</v>
      </c>
      <c r="B55" s="674"/>
      <c r="C55" s="674"/>
      <c r="D55" s="674"/>
      <c r="E55" s="674"/>
      <c r="F55" s="674"/>
      <c r="G55" s="674"/>
      <c r="H55" s="674"/>
      <c r="I55" s="674"/>
      <c r="J55" s="674"/>
      <c r="K55" s="674"/>
      <c r="L55" s="674"/>
      <c r="M55" s="674"/>
      <c r="N55" s="674"/>
      <c r="O55" s="674"/>
      <c r="P55" s="674"/>
      <c r="Q55" s="26"/>
      <c r="R55" s="26"/>
      <c r="S55" s="26"/>
      <c r="T55" s="26"/>
      <c r="U55" s="26"/>
      <c r="V55" s="26"/>
      <c r="W55" s="26"/>
      <c r="X55" s="26"/>
      <c r="Y55" s="26"/>
      <c r="Z55" s="26"/>
      <c r="AA55" s="26"/>
      <c r="AB55" s="26"/>
    </row>
    <row r="56" spans="1:40" s="28" customFormat="1" ht="3" customHeight="1" x14ac:dyDescent="0.25">
      <c r="A56" s="610"/>
      <c r="B56" s="149"/>
      <c r="C56" s="149"/>
      <c r="D56" s="149"/>
      <c r="E56" s="149"/>
      <c r="F56" s="149"/>
      <c r="G56" s="149"/>
      <c r="H56" s="149"/>
      <c r="I56" s="149"/>
      <c r="J56" s="149"/>
      <c r="K56" s="149"/>
      <c r="L56" s="149"/>
      <c r="M56" s="149"/>
      <c r="N56" s="149"/>
      <c r="O56" s="149"/>
      <c r="P56" s="149"/>
      <c r="Q56" s="25"/>
      <c r="R56" s="25"/>
      <c r="S56" s="25"/>
      <c r="T56" s="25"/>
      <c r="U56" s="25"/>
      <c r="V56" s="25"/>
      <c r="W56" s="25"/>
      <c r="X56" s="25"/>
      <c r="Y56" s="25"/>
      <c r="Z56" s="25"/>
      <c r="AA56" s="25"/>
      <c r="AB56" s="25"/>
      <c r="AC56" s="25"/>
      <c r="AD56" s="25"/>
      <c r="AE56" s="25"/>
      <c r="AF56" s="25"/>
      <c r="AG56" s="25"/>
      <c r="AH56" s="25"/>
      <c r="AI56" s="25"/>
      <c r="AJ56" s="25"/>
      <c r="AK56" s="25"/>
      <c r="AL56" s="25"/>
      <c r="AM56" s="25"/>
      <c r="AN56" s="25"/>
    </row>
    <row r="57" spans="1:40" x14ac:dyDescent="0.25">
      <c r="A57" s="25"/>
      <c r="B57" s="25"/>
      <c r="C57" s="25"/>
      <c r="D57" s="25"/>
      <c r="E57" s="25"/>
      <c r="F57" s="25"/>
      <c r="G57" s="25"/>
      <c r="H57" s="25"/>
      <c r="I57" s="25"/>
      <c r="J57" s="25"/>
      <c r="K57" s="25"/>
      <c r="L57" s="25"/>
      <c r="M57" s="622"/>
      <c r="N57" s="25"/>
      <c r="O57" s="25"/>
      <c r="P57" s="27" t="s">
        <v>914</v>
      </c>
      <c r="Q57" s="25"/>
      <c r="R57" s="25"/>
      <c r="S57" s="25"/>
      <c r="T57" s="25"/>
      <c r="U57" s="25"/>
      <c r="V57" s="25"/>
      <c r="W57" s="25"/>
      <c r="X57" s="25"/>
      <c r="Y57" s="25"/>
      <c r="Z57" s="25"/>
      <c r="AA57" s="25"/>
      <c r="AB57" s="25"/>
      <c r="AC57" s="25"/>
      <c r="AD57" s="25"/>
      <c r="AE57" s="25"/>
      <c r="AF57" s="25"/>
      <c r="AG57" s="25"/>
      <c r="AH57" s="25"/>
      <c r="AI57" s="25"/>
      <c r="AJ57" s="25"/>
      <c r="AK57" s="25"/>
      <c r="AL57" s="25"/>
      <c r="AM57" s="25"/>
      <c r="AN57" s="25"/>
    </row>
    <row r="58" spans="1:40" ht="18" x14ac:dyDescent="0.25">
      <c r="A58" s="16" t="s">
        <v>157</v>
      </c>
      <c r="B58" s="34"/>
      <c r="C58" s="34"/>
      <c r="D58" s="34"/>
      <c r="E58" s="34"/>
      <c r="F58" s="34"/>
      <c r="G58" s="146"/>
      <c r="H58" s="146"/>
      <c r="I58" s="150" t="s">
        <v>39</v>
      </c>
      <c r="J58" s="150"/>
      <c r="K58" s="150"/>
      <c r="L58" s="150"/>
      <c r="M58" s="629"/>
    </row>
    <row r="59" spans="1:40" ht="9.75" customHeight="1" x14ac:dyDescent="0.25">
      <c r="A59" s="18"/>
      <c r="B59" s="19"/>
      <c r="C59" s="19"/>
      <c r="D59" s="19"/>
      <c r="E59" s="19"/>
      <c r="F59" s="19"/>
      <c r="G59" s="19"/>
      <c r="H59" s="19"/>
      <c r="I59" s="630"/>
      <c r="J59" s="630"/>
      <c r="K59" s="630"/>
      <c r="L59" s="630"/>
      <c r="M59" s="631"/>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row>
    <row r="60" spans="1:40" ht="18" x14ac:dyDescent="0.25">
      <c r="A60" s="37" t="s">
        <v>158</v>
      </c>
      <c r="B60" s="34"/>
      <c r="C60" s="34"/>
      <c r="D60" s="34"/>
      <c r="E60" s="34"/>
      <c r="F60" s="34"/>
      <c r="G60" s="146"/>
      <c r="H60" s="146"/>
      <c r="I60" s="150" t="s">
        <v>39</v>
      </c>
      <c r="J60" s="150"/>
      <c r="K60" s="150"/>
      <c r="L60" s="150"/>
      <c r="M60" s="629"/>
    </row>
    <row r="61" spans="1:40" s="31" customFormat="1" ht="15.75" x14ac:dyDescent="0.25">
      <c r="A61" s="37" t="s">
        <v>159</v>
      </c>
      <c r="B61" s="19"/>
      <c r="C61" s="19"/>
      <c r="D61" s="19"/>
      <c r="E61" s="19"/>
      <c r="F61" s="19"/>
      <c r="G61" s="146"/>
      <c r="H61" s="146"/>
      <c r="I61" s="150" t="s">
        <v>39</v>
      </c>
      <c r="J61" s="150"/>
      <c r="K61" s="150"/>
      <c r="L61" s="150"/>
      <c r="M61" s="629"/>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row>
    <row r="62" spans="1:40" s="32" customFormat="1" ht="15.75" x14ac:dyDescent="0.25">
      <c r="A62" s="37" t="s">
        <v>865</v>
      </c>
      <c r="B62" s="19"/>
      <c r="C62" s="19"/>
      <c r="D62" s="19"/>
      <c r="E62" s="19"/>
      <c r="F62" s="19"/>
      <c r="G62" s="146"/>
      <c r="H62" s="146"/>
      <c r="I62" s="150" t="s">
        <v>39</v>
      </c>
      <c r="J62" s="150"/>
      <c r="K62" s="150"/>
      <c r="L62" s="150"/>
      <c r="M62" s="629"/>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row>
    <row r="63" spans="1:40" ht="12" customHeight="1" x14ac:dyDescent="0.25">
      <c r="A63" s="615"/>
      <c r="B63" s="147"/>
      <c r="C63" s="147"/>
      <c r="D63" s="147"/>
      <c r="E63" s="147"/>
      <c r="F63" s="147"/>
      <c r="G63" s="147"/>
      <c r="H63" s="147"/>
      <c r="I63" s="156"/>
      <c r="J63" s="156"/>
      <c r="K63" s="156"/>
      <c r="L63" s="156"/>
    </row>
    <row r="64" spans="1:40" ht="15.75" customHeight="1" x14ac:dyDescent="0.25">
      <c r="A64" s="632"/>
      <c r="B64" s="44" t="s">
        <v>55</v>
      </c>
      <c r="C64" s="44"/>
      <c r="D64" s="44"/>
      <c r="E64" s="44"/>
      <c r="F64" s="44"/>
      <c r="G64" s="44"/>
      <c r="H64" s="44"/>
      <c r="I64" s="154" t="s">
        <v>39</v>
      </c>
      <c r="J64" s="154"/>
      <c r="K64" s="154"/>
      <c r="L64" s="154"/>
      <c r="M64" s="154"/>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row>
    <row r="65" spans="1:40" ht="15.75" customHeight="1" x14ac:dyDescent="0.25">
      <c r="A65" s="633"/>
      <c r="B65" s="609">
        <v>1</v>
      </c>
      <c r="C65" s="609">
        <v>2</v>
      </c>
      <c r="D65" s="609">
        <v>3</v>
      </c>
      <c r="E65" s="609">
        <v>4</v>
      </c>
      <c r="F65" s="609">
        <v>5</v>
      </c>
      <c r="G65" s="609">
        <v>6</v>
      </c>
      <c r="H65" s="608" t="s">
        <v>918</v>
      </c>
      <c r="I65" s="154"/>
      <c r="J65" s="154"/>
      <c r="K65" s="154"/>
      <c r="L65" s="154"/>
      <c r="M65" s="154"/>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row>
    <row r="66" spans="1:40" ht="15.75" customHeight="1" x14ac:dyDescent="0.25">
      <c r="A66" s="28" t="s">
        <v>141</v>
      </c>
      <c r="B66" s="634">
        <f>+'NEW...Tables 91-112'!J41+'NEW...Tables 91-112'!K41</f>
        <v>87.373494663818164</v>
      </c>
      <c r="C66" s="634">
        <f>+'NEW...Tables 91-112'!J72+'NEW...Tables 91-112'!K72</f>
        <v>82.080136402387041</v>
      </c>
      <c r="D66" s="634">
        <f>+'NEW...Tables 91-112'!J103+'NEW...Tables 91-112'!K103</f>
        <v>74.696415703648356</v>
      </c>
      <c r="E66" s="634">
        <f>+'NEW...Tables 91-112'!J134+'NEW...Tables 91-112'!K134</f>
        <v>63.282559924430281</v>
      </c>
      <c r="F66" s="634">
        <f>+'NEW...Tables 91-112'!J165+'NEW...Tables 91-112'!K165</f>
        <v>23.768872320596458</v>
      </c>
      <c r="G66" s="634">
        <f>+'NEW...Tables 91-112'!J196+'NEW...Tables 91-112'!K196</f>
        <v>0</v>
      </c>
      <c r="H66" s="178">
        <f>+'NEW...Tables 91-112'!J9+'NEW...Tables 91-112'!K9</f>
        <v>74.62645243885693</v>
      </c>
      <c r="I66" s="635"/>
      <c r="J66" s="635"/>
      <c r="K66" s="635"/>
      <c r="L66" s="635"/>
      <c r="M66" s="635"/>
    </row>
    <row r="67" spans="1:40" ht="15.75" customHeight="1" x14ac:dyDescent="0.25">
      <c r="A67" s="28" t="s">
        <v>142</v>
      </c>
      <c r="B67" s="636">
        <f>+'NEW...Tables 91-112'!J42+'NEW...Tables 91-112'!K42</f>
        <v>80.432333018171462</v>
      </c>
      <c r="C67" s="636">
        <f>+'NEW...Tables 91-112'!J73+'NEW...Tables 91-112'!K73</f>
        <v>0</v>
      </c>
      <c r="D67" s="636">
        <f>+'NEW...Tables 91-112'!J104+'NEW...Tables 91-112'!K104</f>
        <v>53.136327725625058</v>
      </c>
      <c r="E67" s="636">
        <f>+'NEW...Tables 91-112'!J135+'NEW...Tables 91-112'!K135</f>
        <v>58.091674462114121</v>
      </c>
      <c r="F67" s="636">
        <f>+'NEW...Tables 91-112'!J166+'NEW...Tables 91-112'!K166</f>
        <v>44.397759103641455</v>
      </c>
      <c r="G67" s="636">
        <f>+'NEW...Tables 91-112'!J197+'NEW...Tables 91-112'!K197</f>
        <v>77.02205882352942</v>
      </c>
      <c r="H67" s="176">
        <f>+'NEW...Tables 91-112'!J10+'NEW...Tables 91-112'!K10</f>
        <v>67.680353299605898</v>
      </c>
      <c r="I67" s="635"/>
      <c r="J67" s="635"/>
      <c r="K67" s="635"/>
      <c r="L67" s="635"/>
      <c r="M67" s="635"/>
    </row>
    <row r="68" spans="1:40" ht="15.75" customHeight="1" x14ac:dyDescent="0.25">
      <c r="A68" s="28" t="s">
        <v>143</v>
      </c>
      <c r="B68" s="636">
        <f>+'NEW...Tables 91-112'!J43+'NEW...Tables 91-112'!K43</f>
        <v>94.45403877855405</v>
      </c>
      <c r="C68" s="636">
        <f>+'NEW...Tables 91-112'!J74+'NEW...Tables 91-112'!K74</f>
        <v>0</v>
      </c>
      <c r="D68" s="636">
        <f>+'NEW...Tables 91-112'!J105+'NEW...Tables 91-112'!K105</f>
        <v>96.627727573286322</v>
      </c>
      <c r="E68" s="636">
        <f>+'NEW...Tables 91-112'!J136+'NEW...Tables 91-112'!K136</f>
        <v>0</v>
      </c>
      <c r="F68" s="636">
        <f>+'NEW...Tables 91-112'!J167+'NEW...Tables 91-112'!K167</f>
        <v>0</v>
      </c>
      <c r="G68" s="636">
        <f>+'NEW...Tables 91-112'!J198+'NEW...Tables 91-112'!K198</f>
        <v>0</v>
      </c>
      <c r="H68" s="176">
        <f>+'NEW...Tables 91-112'!J11+'NEW...Tables 91-112'!K11</f>
        <v>94.631755356531457</v>
      </c>
      <c r="I68" s="635"/>
      <c r="J68" s="635"/>
      <c r="K68" s="635"/>
      <c r="L68" s="635"/>
      <c r="M68" s="635"/>
    </row>
    <row r="69" spans="1:40" ht="15.75" customHeight="1" x14ac:dyDescent="0.25">
      <c r="A69" s="28" t="s">
        <v>144</v>
      </c>
      <c r="B69" s="636">
        <f>+'NEW...Tables 91-112'!J44+'NEW...Tables 91-112'!K44</f>
        <v>78.246324950910903</v>
      </c>
      <c r="C69" s="636">
        <f>+'NEW...Tables 91-112'!J75+'NEW...Tables 91-112'!K75</f>
        <v>73.782988251276763</v>
      </c>
      <c r="D69" s="636">
        <f>+'NEW...Tables 91-112'!J106+'NEW...Tables 91-112'!K106</f>
        <v>74.313972401490105</v>
      </c>
      <c r="E69" s="636">
        <f>+'NEW...Tables 91-112'!J137+'NEW...Tables 91-112'!K137</f>
        <v>61.631366280360552</v>
      </c>
      <c r="F69" s="636">
        <f>+'NEW...Tables 91-112'!J168+'NEW...Tables 91-112'!K168</f>
        <v>0</v>
      </c>
      <c r="G69" s="636">
        <f>+'NEW...Tables 91-112'!J199+'NEW...Tables 91-112'!K199</f>
        <v>0</v>
      </c>
      <c r="H69" s="176">
        <f>+'NEW...Tables 91-112'!J12+'NEW...Tables 91-112'!K12</f>
        <v>77.31938656665595</v>
      </c>
      <c r="I69" s="635"/>
      <c r="J69" s="635"/>
      <c r="K69" s="635"/>
      <c r="L69" s="635"/>
      <c r="M69" s="635"/>
    </row>
    <row r="70" spans="1:40" ht="15.75" customHeight="1" x14ac:dyDescent="0.25">
      <c r="A70" s="28"/>
      <c r="B70" s="636"/>
      <c r="C70" s="636"/>
      <c r="D70" s="636"/>
      <c r="E70" s="636"/>
      <c r="F70" s="636"/>
      <c r="G70" s="636"/>
      <c r="H70" s="176"/>
      <c r="I70" s="635"/>
      <c r="J70" s="635"/>
      <c r="K70" s="635"/>
      <c r="L70" s="635"/>
      <c r="M70" s="635"/>
    </row>
    <row r="71" spans="1:40" ht="15.75" customHeight="1" x14ac:dyDescent="0.25">
      <c r="A71" s="28" t="s">
        <v>145</v>
      </c>
      <c r="B71" s="636">
        <f>+'NEW...Tables 91-112'!J46+'NEW...Tables 91-112'!K46</f>
        <v>0</v>
      </c>
      <c r="C71" s="636">
        <f>+'NEW...Tables 91-112'!J77+'NEW...Tables 91-112'!K77</f>
        <v>0</v>
      </c>
      <c r="D71" s="636">
        <f>+'NEW...Tables 91-112'!J108+'NEW...Tables 91-112'!K108</f>
        <v>0</v>
      </c>
      <c r="E71" s="636">
        <f>+'NEW...Tables 91-112'!J139+'NEW...Tables 91-112'!K139</f>
        <v>0</v>
      </c>
      <c r="F71" s="636">
        <f>+'NEW...Tables 91-112'!J170+'NEW...Tables 91-112'!K170</f>
        <v>0</v>
      </c>
      <c r="G71" s="636">
        <f>+'NEW...Tables 91-112'!J201+'NEW...Tables 91-112'!K201</f>
        <v>0</v>
      </c>
      <c r="H71" s="176">
        <f>+'NEW...Tables 91-112'!J14+'NEW...Tables 91-112'!K14</f>
        <v>0</v>
      </c>
      <c r="I71" s="635"/>
      <c r="J71" s="635"/>
      <c r="K71" s="635"/>
      <c r="L71" s="635"/>
      <c r="M71" s="635"/>
    </row>
    <row r="72" spans="1:40" ht="15.75" customHeight="1" x14ac:dyDescent="0.25">
      <c r="A72" s="28" t="s">
        <v>146</v>
      </c>
      <c r="B72" s="636">
        <f>+'NEW...Tables 91-112'!J47+'NEW...Tables 91-112'!K47</f>
        <v>82.605820105820101</v>
      </c>
      <c r="C72" s="636">
        <f>+'NEW...Tables 91-112'!J78+'NEW...Tables 91-112'!K78</f>
        <v>0</v>
      </c>
      <c r="D72" s="636">
        <f>+'NEW...Tables 91-112'!J109+'NEW...Tables 91-112'!K109</f>
        <v>47.990617105737996</v>
      </c>
      <c r="E72" s="636">
        <f>+'NEW...Tables 91-112'!J140+'NEW...Tables 91-112'!K140</f>
        <v>73.430115550731529</v>
      </c>
      <c r="F72" s="636">
        <f>+'NEW...Tables 91-112'!J171+'NEW...Tables 91-112'!K171</f>
        <v>0</v>
      </c>
      <c r="G72" s="636">
        <f>+'NEW...Tables 91-112'!J202+'NEW...Tables 91-112'!K202</f>
        <v>0</v>
      </c>
      <c r="H72" s="176">
        <f>+'NEW...Tables 91-112'!J15+'NEW...Tables 91-112'!K15</f>
        <v>64.196910445384248</v>
      </c>
      <c r="I72" s="635"/>
      <c r="J72" s="635"/>
      <c r="K72" s="635"/>
      <c r="L72" s="635"/>
      <c r="M72" s="635"/>
    </row>
    <row r="73" spans="1:40" ht="15.75" customHeight="1" x14ac:dyDescent="0.25">
      <c r="A73" s="28" t="s">
        <v>147</v>
      </c>
      <c r="B73" s="636">
        <f>+'NEW...Tables 91-112'!J48+'NEW...Tables 91-112'!K48</f>
        <v>0</v>
      </c>
      <c r="C73" s="636">
        <f>+'NEW...Tables 91-112'!J79+'NEW...Tables 91-112'!K79</f>
        <v>0</v>
      </c>
      <c r="D73" s="636">
        <f>+'NEW...Tables 91-112'!J110+'NEW...Tables 91-112'!K110</f>
        <v>0</v>
      </c>
      <c r="E73" s="636">
        <f>+'NEW...Tables 91-112'!J141+'NEW...Tables 91-112'!K141</f>
        <v>0</v>
      </c>
      <c r="F73" s="636">
        <f>+'NEW...Tables 91-112'!J172+'NEW...Tables 91-112'!K172</f>
        <v>0</v>
      </c>
      <c r="G73" s="636">
        <f>+'NEW...Tables 91-112'!J203+'NEW...Tables 91-112'!K203</f>
        <v>0</v>
      </c>
      <c r="H73" s="176">
        <f>+'NEW...Tables 91-112'!J16+'NEW...Tables 91-112'!K16</f>
        <v>0</v>
      </c>
      <c r="I73" s="635"/>
      <c r="J73" s="635"/>
      <c r="K73" s="635"/>
      <c r="L73" s="635"/>
      <c r="M73" s="635"/>
    </row>
    <row r="74" spans="1:40" ht="15.75" customHeight="1" x14ac:dyDescent="0.25">
      <c r="A74" s="28" t="s">
        <v>177</v>
      </c>
      <c r="B74" s="636">
        <f>+'NEW...Tables 91-112'!J49+'NEW...Tables 91-112'!K49</f>
        <v>95.165303275907561</v>
      </c>
      <c r="C74" s="636">
        <f>+'NEW...Tables 91-112'!J80+'NEW...Tables 91-112'!K80</f>
        <v>82.166325160743312</v>
      </c>
      <c r="D74" s="636">
        <f>+'NEW...Tables 91-112'!J111+'NEW...Tables 91-112'!K111</f>
        <v>83.449342614075803</v>
      </c>
      <c r="E74" s="636">
        <f>+'NEW...Tables 91-112'!J142+'NEW...Tables 91-112'!K142</f>
        <v>79.022638535659283</v>
      </c>
      <c r="F74" s="636">
        <f>+'NEW...Tables 91-112'!J173+'NEW...Tables 91-112'!K173</f>
        <v>92.306464485235438</v>
      </c>
      <c r="G74" s="636">
        <f>+'NEW...Tables 91-112'!J204+'NEW...Tables 91-112'!K204</f>
        <v>100</v>
      </c>
      <c r="H74" s="176">
        <f>+'NEW...Tables 91-112'!J17+'NEW...Tables 91-112'!K17</f>
        <v>59.696989789152639</v>
      </c>
      <c r="I74" s="635"/>
      <c r="J74" s="635"/>
      <c r="K74" s="635"/>
      <c r="L74" s="635"/>
      <c r="M74" s="635"/>
    </row>
    <row r="75" spans="1:40" ht="15.75" customHeight="1" x14ac:dyDescent="0.25">
      <c r="A75" s="28"/>
      <c r="B75" s="636"/>
      <c r="C75" s="636"/>
      <c r="D75" s="636"/>
      <c r="E75" s="636"/>
      <c r="F75" s="636"/>
      <c r="G75" s="636"/>
      <c r="H75" s="176"/>
      <c r="I75" s="635"/>
      <c r="J75" s="635"/>
      <c r="K75" s="635"/>
      <c r="L75" s="635"/>
      <c r="M75" s="635"/>
    </row>
    <row r="76" spans="1:40" ht="15.75" customHeight="1" x14ac:dyDescent="0.25">
      <c r="A76" s="28" t="s">
        <v>148</v>
      </c>
      <c r="B76" s="636">
        <f>+'NEW...Tables 91-112'!J51+'NEW...Tables 91-112'!K51</f>
        <v>74.046758296101771</v>
      </c>
      <c r="C76" s="636">
        <f>+'NEW...Tables 91-112'!J82+'NEW...Tables 91-112'!K82</f>
        <v>88.612014226799616</v>
      </c>
      <c r="D76" s="636">
        <f>+'NEW...Tables 91-112'!J113+'NEW...Tables 91-112'!K113</f>
        <v>0</v>
      </c>
      <c r="E76" s="636">
        <f>+'NEW...Tables 91-112'!J144+'NEW...Tables 91-112'!K144</f>
        <v>51.011112333590056</v>
      </c>
      <c r="F76" s="636">
        <f>+'NEW...Tables 91-112'!J175+'NEW...Tables 91-112'!K175</f>
        <v>70.672829994863889</v>
      </c>
      <c r="G76" s="636">
        <f>+'NEW...Tables 91-112'!J206+'NEW...Tables 91-112'!K206</f>
        <v>0</v>
      </c>
      <c r="H76" s="176">
        <f>+'NEW...Tables 91-112'!J19+'NEW...Tables 91-112'!K19</f>
        <v>75.111603253820448</v>
      </c>
      <c r="I76" s="635"/>
      <c r="J76" s="635"/>
      <c r="K76" s="635"/>
      <c r="L76" s="635"/>
      <c r="M76" s="635"/>
    </row>
    <row r="77" spans="1:40" ht="15.75" customHeight="1" x14ac:dyDescent="0.25">
      <c r="A77" s="28" t="s">
        <v>149</v>
      </c>
      <c r="B77" s="636">
        <f>+'NEW...Tables 91-112'!J52+'NEW...Tables 91-112'!K52</f>
        <v>88.006441159905009</v>
      </c>
      <c r="C77" s="636">
        <f>+'NEW...Tables 91-112'!J83+'NEW...Tables 91-112'!K83</f>
        <v>72.055850314295867</v>
      </c>
      <c r="D77" s="636">
        <f>+'NEW...Tables 91-112'!J114+'NEW...Tables 91-112'!K114</f>
        <v>77.074463052322827</v>
      </c>
      <c r="E77" s="636">
        <f>+'NEW...Tables 91-112'!J145+'NEW...Tables 91-112'!K145</f>
        <v>76.310235666549417</v>
      </c>
      <c r="F77" s="636">
        <f>+'NEW...Tables 91-112'!J176+'NEW...Tables 91-112'!K176</f>
        <v>73.519895059029295</v>
      </c>
      <c r="G77" s="636">
        <f>+'NEW...Tables 91-112'!J207+'NEW...Tables 91-112'!K207</f>
        <v>64.819837272375054</v>
      </c>
      <c r="H77" s="176">
        <f>+'NEW...Tables 91-112'!J20+'NEW...Tables 91-112'!K20</f>
        <v>81.624263241304973</v>
      </c>
      <c r="I77" s="635"/>
      <c r="J77" s="635"/>
      <c r="K77" s="635"/>
      <c r="L77" s="635"/>
      <c r="M77" s="635"/>
    </row>
    <row r="78" spans="1:40" ht="15.75" customHeight="1" x14ac:dyDescent="0.25">
      <c r="A78" s="28" t="s">
        <v>150</v>
      </c>
      <c r="B78" s="636">
        <f>+'NEW...Tables 91-112'!J53+'NEW...Tables 91-112'!K53</f>
        <v>78.417257731837609</v>
      </c>
      <c r="C78" s="636">
        <f>+'NEW...Tables 91-112'!J84+'NEW...Tables 91-112'!K84</f>
        <v>0</v>
      </c>
      <c r="D78" s="636">
        <f>+'NEW...Tables 91-112'!J115+'NEW...Tables 91-112'!K115</f>
        <v>86.953818091368888</v>
      </c>
      <c r="E78" s="636">
        <f>+'NEW...Tables 91-112'!J146+'NEW...Tables 91-112'!K146</f>
        <v>54.497873732417403</v>
      </c>
      <c r="F78" s="636">
        <f>+'NEW...Tables 91-112'!J177+'NEW...Tables 91-112'!K177</f>
        <v>54.00004256496478</v>
      </c>
      <c r="G78" s="636">
        <f>+'NEW...Tables 91-112'!J208+'NEW...Tables 91-112'!K208</f>
        <v>0</v>
      </c>
      <c r="H78" s="176">
        <f>+'NEW...Tables 91-112'!J21+'NEW...Tables 91-112'!K21</f>
        <v>75.169970315043571</v>
      </c>
      <c r="I78" s="635"/>
      <c r="J78" s="635"/>
      <c r="K78" s="635"/>
      <c r="L78" s="635"/>
      <c r="M78" s="635"/>
    </row>
    <row r="79" spans="1:40" ht="15.75" customHeight="1" x14ac:dyDescent="0.25">
      <c r="A79" s="28" t="s">
        <v>151</v>
      </c>
      <c r="B79" s="636">
        <f>+'NEW...Tables 91-112'!J54+'NEW...Tables 91-112'!K54</f>
        <v>81.106093752435797</v>
      </c>
      <c r="C79" s="636">
        <f>+'NEW...Tables 91-112'!J85+'NEW...Tables 91-112'!K85</f>
        <v>0</v>
      </c>
      <c r="D79" s="636">
        <f>+'NEW...Tables 91-112'!J116+'NEW...Tables 91-112'!K116</f>
        <v>89.429399991831062</v>
      </c>
      <c r="E79" s="636">
        <f>+'NEW...Tables 91-112'!J147+'NEW...Tables 91-112'!K147</f>
        <v>90.167108943555917</v>
      </c>
      <c r="F79" s="636">
        <f>+'NEW...Tables 91-112'!J178+'NEW...Tables 91-112'!K178</f>
        <v>85.072119324700864</v>
      </c>
      <c r="G79" s="636">
        <f>+'NEW...Tables 91-112'!J209+'NEW...Tables 91-112'!K209</f>
        <v>62.089613875696877</v>
      </c>
      <c r="H79" s="176">
        <f>+'NEW...Tables 91-112'!J22+'NEW...Tables 91-112'!K22</f>
        <v>82.709490283909943</v>
      </c>
      <c r="I79" s="635"/>
      <c r="J79" s="635"/>
      <c r="K79" s="635"/>
      <c r="L79" s="635"/>
      <c r="M79" s="635"/>
    </row>
    <row r="80" spans="1:40" ht="15.75" customHeight="1" x14ac:dyDescent="0.25">
      <c r="A80" s="28"/>
      <c r="B80" s="636"/>
      <c r="C80" s="636"/>
      <c r="D80" s="636"/>
      <c r="E80" s="636"/>
      <c r="F80" s="636"/>
      <c r="G80" s="636"/>
      <c r="H80" s="176"/>
      <c r="I80" s="635"/>
      <c r="J80" s="635"/>
      <c r="K80" s="635"/>
      <c r="L80" s="635"/>
      <c r="M80" s="635"/>
    </row>
    <row r="81" spans="1:40" ht="15.75" customHeight="1" x14ac:dyDescent="0.25">
      <c r="A81" s="28" t="s">
        <v>152</v>
      </c>
      <c r="B81" s="636">
        <f>+'NEW...Tables 91-112'!J56+'NEW...Tables 91-112'!K56</f>
        <v>43.782231639805509</v>
      </c>
      <c r="C81" s="636">
        <f>+'NEW...Tables 91-112'!J87+'NEW...Tables 91-112'!K87</f>
        <v>49.947038776826005</v>
      </c>
      <c r="D81" s="636">
        <f>+'NEW...Tables 91-112'!J118+'NEW...Tables 91-112'!K118</f>
        <v>38.549634630998675</v>
      </c>
      <c r="E81" s="636">
        <f>+'NEW...Tables 91-112'!J149+'NEW...Tables 91-112'!K149</f>
        <v>0</v>
      </c>
      <c r="F81" s="636">
        <f>+'NEW...Tables 91-112'!J180+'NEW...Tables 91-112'!K180</f>
        <v>21.421845574387948</v>
      </c>
      <c r="G81" s="636">
        <f>+'NEW...Tables 91-112'!J211+'NEW...Tables 91-112'!K211</f>
        <v>0</v>
      </c>
      <c r="H81" s="176">
        <f>+'NEW...Tables 91-112'!J24+'NEW...Tables 91-112'!K24</f>
        <v>41.911669366429322</v>
      </c>
      <c r="I81" s="635"/>
      <c r="J81" s="635"/>
      <c r="K81" s="635"/>
      <c r="L81" s="635"/>
      <c r="M81" s="635"/>
    </row>
    <row r="82" spans="1:40" s="25" customFormat="1" x14ac:dyDescent="0.25">
      <c r="A82" s="28" t="s">
        <v>153</v>
      </c>
      <c r="B82" s="636">
        <f>+'NEW...Tables 91-112'!J57+'NEW...Tables 91-112'!K57</f>
        <v>87.54426926915626</v>
      </c>
      <c r="C82" s="636">
        <f>+'NEW...Tables 91-112'!J88+'NEW...Tables 91-112'!K88</f>
        <v>70.462078035949148</v>
      </c>
      <c r="D82" s="636">
        <f>+'NEW...Tables 91-112'!J119+'NEW...Tables 91-112'!K119</f>
        <v>58.896957032015997</v>
      </c>
      <c r="E82" s="636">
        <f>+'NEW...Tables 91-112'!J150+'NEW...Tables 91-112'!K150</f>
        <v>35.974265933527747</v>
      </c>
      <c r="F82" s="636">
        <f>+'NEW...Tables 91-112'!J181+'NEW...Tables 91-112'!K181</f>
        <v>35.910024100687316</v>
      </c>
      <c r="G82" s="636">
        <f>+'NEW...Tables 91-112'!J212+'NEW...Tables 91-112'!K212</f>
        <v>93.145161290322577</v>
      </c>
      <c r="H82" s="176">
        <f>+'NEW...Tables 91-112'!J25+'NEW...Tables 91-112'!K25</f>
        <v>74.639432865479932</v>
      </c>
      <c r="I82" s="635"/>
      <c r="J82" s="635"/>
      <c r="K82" s="635"/>
      <c r="L82" s="635"/>
      <c r="M82" s="635"/>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row>
    <row r="83" spans="1:40" s="25" customFormat="1" x14ac:dyDescent="0.25">
      <c r="A83" s="28" t="s">
        <v>154</v>
      </c>
      <c r="B83" s="636">
        <f>+'NEW...Tables 91-112'!J58+'NEW...Tables 91-112'!K58</f>
        <v>90.529345232102983</v>
      </c>
      <c r="C83" s="636">
        <f>+'NEW...Tables 91-112'!J89+'NEW...Tables 91-112'!K89</f>
        <v>95.402802666013486</v>
      </c>
      <c r="D83" s="636">
        <f>+'NEW...Tables 91-112'!J120+'NEW...Tables 91-112'!K120</f>
        <v>91.241703772158289</v>
      </c>
      <c r="E83" s="636">
        <f>+'NEW...Tables 91-112'!J151+'NEW...Tables 91-112'!K151</f>
        <v>86.581212136969924</v>
      </c>
      <c r="F83" s="636">
        <f>+'NEW...Tables 91-112'!J182+'NEW...Tables 91-112'!K182</f>
        <v>88.967100229533273</v>
      </c>
      <c r="G83" s="636">
        <f>+'NEW...Tables 91-112'!J213+'NEW...Tables 91-112'!K213</f>
        <v>0</v>
      </c>
      <c r="H83" s="176">
        <f>+'NEW...Tables 91-112'!J26+'NEW...Tables 91-112'!K26</f>
        <v>91.441816431721506</v>
      </c>
      <c r="I83" s="635"/>
      <c r="J83" s="635"/>
      <c r="K83" s="635"/>
      <c r="L83" s="635"/>
      <c r="M83" s="635"/>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row>
    <row r="84" spans="1:40" s="25" customFormat="1" x14ac:dyDescent="0.25">
      <c r="A84" s="242" t="s">
        <v>155</v>
      </c>
      <c r="B84" s="637">
        <f>+'NEW...Tables 91-112'!J59+'NEW...Tables 91-112'!K59</f>
        <v>72.796865527132553</v>
      </c>
      <c r="C84" s="637">
        <f>+'NEW...Tables 91-112'!J90+'NEW...Tables 91-112'!K90</f>
        <v>0</v>
      </c>
      <c r="D84" s="637">
        <f>+'NEW...Tables 91-112'!J121+'NEW...Tables 91-112'!K121</f>
        <v>69.09156782731398</v>
      </c>
      <c r="E84" s="637">
        <f>+'NEW...Tables 91-112'!J152+'NEW...Tables 91-112'!K152</f>
        <v>0</v>
      </c>
      <c r="F84" s="637">
        <f>+'NEW...Tables 91-112'!J183+'NEW...Tables 91-112'!K183</f>
        <v>52.554513852312233</v>
      </c>
      <c r="G84" s="637">
        <f>+'NEW...Tables 91-112'!J214+'NEW...Tables 91-112'!K214</f>
        <v>64.157409595840221</v>
      </c>
      <c r="H84" s="177">
        <f>+'NEW...Tables 91-112'!J27+'NEW...Tables 91-112'!K27</f>
        <v>70.256481123210435</v>
      </c>
      <c r="I84" s="635"/>
      <c r="J84" s="635"/>
      <c r="K84" s="635"/>
      <c r="L84" s="635"/>
      <c r="M84" s="635"/>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row>
    <row r="85" spans="1:40" s="28" customFormat="1" ht="36" customHeight="1" x14ac:dyDescent="0.2">
      <c r="A85" s="675" t="s">
        <v>916</v>
      </c>
      <c r="B85" s="675"/>
      <c r="C85" s="675"/>
      <c r="D85" s="675"/>
      <c r="E85" s="675"/>
      <c r="F85" s="675"/>
      <c r="G85" s="675"/>
      <c r="H85" s="675"/>
      <c r="I85" s="25"/>
      <c r="J85" s="25"/>
      <c r="K85" s="25"/>
      <c r="L85" s="25"/>
      <c r="M85" s="26"/>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row>
    <row r="86" spans="1:40" x14ac:dyDescent="0.25">
      <c r="A86" s="25"/>
      <c r="B86" s="25"/>
      <c r="C86" s="25"/>
      <c r="D86" s="25"/>
      <c r="E86" s="25"/>
      <c r="F86" s="25"/>
      <c r="G86" s="25"/>
      <c r="H86" s="27" t="s">
        <v>914</v>
      </c>
      <c r="I86" s="25"/>
      <c r="J86" s="25"/>
      <c r="K86" s="25"/>
      <c r="L86" s="25"/>
      <c r="M86" s="26"/>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row>
    <row r="87" spans="1:40" ht="18" x14ac:dyDescent="0.25">
      <c r="A87" s="16" t="s">
        <v>160</v>
      </c>
      <c r="B87" s="34"/>
      <c r="C87" s="34"/>
      <c r="D87" s="34"/>
      <c r="E87" s="34"/>
      <c r="F87" s="34"/>
      <c r="G87" s="146"/>
      <c r="H87" s="146"/>
      <c r="I87" s="150" t="s">
        <v>39</v>
      </c>
      <c r="J87" s="150"/>
      <c r="K87" s="150"/>
      <c r="L87" s="150"/>
      <c r="M87" s="629"/>
    </row>
    <row r="88" spans="1:40" x14ac:dyDescent="0.25">
      <c r="A88" s="18"/>
      <c r="B88" s="19"/>
      <c r="C88" s="19"/>
      <c r="D88" s="19"/>
      <c r="E88" s="19"/>
      <c r="F88" s="19"/>
      <c r="G88" s="19"/>
      <c r="H88" s="19"/>
      <c r="I88" s="630"/>
      <c r="J88" s="630"/>
      <c r="K88" s="630"/>
      <c r="L88" s="630"/>
      <c r="M88" s="631"/>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row>
    <row r="89" spans="1:40" s="32" customFormat="1" ht="18" x14ac:dyDescent="0.25">
      <c r="A89" s="37" t="s">
        <v>161</v>
      </c>
      <c r="B89" s="34"/>
      <c r="C89" s="34"/>
      <c r="D89" s="34"/>
      <c r="E89" s="34"/>
      <c r="F89" s="34"/>
      <c r="G89" s="146"/>
      <c r="H89" s="146"/>
      <c r="I89" s="150" t="s">
        <v>39</v>
      </c>
      <c r="J89" s="150"/>
      <c r="K89" s="150"/>
      <c r="L89" s="150"/>
      <c r="M89" s="629"/>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row>
    <row r="90" spans="1:40" s="32" customFormat="1" ht="15.75" x14ac:dyDescent="0.25">
      <c r="A90" s="37" t="s">
        <v>865</v>
      </c>
      <c r="B90" s="19"/>
      <c r="C90" s="19"/>
      <c r="D90" s="19"/>
      <c r="E90" s="19"/>
      <c r="F90" s="19"/>
      <c r="G90" s="146"/>
      <c r="H90" s="146"/>
      <c r="I90" s="150" t="s">
        <v>39</v>
      </c>
      <c r="J90" s="150"/>
      <c r="K90" s="150"/>
      <c r="L90" s="150"/>
      <c r="M90" s="629"/>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row>
    <row r="91" spans="1:40" ht="11.25" customHeight="1" x14ac:dyDescent="0.25">
      <c r="A91" s="638"/>
      <c r="B91" s="630"/>
      <c r="C91" s="630"/>
      <c r="D91" s="630"/>
      <c r="E91" s="630"/>
      <c r="F91" s="630"/>
      <c r="G91" s="150"/>
      <c r="H91" s="150"/>
      <c r="I91" s="150"/>
      <c r="J91" s="150"/>
      <c r="K91" s="150"/>
      <c r="L91" s="150"/>
      <c r="M91" s="629"/>
    </row>
    <row r="92" spans="1:40" ht="15.75" customHeight="1" x14ac:dyDescent="0.25">
      <c r="A92" s="617"/>
      <c r="B92" s="44" t="s">
        <v>55</v>
      </c>
      <c r="C92" s="44"/>
      <c r="D92" s="44"/>
      <c r="E92" s="44"/>
      <c r="F92" s="44"/>
      <c r="G92" s="44"/>
      <c r="H92" s="44"/>
      <c r="I92" s="154"/>
      <c r="J92" s="154"/>
      <c r="K92" s="154"/>
      <c r="L92" s="154"/>
      <c r="M92" s="154"/>
      <c r="N92" s="154"/>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row>
    <row r="93" spans="1:40" ht="15.75" customHeight="1" x14ac:dyDescent="0.25">
      <c r="A93" s="617"/>
      <c r="B93" s="609">
        <v>1</v>
      </c>
      <c r="C93" s="609">
        <v>2</v>
      </c>
      <c r="D93" s="609">
        <v>3</v>
      </c>
      <c r="E93" s="609">
        <v>4</v>
      </c>
      <c r="F93" s="609">
        <v>5</v>
      </c>
      <c r="G93" s="609">
        <v>6</v>
      </c>
      <c r="H93" s="608" t="s">
        <v>918</v>
      </c>
      <c r="I93" s="154"/>
      <c r="J93" s="154"/>
      <c r="K93" s="154"/>
      <c r="L93" s="154"/>
      <c r="M93" s="154"/>
      <c r="N93" s="154"/>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row>
    <row r="94" spans="1:40" ht="15.75" customHeight="1" x14ac:dyDescent="0.25">
      <c r="A94" s="28" t="s">
        <v>141</v>
      </c>
      <c r="B94" s="639">
        <f>+'NEW...Tables 91-112'!L41</f>
        <v>12.626505336181836</v>
      </c>
      <c r="C94" s="639">
        <f>+'NEW...Tables 91-112'!L72</f>
        <v>17.919863597612956</v>
      </c>
      <c r="D94" s="639">
        <f>+'NEW...Tables 91-112'!L103</f>
        <v>25.303584296351652</v>
      </c>
      <c r="E94" s="639">
        <f>+'NEW...Tables 91-112'!L134</f>
        <v>36.717440075569726</v>
      </c>
      <c r="F94" s="639">
        <f>+'NEW...Tables 91-112'!L165</f>
        <v>76.231127679403542</v>
      </c>
      <c r="G94" s="639">
        <f>+'NEW...Tables 91-112'!L196</f>
        <v>0</v>
      </c>
      <c r="H94" s="118">
        <f>+'NEW...Tables 91-112'!L9</f>
        <v>25.373547561143081</v>
      </c>
      <c r="I94" s="635"/>
      <c r="J94" s="635"/>
      <c r="K94" s="635"/>
      <c r="L94" s="635"/>
      <c r="M94" s="635"/>
      <c r="N94" s="156"/>
    </row>
    <row r="95" spans="1:40" ht="15.75" customHeight="1" x14ac:dyDescent="0.25">
      <c r="A95" s="28" t="s">
        <v>142</v>
      </c>
      <c r="B95" s="613">
        <f>+'NEW...Tables 91-112'!L42</f>
        <v>19.559895867062128</v>
      </c>
      <c r="C95" s="613">
        <f>+'NEW...Tables 91-112'!L73</f>
        <v>0</v>
      </c>
      <c r="D95" s="613">
        <f>+'NEW...Tables 91-112'!L104</f>
        <v>46.863672274374942</v>
      </c>
      <c r="E95" s="613">
        <f>+'NEW...Tables 91-112'!L135</f>
        <v>41.908325537885879</v>
      </c>
      <c r="F95" s="613">
        <f>+'NEW...Tables 91-112'!L166</f>
        <v>55.602240896358545</v>
      </c>
      <c r="G95" s="613">
        <f>+'NEW...Tables 91-112'!L197</f>
        <v>22.977941176470587</v>
      </c>
      <c r="H95" s="119">
        <f>+'NEW...Tables 91-112'!L10</f>
        <v>32.317783305848266</v>
      </c>
      <c r="I95" s="635"/>
      <c r="J95" s="635"/>
      <c r="K95" s="635"/>
      <c r="L95" s="635"/>
      <c r="M95" s="635"/>
      <c r="N95" s="156"/>
    </row>
    <row r="96" spans="1:40" ht="15.75" customHeight="1" x14ac:dyDescent="0.25">
      <c r="A96" s="28" t="s">
        <v>143</v>
      </c>
      <c r="B96" s="613">
        <f>+'NEW...Tables 91-112'!L43</f>
        <v>5.5459612214459533</v>
      </c>
      <c r="C96" s="613">
        <f>+'NEW...Tables 91-112'!L74</f>
        <v>0</v>
      </c>
      <c r="D96" s="613">
        <f>+'NEW...Tables 91-112'!L105</f>
        <v>3.3722724267136877</v>
      </c>
      <c r="E96" s="613">
        <f>+'NEW...Tables 91-112'!L136</f>
        <v>0</v>
      </c>
      <c r="F96" s="613">
        <f>+'NEW...Tables 91-112'!L167</f>
        <v>0</v>
      </c>
      <c r="G96" s="613">
        <f>+'NEW...Tables 91-112'!L198</f>
        <v>0</v>
      </c>
      <c r="H96" s="119">
        <f>+'NEW...Tables 91-112'!L11</f>
        <v>5.3682446434685458</v>
      </c>
      <c r="I96" s="635"/>
      <c r="J96" s="635"/>
      <c r="K96" s="635"/>
      <c r="L96" s="635"/>
      <c r="M96" s="635"/>
      <c r="N96" s="156"/>
    </row>
    <row r="97" spans="1:40" ht="15.75" customHeight="1" x14ac:dyDescent="0.25">
      <c r="A97" s="28" t="s">
        <v>174</v>
      </c>
      <c r="B97" s="613">
        <f>+'NEW...Tables 91-112'!L44</f>
        <v>21.753675049089104</v>
      </c>
      <c r="C97" s="613">
        <f>+'NEW...Tables 91-112'!L75</f>
        <v>26.217011748723237</v>
      </c>
      <c r="D97" s="613">
        <f>+'NEW...Tables 91-112'!L106</f>
        <v>25.686027598509892</v>
      </c>
      <c r="E97" s="613">
        <f>+'NEW...Tables 91-112'!L137</f>
        <v>38.368633719639448</v>
      </c>
      <c r="F97" s="613">
        <f>+'NEW...Tables 91-112'!L168</f>
        <v>0</v>
      </c>
      <c r="G97" s="613">
        <f>+'NEW...Tables 91-112'!L199</f>
        <v>0</v>
      </c>
      <c r="H97" s="119">
        <f>+'NEW...Tables 91-112'!L12</f>
        <v>22.680613433344057</v>
      </c>
      <c r="I97" s="635"/>
      <c r="J97" s="635"/>
      <c r="K97" s="635"/>
      <c r="L97" s="635"/>
      <c r="M97" s="635"/>
      <c r="N97" s="156"/>
    </row>
    <row r="98" spans="1:40" ht="15.75" customHeight="1" x14ac:dyDescent="0.25">
      <c r="A98" s="28"/>
      <c r="B98" s="613"/>
      <c r="C98" s="613"/>
      <c r="D98" s="613"/>
      <c r="E98" s="613"/>
      <c r="F98" s="613"/>
      <c r="G98" s="613"/>
      <c r="H98" s="119"/>
      <c r="I98" s="635"/>
      <c r="J98" s="635"/>
      <c r="K98" s="635"/>
      <c r="L98" s="635"/>
      <c r="M98" s="635"/>
      <c r="N98" s="156"/>
    </row>
    <row r="99" spans="1:40" ht="15.75" customHeight="1" x14ac:dyDescent="0.25">
      <c r="A99" s="28" t="s">
        <v>145</v>
      </c>
      <c r="B99" s="613">
        <f>+'NEW...Tables 91-112'!L46</f>
        <v>0</v>
      </c>
      <c r="C99" s="613">
        <f>+'NEW...Tables 91-112'!L77</f>
        <v>0</v>
      </c>
      <c r="D99" s="613">
        <f>+'NEW...Tables 91-112'!L108</f>
        <v>0</v>
      </c>
      <c r="E99" s="613">
        <f>+'NEW...Tables 91-112'!L139</f>
        <v>0</v>
      </c>
      <c r="F99" s="613">
        <f>+'NEW...Tables 91-112'!L170</f>
        <v>0</v>
      </c>
      <c r="G99" s="613">
        <f>+'NEW...Tables 91-112'!L201</f>
        <v>0</v>
      </c>
      <c r="H99" s="119">
        <f>+'NEW...Tables 91-112'!L14</f>
        <v>0</v>
      </c>
      <c r="I99" s="635"/>
      <c r="J99" s="635"/>
      <c r="K99" s="635"/>
      <c r="L99" s="635"/>
      <c r="M99" s="635"/>
      <c r="N99" s="156"/>
    </row>
    <row r="100" spans="1:40" ht="15.75" customHeight="1" x14ac:dyDescent="0.25">
      <c r="A100" s="28" t="s">
        <v>146</v>
      </c>
      <c r="B100" s="613">
        <f>+'NEW...Tables 91-112'!L47</f>
        <v>17.394179894179896</v>
      </c>
      <c r="C100" s="613">
        <f>+'NEW...Tables 91-112'!L78</f>
        <v>0</v>
      </c>
      <c r="D100" s="613">
        <f>+'NEW...Tables 91-112'!L109</f>
        <v>52.009382894262004</v>
      </c>
      <c r="E100" s="613">
        <f>+'NEW...Tables 91-112'!L140</f>
        <v>26.569884449268482</v>
      </c>
      <c r="F100" s="613">
        <f>+'NEW...Tables 91-112'!L171</f>
        <v>0</v>
      </c>
      <c r="G100" s="613">
        <f>+'NEW...Tables 91-112'!L202</f>
        <v>0</v>
      </c>
      <c r="H100" s="119">
        <f>+'NEW...Tables 91-112'!L15</f>
        <v>35.803089554615752</v>
      </c>
      <c r="I100" s="635"/>
      <c r="J100" s="635"/>
      <c r="K100" s="635"/>
      <c r="L100" s="635"/>
      <c r="M100" s="635"/>
      <c r="N100" s="156"/>
    </row>
    <row r="101" spans="1:40" ht="15.75" customHeight="1" x14ac:dyDescent="0.25">
      <c r="A101" s="28" t="s">
        <v>147</v>
      </c>
      <c r="B101" s="613">
        <f>+'NEW...Tables 91-112'!L48</f>
        <v>0</v>
      </c>
      <c r="C101" s="613">
        <f>+'NEW...Tables 91-112'!L79</f>
        <v>0</v>
      </c>
      <c r="D101" s="613">
        <f>+'NEW...Tables 91-112'!L110</f>
        <v>0</v>
      </c>
      <c r="E101" s="613">
        <f>+'NEW...Tables 91-112'!L141</f>
        <v>0</v>
      </c>
      <c r="F101" s="613">
        <f>+'NEW...Tables 91-112'!L172</f>
        <v>0</v>
      </c>
      <c r="G101" s="613">
        <f>+'NEW...Tables 91-112'!L203</f>
        <v>0</v>
      </c>
      <c r="H101" s="119">
        <f>+'NEW...Tables 91-112'!L16</f>
        <v>0</v>
      </c>
      <c r="I101" s="635"/>
      <c r="J101" s="635"/>
      <c r="K101" s="635"/>
      <c r="L101" s="635"/>
      <c r="M101" s="635"/>
      <c r="N101" s="156"/>
    </row>
    <row r="102" spans="1:40" ht="15.75" customHeight="1" x14ac:dyDescent="0.25">
      <c r="A102" s="28" t="s">
        <v>177</v>
      </c>
      <c r="B102" s="613">
        <f>+'NEW...Tables 91-112'!L49</f>
        <v>4.834696724092435</v>
      </c>
      <c r="C102" s="613">
        <f>+'NEW...Tables 91-112'!L80</f>
        <v>17.833674839256695</v>
      </c>
      <c r="D102" s="613">
        <f>+'NEW...Tables 91-112'!L111</f>
        <v>16.550657385924207</v>
      </c>
      <c r="E102" s="613">
        <f>+'NEW...Tables 91-112'!L142</f>
        <v>20.977361464340724</v>
      </c>
      <c r="F102" s="613">
        <f>+'NEW...Tables 91-112'!L173</f>
        <v>7.6935355147645659</v>
      </c>
      <c r="G102" s="613">
        <f>+'NEW...Tables 91-112'!L204</f>
        <v>0</v>
      </c>
      <c r="H102" s="119">
        <f>+'NEW...Tables 91-112'!L17</f>
        <v>40.303010210847368</v>
      </c>
      <c r="I102" s="635"/>
      <c r="J102" s="635"/>
      <c r="K102" s="635"/>
      <c r="L102" s="635"/>
      <c r="M102" s="635"/>
      <c r="N102" s="156"/>
    </row>
    <row r="103" spans="1:40" ht="15.75" customHeight="1" x14ac:dyDescent="0.25">
      <c r="A103" s="28"/>
      <c r="B103" s="613"/>
      <c r="C103" s="613"/>
      <c r="D103" s="613"/>
      <c r="E103" s="613"/>
      <c r="F103" s="613"/>
      <c r="G103" s="613"/>
      <c r="H103" s="119"/>
      <c r="I103" s="635"/>
      <c r="J103" s="635"/>
      <c r="K103" s="635"/>
      <c r="L103" s="635"/>
      <c r="M103" s="635"/>
      <c r="N103" s="156"/>
    </row>
    <row r="104" spans="1:40" ht="15.75" customHeight="1" x14ac:dyDescent="0.25">
      <c r="A104" s="28" t="s">
        <v>148</v>
      </c>
      <c r="B104" s="613">
        <f>+'NEW...Tables 91-112'!L51</f>
        <v>25.937041710719281</v>
      </c>
      <c r="C104" s="613">
        <f>+'NEW...Tables 91-112'!L82</f>
        <v>11.387985773200375</v>
      </c>
      <c r="D104" s="613">
        <f>+'NEW...Tables 91-112'!L113</f>
        <v>0</v>
      </c>
      <c r="E104" s="613">
        <f>+'NEW...Tables 91-112'!L144</f>
        <v>48.889866872043129</v>
      </c>
      <c r="F104" s="613">
        <f>+'NEW...Tables 91-112'!L175</f>
        <v>29.327170005136104</v>
      </c>
      <c r="G104" s="613">
        <f>+'NEW...Tables 91-112'!L206</f>
        <v>0</v>
      </c>
      <c r="H104" s="119">
        <f>+'NEW...Tables 91-112'!L19</f>
        <v>24.863617532842138</v>
      </c>
      <c r="I104" s="635"/>
      <c r="J104" s="635"/>
      <c r="K104" s="635"/>
      <c r="L104" s="635"/>
      <c r="M104" s="635"/>
      <c r="N104" s="156"/>
    </row>
    <row r="105" spans="1:40" ht="15.75" customHeight="1" x14ac:dyDescent="0.25">
      <c r="A105" s="28" t="s">
        <v>149</v>
      </c>
      <c r="B105" s="613">
        <f>+'NEW...Tables 91-112'!L52</f>
        <v>11.99355884009498</v>
      </c>
      <c r="C105" s="613">
        <f>+'NEW...Tables 91-112'!L83</f>
        <v>27.944149685704133</v>
      </c>
      <c r="D105" s="613">
        <f>+'NEW...Tables 91-112'!L114</f>
        <v>22.92553694767717</v>
      </c>
      <c r="E105" s="613">
        <f>+'NEW...Tables 91-112'!L145</f>
        <v>23.689764333450579</v>
      </c>
      <c r="F105" s="613">
        <f>+'NEW...Tables 91-112'!L176</f>
        <v>26.480104940970705</v>
      </c>
      <c r="G105" s="613">
        <f>+'NEW...Tables 91-112'!L207</f>
        <v>35.180162727624953</v>
      </c>
      <c r="H105" s="119">
        <f>+'NEW...Tables 91-112'!L20</f>
        <v>18.37573675869503</v>
      </c>
      <c r="I105" s="635"/>
      <c r="J105" s="635"/>
      <c r="K105" s="635"/>
      <c r="L105" s="635"/>
      <c r="M105" s="635"/>
      <c r="N105" s="156"/>
    </row>
    <row r="106" spans="1:40" ht="15.75" customHeight="1" x14ac:dyDescent="0.25">
      <c r="A106" s="28" t="s">
        <v>150</v>
      </c>
      <c r="B106" s="613">
        <f>+'NEW...Tables 91-112'!L53</f>
        <v>21.343573892450628</v>
      </c>
      <c r="C106" s="613">
        <f>+'NEW...Tables 91-112'!L84</f>
        <v>0</v>
      </c>
      <c r="D106" s="613">
        <f>+'NEW...Tables 91-112'!L115</f>
        <v>13.046181908631125</v>
      </c>
      <c r="E106" s="613">
        <f>+'NEW...Tables 91-112'!L146</f>
        <v>45.502126267582589</v>
      </c>
      <c r="F106" s="613">
        <f>+'NEW...Tables 91-112'!L177</f>
        <v>45.99995743503522</v>
      </c>
      <c r="G106" s="613">
        <f>+'NEW...Tables 91-112'!L208</f>
        <v>0</v>
      </c>
      <c r="H106" s="119">
        <f>+'NEW...Tables 91-112'!L21</f>
        <v>24.68013170397543</v>
      </c>
      <c r="I106" s="635"/>
      <c r="J106" s="635"/>
      <c r="K106" s="635"/>
      <c r="L106" s="635"/>
      <c r="M106" s="635"/>
      <c r="N106" s="156"/>
    </row>
    <row r="107" spans="1:40" ht="15.75" customHeight="1" x14ac:dyDescent="0.25">
      <c r="A107" s="28" t="s">
        <v>151</v>
      </c>
      <c r="B107" s="613">
        <f>+'NEW...Tables 91-112'!L54</f>
        <v>18.893906247564214</v>
      </c>
      <c r="C107" s="613">
        <f>+'NEW...Tables 91-112'!L85</f>
        <v>0</v>
      </c>
      <c r="D107" s="613">
        <f>+'NEW...Tables 91-112'!L116</f>
        <v>10.570600008168933</v>
      </c>
      <c r="E107" s="613">
        <f>+'NEW...Tables 91-112'!L147</f>
        <v>9.8328910564440939</v>
      </c>
      <c r="F107" s="613">
        <f>+'NEW...Tables 91-112'!L178</f>
        <v>14.927880675299132</v>
      </c>
      <c r="G107" s="613">
        <f>+'NEW...Tables 91-112'!L209</f>
        <v>37.910386124303116</v>
      </c>
      <c r="H107" s="119">
        <f>+'NEW...Tables 91-112'!L22</f>
        <v>17.290509716090064</v>
      </c>
      <c r="I107" s="635"/>
      <c r="J107" s="635"/>
      <c r="K107" s="635"/>
      <c r="L107" s="635"/>
      <c r="M107" s="635"/>
      <c r="N107" s="156"/>
    </row>
    <row r="108" spans="1:40" ht="15.75" customHeight="1" x14ac:dyDescent="0.25">
      <c r="A108" s="28"/>
      <c r="B108" s="613"/>
      <c r="C108" s="613"/>
      <c r="D108" s="613"/>
      <c r="E108" s="613"/>
      <c r="F108" s="613"/>
      <c r="G108" s="613"/>
      <c r="H108" s="119"/>
      <c r="I108" s="635"/>
      <c r="J108" s="635"/>
      <c r="K108" s="635"/>
      <c r="L108" s="635"/>
      <c r="M108" s="635"/>
      <c r="N108" s="156"/>
    </row>
    <row r="109" spans="1:40" ht="15.75" customHeight="1" x14ac:dyDescent="0.25">
      <c r="A109" s="28" t="s">
        <v>152</v>
      </c>
      <c r="B109" s="613">
        <f>+'NEW...Tables 91-112'!L56</f>
        <v>53.01232081839423</v>
      </c>
      <c r="C109" s="613">
        <f>+'NEW...Tables 91-112'!L87</f>
        <v>47.69964078474716</v>
      </c>
      <c r="D109" s="613">
        <f>+'NEW...Tables 91-112'!L118</f>
        <v>58.363602695041521</v>
      </c>
      <c r="E109" s="613">
        <f>+'NEW...Tables 91-112'!L149</f>
        <v>0</v>
      </c>
      <c r="F109" s="613">
        <f>+'NEW...Tables 91-112'!L180</f>
        <v>78.542843691148775</v>
      </c>
      <c r="G109" s="613">
        <f>+'NEW...Tables 91-112'!L211</f>
        <v>0</v>
      </c>
      <c r="H109" s="119">
        <f>+'NEW...Tables 91-112'!L24</f>
        <v>55.045299399721316</v>
      </c>
      <c r="I109" s="635"/>
      <c r="J109" s="635"/>
      <c r="K109" s="635"/>
      <c r="L109" s="635"/>
      <c r="M109" s="635"/>
      <c r="N109" s="156"/>
    </row>
    <row r="110" spans="1:40" ht="15.75" customHeight="1" x14ac:dyDescent="0.25">
      <c r="A110" s="28" t="s">
        <v>153</v>
      </c>
      <c r="B110" s="613">
        <f>+'NEW...Tables 91-112'!L57</f>
        <v>12.455730730843747</v>
      </c>
      <c r="C110" s="613">
        <f>+'NEW...Tables 91-112'!L88</f>
        <v>29.537921964050856</v>
      </c>
      <c r="D110" s="613">
        <f>+'NEW...Tables 91-112'!L119</f>
        <v>41.10304296798401</v>
      </c>
      <c r="E110" s="613">
        <f>+'NEW...Tables 91-112'!L150</f>
        <v>64.025734066472253</v>
      </c>
      <c r="F110" s="613">
        <f>+'NEW...Tables 91-112'!L181</f>
        <v>64.089975899312677</v>
      </c>
      <c r="G110" s="613">
        <f>+'NEW...Tables 91-112'!L212</f>
        <v>6.854838709677419</v>
      </c>
      <c r="H110" s="119">
        <f>+'NEW...Tables 91-112'!L25</f>
        <v>25.360567134520071</v>
      </c>
      <c r="I110" s="635"/>
      <c r="J110" s="635"/>
      <c r="K110" s="635"/>
      <c r="L110" s="635"/>
      <c r="M110" s="635"/>
      <c r="N110" s="156"/>
    </row>
    <row r="111" spans="1:40" s="25" customFormat="1" ht="15.75" customHeight="1" x14ac:dyDescent="0.25">
      <c r="A111" s="28" t="s">
        <v>154</v>
      </c>
      <c r="B111" s="613">
        <f>+'NEW...Tables 91-112'!L58</f>
        <v>9.4706547678970097</v>
      </c>
      <c r="C111" s="613">
        <f>+'NEW...Tables 91-112'!L89</f>
        <v>4.5971973339865153</v>
      </c>
      <c r="D111" s="613">
        <f>+'NEW...Tables 91-112'!L120</f>
        <v>8.7582962278417202</v>
      </c>
      <c r="E111" s="613">
        <f>+'NEW...Tables 91-112'!L151</f>
        <v>13.418787863030083</v>
      </c>
      <c r="F111" s="613">
        <f>+'NEW...Tables 91-112'!L182</f>
        <v>11.032899770466717</v>
      </c>
      <c r="G111" s="613">
        <f>+'NEW...Tables 91-112'!L213</f>
        <v>0</v>
      </c>
      <c r="H111" s="119">
        <f>+'NEW...Tables 91-112'!L26</f>
        <v>8.5581835682785012</v>
      </c>
      <c r="I111" s="635"/>
      <c r="J111" s="635"/>
      <c r="K111" s="635"/>
      <c r="L111" s="635"/>
      <c r="M111" s="635"/>
      <c r="N111" s="156"/>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row>
    <row r="112" spans="1:40" s="25" customFormat="1" ht="13.5" customHeight="1" x14ac:dyDescent="0.25">
      <c r="A112" s="244" t="s">
        <v>155</v>
      </c>
      <c r="B112" s="613">
        <f>+'NEW...Tables 91-112'!L59</f>
        <v>27.203134472867443</v>
      </c>
      <c r="C112" s="613">
        <f>+'NEW...Tables 91-112'!L90</f>
        <v>0</v>
      </c>
      <c r="D112" s="613">
        <f>+'NEW...Tables 91-112'!L121</f>
        <v>30.908432172686016</v>
      </c>
      <c r="E112" s="613">
        <f>+'NEW...Tables 91-112'!L152</f>
        <v>0</v>
      </c>
      <c r="F112" s="613">
        <f>+'NEW...Tables 91-112'!L183</f>
        <v>47.445486147687774</v>
      </c>
      <c r="G112" s="613">
        <f>+'NEW...Tables 91-112'!L214</f>
        <v>35.842590404159772</v>
      </c>
      <c r="H112" s="119">
        <f>+'NEW...Tables 91-112'!L27</f>
        <v>29.743518876789562</v>
      </c>
      <c r="I112" s="635"/>
      <c r="J112" s="635"/>
      <c r="K112" s="635"/>
      <c r="L112" s="635"/>
      <c r="M112" s="635"/>
      <c r="N112" s="156"/>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row>
    <row r="113" spans="1:40" s="25" customFormat="1" ht="37.5" customHeight="1" x14ac:dyDescent="0.2">
      <c r="A113" s="665" t="s">
        <v>916</v>
      </c>
      <c r="B113" s="665"/>
      <c r="C113" s="665"/>
      <c r="D113" s="665"/>
      <c r="E113" s="665"/>
      <c r="F113" s="665"/>
      <c r="G113" s="665"/>
      <c r="H113" s="665"/>
      <c r="I113" s="640"/>
      <c r="J113" s="640"/>
      <c r="K113" s="640"/>
      <c r="L113" s="640"/>
      <c r="M113" s="640"/>
      <c r="N113" s="26"/>
    </row>
    <row r="114" spans="1:40" ht="27" customHeight="1" x14ac:dyDescent="0.25">
      <c r="A114" s="666" t="s">
        <v>919</v>
      </c>
      <c r="B114" s="667"/>
      <c r="C114" s="667"/>
      <c r="D114" s="667"/>
      <c r="E114" s="667"/>
      <c r="F114" s="667"/>
      <c r="G114" s="667"/>
      <c r="H114" s="667"/>
      <c r="I114" s="26"/>
      <c r="J114" s="26"/>
      <c r="K114" s="26"/>
      <c r="L114" s="26"/>
      <c r="M114" s="26"/>
      <c r="N114" s="26"/>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row>
    <row r="115" spans="1:40" ht="9.75" customHeight="1" x14ac:dyDescent="0.25">
      <c r="A115" s="610"/>
      <c r="B115" s="149"/>
      <c r="C115" s="149"/>
      <c r="D115" s="149"/>
      <c r="E115" s="149"/>
      <c r="F115" s="149"/>
      <c r="G115" s="149"/>
      <c r="H115" s="149"/>
      <c r="I115" s="149"/>
      <c r="J115" s="149"/>
      <c r="K115" s="149"/>
      <c r="L115" s="149"/>
      <c r="M115" s="149"/>
      <c r="N115" s="149"/>
      <c r="O115" s="149"/>
      <c r="P115" s="149"/>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row>
    <row r="116" spans="1:40" x14ac:dyDescent="0.25">
      <c r="A116" s="25"/>
      <c r="B116" s="25"/>
      <c r="C116" s="25"/>
      <c r="D116" s="25"/>
      <c r="E116" s="25"/>
      <c r="F116" s="25"/>
      <c r="G116" s="25"/>
      <c r="H116" s="27" t="s">
        <v>914</v>
      </c>
      <c r="I116" s="26"/>
      <c r="J116" s="26"/>
      <c r="K116" s="26"/>
      <c r="L116" s="26"/>
      <c r="M116" s="26"/>
      <c r="N116" s="26"/>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row>
  </sheetData>
  <mergeCells count="10">
    <mergeCell ref="A113:H113"/>
    <mergeCell ref="A114:H114"/>
    <mergeCell ref="B5:H5"/>
    <mergeCell ref="I5:M5"/>
    <mergeCell ref="A29:P29"/>
    <mergeCell ref="A31:P31"/>
    <mergeCell ref="A55:P55"/>
    <mergeCell ref="A26:P26"/>
    <mergeCell ref="A54:P54"/>
    <mergeCell ref="A85:H85"/>
  </mergeCells>
  <pageMargins left="0.7" right="0.7" top="0.75" bottom="0.75" header="0.3" footer="0.3"/>
  <pageSetup firstPageNumber="95" orientation="landscape" useFirstPageNumber="1" r:id="rId1"/>
  <headerFooter>
    <oddHeader>&amp;R&amp;"Arial,Regular"&amp;8SREB-State Data Exchange</oddHeader>
    <oddFooter>&amp;C&amp;P</oddFooter>
  </headerFooter>
  <rowBreaks count="3" manualBreakCount="3">
    <brk id="28" max="15" man="1"/>
    <brk id="57" max="15" man="1"/>
    <brk id="86" max="1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P113"/>
  <sheetViews>
    <sheetView showZeros="0" view="pageBreakPreview" zoomScaleNormal="100" zoomScaleSheetLayoutView="100" workbookViewId="0"/>
  </sheetViews>
  <sheetFormatPr defaultRowHeight="15" x14ac:dyDescent="0.25"/>
  <cols>
    <col min="1" max="1" width="12.7109375" style="15" customWidth="1"/>
    <col min="2" max="8" width="7.28515625" style="15" customWidth="1"/>
    <col min="9" max="9" width="7.28515625" style="148" customWidth="1"/>
    <col min="10" max="12" width="7.28515625" style="15" customWidth="1"/>
    <col min="13" max="13" width="7.28515625" style="123" customWidth="1"/>
    <col min="14" max="16" width="7.28515625" style="15" customWidth="1"/>
    <col min="17" max="16384" width="9.140625" style="15"/>
  </cols>
  <sheetData>
    <row r="1" spans="1:16" ht="18" x14ac:dyDescent="0.25">
      <c r="A1" s="113" t="s">
        <v>138</v>
      </c>
      <c r="B1" s="34"/>
      <c r="C1" s="34"/>
      <c r="D1" s="34"/>
      <c r="E1" s="34"/>
      <c r="F1" s="34"/>
      <c r="G1" s="17"/>
      <c r="H1" s="17"/>
      <c r="I1" s="146"/>
      <c r="J1" s="17"/>
      <c r="K1" s="17"/>
      <c r="L1" s="17"/>
      <c r="M1" s="641"/>
      <c r="N1" s="17"/>
      <c r="O1" s="17"/>
      <c r="P1" s="17"/>
    </row>
    <row r="2" spans="1:16" s="28" customFormat="1" ht="12.75" x14ac:dyDescent="0.2">
      <c r="A2" s="18"/>
      <c r="B2" s="19"/>
      <c r="C2" s="19"/>
      <c r="D2" s="19"/>
      <c r="E2" s="19"/>
      <c r="F2" s="19"/>
      <c r="G2" s="19"/>
      <c r="H2" s="19"/>
      <c r="I2" s="19"/>
      <c r="J2" s="19"/>
      <c r="K2" s="19"/>
      <c r="L2" s="19"/>
      <c r="M2" s="36"/>
      <c r="N2" s="19"/>
      <c r="O2" s="19"/>
      <c r="P2" s="19"/>
    </row>
    <row r="3" spans="1:16" ht="15.75" x14ac:dyDescent="0.25">
      <c r="A3" s="642" t="s">
        <v>255</v>
      </c>
      <c r="B3" s="19"/>
      <c r="C3" s="19"/>
      <c r="D3" s="19"/>
      <c r="E3" s="19"/>
      <c r="F3" s="19"/>
      <c r="G3" s="17"/>
      <c r="H3" s="17"/>
      <c r="I3" s="146"/>
      <c r="J3" s="17"/>
      <c r="K3" s="17"/>
      <c r="L3" s="17"/>
      <c r="M3" s="641"/>
      <c r="N3" s="17"/>
      <c r="O3" s="17"/>
      <c r="P3" s="17"/>
    </row>
    <row r="4" spans="1:16" x14ac:dyDescent="0.25">
      <c r="A4" s="643"/>
      <c r="B4" s="20"/>
      <c r="C4" s="20"/>
      <c r="D4" s="20"/>
      <c r="E4" s="20"/>
      <c r="F4" s="20"/>
      <c r="G4" s="20"/>
      <c r="H4" s="20"/>
      <c r="I4" s="147"/>
      <c r="J4" s="20"/>
      <c r="K4" s="20"/>
      <c r="L4" s="20"/>
    </row>
    <row r="5" spans="1:16" s="31" customFormat="1" ht="18" customHeight="1" x14ac:dyDescent="0.2">
      <c r="A5" s="644"/>
      <c r="B5" s="676" t="s">
        <v>55</v>
      </c>
      <c r="C5" s="676"/>
      <c r="D5" s="676"/>
      <c r="E5" s="676"/>
      <c r="F5" s="676"/>
      <c r="G5" s="676"/>
      <c r="H5" s="677"/>
      <c r="I5" s="678" t="s">
        <v>56</v>
      </c>
      <c r="J5" s="676"/>
      <c r="K5" s="676"/>
      <c r="L5" s="676"/>
      <c r="M5" s="676"/>
      <c r="N5" s="645" t="s">
        <v>57</v>
      </c>
      <c r="O5" s="21"/>
      <c r="P5" s="21"/>
    </row>
    <row r="6" spans="1:16" s="32" customFormat="1" ht="25.5" x14ac:dyDescent="0.2">
      <c r="A6" s="646"/>
      <c r="B6" s="647">
        <v>1</v>
      </c>
      <c r="C6" s="647">
        <v>2</v>
      </c>
      <c r="D6" s="647">
        <v>3</v>
      </c>
      <c r="E6" s="647">
        <v>4</v>
      </c>
      <c r="F6" s="647">
        <v>5</v>
      </c>
      <c r="G6" s="647">
        <v>6</v>
      </c>
      <c r="H6" s="22" t="s">
        <v>928</v>
      </c>
      <c r="I6" s="648" t="s">
        <v>140</v>
      </c>
      <c r="J6" s="647">
        <v>1</v>
      </c>
      <c r="K6" s="647">
        <v>2</v>
      </c>
      <c r="L6" s="647">
        <v>3</v>
      </c>
      <c r="M6" s="23" t="s">
        <v>139</v>
      </c>
      <c r="N6" s="23">
        <v>1</v>
      </c>
      <c r="O6" s="647">
        <v>2</v>
      </c>
      <c r="P6" s="23" t="s">
        <v>139</v>
      </c>
    </row>
    <row r="7" spans="1:16" ht="15.75" customHeight="1" x14ac:dyDescent="0.25">
      <c r="A7" s="28" t="s">
        <v>141</v>
      </c>
      <c r="B7" s="122">
        <f>+OLD...Tabs!B41+OLD...Tabs!C41</f>
        <v>96.058959215267322</v>
      </c>
      <c r="C7" s="122">
        <f>+OLD...Tabs!B72+OLD...Tabs!C72</f>
        <v>92.790838714280625</v>
      </c>
      <c r="D7" s="122">
        <f>+OLD...Tabs!B103+OLD...Tabs!C103</f>
        <v>79.49025858313864</v>
      </c>
      <c r="E7" s="122">
        <f>+OLD...Tabs!B134+OLD...Tabs!C134</f>
        <v>90.060868820866133</v>
      </c>
      <c r="F7" s="122">
        <f>+OLD...Tabs!B165+OLD...Tabs!C165</f>
        <v>95.393407932283822</v>
      </c>
      <c r="G7" s="122">
        <f>+OLD...Tabs!B196+OLD...Tabs!C196</f>
        <v>28.639938391169402</v>
      </c>
      <c r="H7" s="115">
        <f>+OLD...Tabs!B9+OLD...Tabs!C9</f>
        <v>88.238726370338583</v>
      </c>
      <c r="I7" s="119">
        <f>+OLD...Tabs!B258+OLD...Tabs!C258</f>
        <v>0</v>
      </c>
      <c r="J7" s="122">
        <f>+OLD...Tabs!B289+OLD...Tabs!C289</f>
        <v>79.646310356360232</v>
      </c>
      <c r="K7" s="122">
        <f>+OLD...Tabs!B320+OLD...Tabs!C320</f>
        <v>85.135180949748204</v>
      </c>
      <c r="L7" s="122">
        <f>+OLD...Tabs!B351+OLD...Tabs!C351</f>
        <v>77.23063883886006</v>
      </c>
      <c r="M7" s="119">
        <f>+OLD...Tabs!B227+OLD...Tabs!C227</f>
        <v>82.165532134053379</v>
      </c>
      <c r="N7" s="619">
        <f>+OLD...Tabs!B412+OLD...Tabs!C412</f>
        <v>93.127550402003962</v>
      </c>
      <c r="O7" s="63">
        <f>+OLD...Tabs!B442+OLD...Tabs!C442</f>
        <v>87.863074741746004</v>
      </c>
      <c r="P7" s="118">
        <f>+OLD...Tabs!B382+OLD...Tabs!C382</f>
        <v>89.972239533170921</v>
      </c>
    </row>
    <row r="8" spans="1:16" ht="15.75" customHeight="1" x14ac:dyDescent="0.25">
      <c r="A8" s="28" t="s">
        <v>142</v>
      </c>
      <c r="B8" s="122">
        <f>+OLD...Tabs!B42+OLD...Tabs!C42</f>
        <v>95.66413700125311</v>
      </c>
      <c r="C8" s="122">
        <f>+OLD...Tabs!B73+OLD...Tabs!C73</f>
        <v>0</v>
      </c>
      <c r="D8" s="122">
        <f>+OLD...Tabs!B104+OLD...Tabs!C104</f>
        <v>83.343013611833115</v>
      </c>
      <c r="E8" s="122">
        <f>+OLD...Tabs!B135+OLD...Tabs!C135</f>
        <v>91.076453710893404</v>
      </c>
      <c r="F8" s="122">
        <f>+OLD...Tabs!B166+OLD...Tabs!C166</f>
        <v>83.579622788255875</v>
      </c>
      <c r="G8" s="122">
        <f>+OLD...Tabs!B197+OLD...Tabs!C197</f>
        <v>88.440750070368082</v>
      </c>
      <c r="H8" s="116">
        <f>+OLD...Tabs!B10+OLD...Tabs!C10</f>
        <v>87.864381551890872</v>
      </c>
      <c r="I8" s="119">
        <f>+OLD...Tabs!B259+OLD...Tabs!C259</f>
        <v>0</v>
      </c>
      <c r="J8" s="122">
        <f>+OLD...Tabs!B290+OLD...Tabs!C290</f>
        <v>72.149702577660264</v>
      </c>
      <c r="K8" s="122">
        <f>+OLD...Tabs!B321+OLD...Tabs!C321</f>
        <v>82.105072182049099</v>
      </c>
      <c r="L8" s="122">
        <f>+OLD...Tabs!B352+OLD...Tabs!C352</f>
        <v>81.016141974630116</v>
      </c>
      <c r="M8" s="119">
        <f>+OLD...Tabs!B228+OLD...Tabs!C228</f>
        <v>78.322770229075743</v>
      </c>
      <c r="N8" s="619">
        <f>+OLD...Tabs!B413+OLD...Tabs!C413</f>
        <v>0</v>
      </c>
      <c r="O8" s="63">
        <f>+OLD...Tabs!B443+OLD...Tabs!C443</f>
        <v>0</v>
      </c>
      <c r="P8" s="119">
        <f>+OLD...Tabs!B383+OLD...Tabs!C383</f>
        <v>0</v>
      </c>
    </row>
    <row r="9" spans="1:16" ht="15.75" customHeight="1" x14ac:dyDescent="0.25">
      <c r="A9" s="28" t="s">
        <v>143</v>
      </c>
      <c r="B9" s="122">
        <f>+OLD...Tabs!B43+OLD...Tabs!C43</f>
        <v>96.971455425143503</v>
      </c>
      <c r="C9" s="122">
        <f>+OLD...Tabs!B74+OLD...Tabs!C74</f>
        <v>0</v>
      </c>
      <c r="D9" s="122">
        <f>+OLD...Tabs!B105+OLD...Tabs!C105</f>
        <v>98.361074816792595</v>
      </c>
      <c r="E9" s="122">
        <f>+OLD...Tabs!B136+OLD...Tabs!C136</f>
        <v>0</v>
      </c>
      <c r="F9" s="122">
        <f>+OLD...Tabs!B167+OLD...Tabs!C167</f>
        <v>0</v>
      </c>
      <c r="G9" s="122">
        <f>+OLD...Tabs!B198+OLD...Tabs!C198</f>
        <v>0</v>
      </c>
      <c r="H9" s="116">
        <f>+OLD...Tabs!B11+OLD...Tabs!C11</f>
        <v>97.203972643322345</v>
      </c>
      <c r="I9" s="119">
        <f>+OLD...Tabs!B260+OLD...Tabs!C260</f>
        <v>0</v>
      </c>
      <c r="J9" s="122">
        <f>+OLD...Tabs!B291+OLD...Tabs!C291</f>
        <v>86.705081393579803</v>
      </c>
      <c r="K9" s="122">
        <f>+OLD...Tabs!B322+OLD...Tabs!C322</f>
        <v>80.962476505862341</v>
      </c>
      <c r="L9" s="122">
        <f>+OLD...Tabs!B353+OLD...Tabs!C353</f>
        <v>0</v>
      </c>
      <c r="M9" s="119">
        <f>+OLD...Tabs!B229+OLD...Tabs!C229</f>
        <v>83.65446333055985</v>
      </c>
      <c r="N9" s="619">
        <f>+OLD...Tabs!B414+OLD...Tabs!C414</f>
        <v>0</v>
      </c>
      <c r="O9" s="63">
        <f>+OLD...Tabs!B444+OLD...Tabs!C444</f>
        <v>0</v>
      </c>
      <c r="P9" s="119">
        <f>+OLD...Tabs!B384+OLD...Tabs!C384</f>
        <v>0</v>
      </c>
    </row>
    <row r="10" spans="1:16" ht="15.75" customHeight="1" x14ac:dyDescent="0.25">
      <c r="A10" s="28" t="s">
        <v>144</v>
      </c>
      <c r="B10" s="122">
        <f>+OLD...Tabs!B44+OLD...Tabs!C44</f>
        <v>79.639576987204848</v>
      </c>
      <c r="C10" s="122">
        <f>+OLD...Tabs!B75+OLD...Tabs!C75</f>
        <v>92.534481062305204</v>
      </c>
      <c r="D10" s="122">
        <f>+OLD...Tabs!B106+OLD...Tabs!C106</f>
        <v>85.174639874264486</v>
      </c>
      <c r="E10" s="122">
        <f>+OLD...Tabs!B137+OLD...Tabs!C137</f>
        <v>82.619739883491647</v>
      </c>
      <c r="F10" s="122">
        <f>+OLD...Tabs!B168+OLD...Tabs!C168</f>
        <v>0</v>
      </c>
      <c r="G10" s="122">
        <f>+OLD...Tabs!B199+OLD...Tabs!C199</f>
        <v>100</v>
      </c>
      <c r="H10" s="116">
        <f>+OLD...Tabs!B12+OLD...Tabs!C12</f>
        <v>81.657663114327534</v>
      </c>
      <c r="I10" s="119">
        <f>+OLD...Tabs!B261+OLD...Tabs!C261</f>
        <v>67.976251581387018</v>
      </c>
      <c r="J10" s="122">
        <f>+OLD...Tabs!B292+OLD...Tabs!C292</f>
        <v>73.528957390840645</v>
      </c>
      <c r="K10" s="122">
        <f>+OLD...Tabs!B323+OLD...Tabs!C323</f>
        <v>67.230411331164817</v>
      </c>
      <c r="L10" s="122">
        <f>+OLD...Tabs!B354+OLD...Tabs!C354</f>
        <v>42.423961079956925</v>
      </c>
      <c r="M10" s="119">
        <f>+OLD...Tabs!B230+OLD...Tabs!C230</f>
        <v>70.812463756331482</v>
      </c>
      <c r="N10" s="619">
        <f>+OLD...Tabs!B415+OLD...Tabs!C415</f>
        <v>0</v>
      </c>
      <c r="O10" s="63">
        <f>+OLD...Tabs!B445+OLD...Tabs!C445</f>
        <v>0</v>
      </c>
      <c r="P10" s="119">
        <f>+OLD...Tabs!B385+OLD...Tabs!C385</f>
        <v>0</v>
      </c>
    </row>
    <row r="11" spans="1:16" ht="15.75" customHeight="1" x14ac:dyDescent="0.25">
      <c r="A11" s="28"/>
      <c r="B11" s="122"/>
      <c r="C11" s="122"/>
      <c r="D11" s="122"/>
      <c r="E11" s="122"/>
      <c r="F11" s="122"/>
      <c r="G11" s="122"/>
      <c r="H11" s="116"/>
      <c r="I11" s="119"/>
      <c r="J11" s="122"/>
      <c r="K11" s="122"/>
      <c r="L11" s="122"/>
      <c r="M11" s="119"/>
      <c r="N11" s="619"/>
      <c r="O11" s="63"/>
      <c r="P11" s="119"/>
    </row>
    <row r="12" spans="1:16" ht="15.75" customHeight="1" x14ac:dyDescent="0.25">
      <c r="A12" s="28" t="s">
        <v>145</v>
      </c>
      <c r="B12" s="122">
        <f>+OLD...Tabs!B46+OLD...Tabs!C46</f>
        <v>0</v>
      </c>
      <c r="C12" s="122">
        <f>+OLD...Tabs!B77+OLD...Tabs!C77</f>
        <v>0</v>
      </c>
      <c r="D12" s="122">
        <f>+OLD...Tabs!B108+OLD...Tabs!C108</f>
        <v>0</v>
      </c>
      <c r="E12" s="122">
        <f>+OLD...Tabs!B139+OLD...Tabs!C139</f>
        <v>0</v>
      </c>
      <c r="F12" s="122">
        <f>+OLD...Tabs!B170+OLD...Tabs!C170</f>
        <v>0</v>
      </c>
      <c r="G12" s="122">
        <f>+OLD...Tabs!B201+OLD...Tabs!C201</f>
        <v>0</v>
      </c>
      <c r="H12" s="116">
        <f>+OLD...Tabs!B14+OLD...Tabs!C14</f>
        <v>0</v>
      </c>
      <c r="I12" s="119">
        <f>+OLD...Tabs!B263+OLD...Tabs!C263</f>
        <v>0</v>
      </c>
      <c r="J12" s="122">
        <f>+OLD...Tabs!B294+OLD...Tabs!C294</f>
        <v>0</v>
      </c>
      <c r="K12" s="122">
        <f>+OLD...Tabs!B325+OLD...Tabs!C325</f>
        <v>0</v>
      </c>
      <c r="L12" s="122">
        <f>+OLD...Tabs!B356+OLD...Tabs!C356</f>
        <v>0</v>
      </c>
      <c r="M12" s="119">
        <f>+OLD...Tabs!B232+OLD...Tabs!C232</f>
        <v>0</v>
      </c>
      <c r="N12" s="619">
        <f>+OLD...Tabs!B417+OLD...Tabs!C417</f>
        <v>77.544665630776962</v>
      </c>
      <c r="O12" s="63">
        <f>+OLD...Tabs!B447+OLD...Tabs!C447</f>
        <v>0</v>
      </c>
      <c r="P12" s="119">
        <f>+OLD...Tabs!B387+OLD...Tabs!C387</f>
        <v>77.544665630776962</v>
      </c>
    </row>
    <row r="13" spans="1:16" ht="15.75" customHeight="1" x14ac:dyDescent="0.25">
      <c r="A13" s="28" t="s">
        <v>146</v>
      </c>
      <c r="B13" s="122">
        <f>+OLD...Tabs!B47+OLD...Tabs!C47</f>
        <v>94.7970221627359</v>
      </c>
      <c r="C13" s="122">
        <f>+OLD...Tabs!B78+OLD...Tabs!C78</f>
        <v>0</v>
      </c>
      <c r="D13" s="122">
        <f>+OLD...Tabs!B109+OLD...Tabs!C109</f>
        <v>84.969794502389291</v>
      </c>
      <c r="E13" s="122">
        <f>+OLD...Tabs!B140+OLD...Tabs!C140</f>
        <v>87.169887076537009</v>
      </c>
      <c r="F13" s="122">
        <f>+OLD...Tabs!B171+OLD...Tabs!C171</f>
        <v>0</v>
      </c>
      <c r="G13" s="122">
        <f>+OLD...Tabs!B202+OLD...Tabs!C202</f>
        <v>0</v>
      </c>
      <c r="H13" s="116">
        <f>+OLD...Tabs!B15+OLD...Tabs!C15</f>
        <v>88.926205413561547</v>
      </c>
      <c r="I13" s="119">
        <f>+OLD...Tabs!B264+OLD...Tabs!C264</f>
        <v>0</v>
      </c>
      <c r="J13" s="122">
        <f>+OLD...Tabs!B295+OLD...Tabs!C295</f>
        <v>75.973128376593536</v>
      </c>
      <c r="K13" s="122">
        <f>+OLD...Tabs!B326+OLD...Tabs!C326</f>
        <v>68.354715779573525</v>
      </c>
      <c r="L13" s="122">
        <f>+OLD...Tabs!B357+OLD...Tabs!C357</f>
        <v>57.773614580442228</v>
      </c>
      <c r="M13" s="119">
        <f>+OLD...Tabs!B233+OLD...Tabs!C233</f>
        <v>70.585358054935966</v>
      </c>
      <c r="N13" s="619">
        <f>+OLD...Tabs!B418+OLD...Tabs!C418</f>
        <v>89.807215909877243</v>
      </c>
      <c r="O13" s="63">
        <f>+OLD...Tabs!B448+OLD...Tabs!C448</f>
        <v>0</v>
      </c>
      <c r="P13" s="119">
        <f>+OLD...Tabs!B388+OLD...Tabs!C388</f>
        <v>89.807215909877243</v>
      </c>
    </row>
    <row r="14" spans="1:16" ht="15.75" customHeight="1" x14ac:dyDescent="0.25">
      <c r="A14" s="28" t="s">
        <v>147</v>
      </c>
      <c r="B14" s="122">
        <f>+OLD...Tabs!B48+OLD...Tabs!C48</f>
        <v>0</v>
      </c>
      <c r="C14" s="122">
        <f>+OLD...Tabs!B79+OLD...Tabs!C79</f>
        <v>0</v>
      </c>
      <c r="D14" s="122">
        <f>+OLD...Tabs!B110+OLD...Tabs!C110</f>
        <v>0</v>
      </c>
      <c r="E14" s="122">
        <f>+OLD...Tabs!B141+OLD...Tabs!C141</f>
        <v>0</v>
      </c>
      <c r="F14" s="122">
        <f>+OLD...Tabs!B172+OLD...Tabs!C172</f>
        <v>0</v>
      </c>
      <c r="G14" s="122">
        <f>+OLD...Tabs!B203+OLD...Tabs!C203</f>
        <v>0</v>
      </c>
      <c r="H14" s="116">
        <f>+OLD...Tabs!B16+OLD...Tabs!C16</f>
        <v>0</v>
      </c>
      <c r="I14" s="119">
        <f>+OLD...Tabs!B265+OLD...Tabs!C265</f>
        <v>0</v>
      </c>
      <c r="J14" s="122">
        <f>+OLD...Tabs!B296+OLD...Tabs!C296</f>
        <v>0</v>
      </c>
      <c r="K14" s="122">
        <f>+OLD...Tabs!B327+OLD...Tabs!C327</f>
        <v>0</v>
      </c>
      <c r="L14" s="122">
        <f>+OLD...Tabs!B358+OLD...Tabs!C358</f>
        <v>0</v>
      </c>
      <c r="M14" s="119">
        <f>+OLD...Tabs!B234+OLD...Tabs!C234</f>
        <v>0</v>
      </c>
      <c r="N14" s="619">
        <f>+OLD...Tabs!B419+OLD...Tabs!C419</f>
        <v>0</v>
      </c>
      <c r="O14" s="63">
        <f>+OLD...Tabs!B449+OLD...Tabs!C449</f>
        <v>0</v>
      </c>
      <c r="P14" s="119">
        <f>+OLD...Tabs!B389+OLD...Tabs!C389</f>
        <v>0</v>
      </c>
    </row>
    <row r="15" spans="1:16" ht="15.75" customHeight="1" x14ac:dyDescent="0.25">
      <c r="A15" s="28" t="s">
        <v>177</v>
      </c>
      <c r="B15" s="122">
        <f>+OLD...Tabs!B49+OLD...Tabs!C49</f>
        <v>98.081228693687905</v>
      </c>
      <c r="C15" s="122">
        <f>+OLD...Tabs!B80+OLD...Tabs!C80</f>
        <v>94.315529342931896</v>
      </c>
      <c r="D15" s="122">
        <f>+OLD...Tabs!B111+OLD...Tabs!C111</f>
        <v>94.858845383181929</v>
      </c>
      <c r="E15" s="122">
        <f>+OLD...Tabs!B142+OLD...Tabs!C142</f>
        <v>90.882451842244322</v>
      </c>
      <c r="F15" s="122">
        <f>+OLD...Tabs!B173+OLD...Tabs!C173</f>
        <v>89.218394093114867</v>
      </c>
      <c r="G15" s="122">
        <f>+OLD...Tabs!B204+OLD...Tabs!C204</f>
        <v>100</v>
      </c>
      <c r="H15" s="116">
        <f>+OLD...Tabs!B17+OLD...Tabs!C17</f>
        <v>81.691258773568606</v>
      </c>
      <c r="I15" s="119">
        <f>+OLD...Tabs!B266+OLD...Tabs!C266</f>
        <v>0</v>
      </c>
      <c r="J15" s="122">
        <f>+OLD...Tabs!B297+OLD...Tabs!C297</f>
        <v>85.658880771310066</v>
      </c>
      <c r="K15" s="122">
        <f>+OLD...Tabs!B328+OLD...Tabs!C328</f>
        <v>84.183767763354652</v>
      </c>
      <c r="L15" s="122">
        <f>+OLD...Tabs!B359+OLD...Tabs!C359</f>
        <v>82.342668110427866</v>
      </c>
      <c r="M15" s="119">
        <f>+OLD...Tabs!B235+OLD...Tabs!C235</f>
        <v>85.149852486012065</v>
      </c>
      <c r="N15" s="619">
        <f>+OLD...Tabs!B420+OLD...Tabs!C420</f>
        <v>0</v>
      </c>
      <c r="O15" s="63">
        <f>+OLD...Tabs!B450+OLD...Tabs!C450</f>
        <v>0</v>
      </c>
      <c r="P15" s="119">
        <f>+OLD...Tabs!B390+OLD...Tabs!C390</f>
        <v>0</v>
      </c>
    </row>
    <row r="16" spans="1:16" ht="15.75" customHeight="1" x14ac:dyDescent="0.25">
      <c r="A16" s="28"/>
      <c r="B16" s="122"/>
      <c r="C16" s="122"/>
      <c r="D16" s="122"/>
      <c r="E16" s="122"/>
      <c r="F16" s="122"/>
      <c r="G16" s="122"/>
      <c r="H16" s="116"/>
      <c r="I16" s="119"/>
      <c r="J16" s="122"/>
      <c r="K16" s="122"/>
      <c r="L16" s="122"/>
      <c r="M16" s="119"/>
      <c r="N16" s="619"/>
      <c r="O16" s="63"/>
      <c r="P16" s="119"/>
    </row>
    <row r="17" spans="1:16" ht="15.75" customHeight="1" x14ac:dyDescent="0.25">
      <c r="A17" s="28" t="s">
        <v>148</v>
      </c>
      <c r="B17" s="122">
        <f>+OLD...Tabs!B51+OLD...Tabs!C51</f>
        <v>92.494461125387971</v>
      </c>
      <c r="C17" s="122">
        <f>+OLD...Tabs!B82+OLD...Tabs!C82</f>
        <v>95.686514538357102</v>
      </c>
      <c r="D17" s="122">
        <f>+OLD...Tabs!B113+OLD...Tabs!C113</f>
        <v>0</v>
      </c>
      <c r="E17" s="122">
        <f>+OLD...Tabs!B144+OLD...Tabs!C144</f>
        <v>82.482028978003299</v>
      </c>
      <c r="F17" s="122">
        <f>+OLD...Tabs!B175+OLD...Tabs!C175</f>
        <v>59.079616704128711</v>
      </c>
      <c r="G17" s="122">
        <f>+OLD...Tabs!B206+OLD...Tabs!C206</f>
        <v>0</v>
      </c>
      <c r="H17" s="116">
        <f>+OLD...Tabs!B19+OLD...Tabs!C19</f>
        <v>90.957356596039347</v>
      </c>
      <c r="I17" s="119">
        <f>+OLD...Tabs!B268+OLD...Tabs!C268</f>
        <v>0</v>
      </c>
      <c r="J17" s="122">
        <f>+OLD...Tabs!B299+OLD...Tabs!C299</f>
        <v>78.568459219513258</v>
      </c>
      <c r="K17" s="122">
        <f>+OLD...Tabs!B330+OLD...Tabs!C330</f>
        <v>81.53904148318226</v>
      </c>
      <c r="L17" s="122">
        <f>+OLD...Tabs!B361+OLD...Tabs!C361</f>
        <v>87.860860969092229</v>
      </c>
      <c r="M17" s="119">
        <f>+OLD...Tabs!B237+OLD...Tabs!C237</f>
        <v>80.526885157172785</v>
      </c>
      <c r="N17" s="619">
        <f>+OLD...Tabs!B422+OLD...Tabs!C422</f>
        <v>0</v>
      </c>
      <c r="O17" s="63">
        <f>+OLD...Tabs!B452+OLD...Tabs!C452</f>
        <v>0</v>
      </c>
      <c r="P17" s="119">
        <f>+OLD...Tabs!B392+OLD...Tabs!C392</f>
        <v>0</v>
      </c>
    </row>
    <row r="18" spans="1:16" ht="15.75" customHeight="1" x14ac:dyDescent="0.25">
      <c r="A18" s="28" t="s">
        <v>149</v>
      </c>
      <c r="B18" s="122">
        <f>+OLD...Tabs!B52+OLD...Tabs!C52</f>
        <v>90.338455508963605</v>
      </c>
      <c r="C18" s="122">
        <f>+OLD...Tabs!B83+OLD...Tabs!C83</f>
        <v>90.545528910763821</v>
      </c>
      <c r="D18" s="122">
        <f>+OLD...Tabs!B114+OLD...Tabs!C114</f>
        <v>93.73862663734532</v>
      </c>
      <c r="E18" s="122">
        <f>+OLD...Tabs!B145+OLD...Tabs!C145</f>
        <v>84.076909598199251</v>
      </c>
      <c r="F18" s="122">
        <f>+OLD...Tabs!B176+OLD...Tabs!C176</f>
        <v>83.869437789587607</v>
      </c>
      <c r="G18" s="122">
        <f>+OLD...Tabs!B207+OLD...Tabs!C207</f>
        <v>91.089390872753526</v>
      </c>
      <c r="H18" s="116">
        <f>+OLD...Tabs!B20+OLD...Tabs!C20</f>
        <v>90.820050078935495</v>
      </c>
      <c r="I18" s="119">
        <f>+OLD...Tabs!B269+OLD...Tabs!C269</f>
        <v>0</v>
      </c>
      <c r="J18" s="122">
        <f>+OLD...Tabs!B300+OLD...Tabs!C300</f>
        <v>70.938995844563095</v>
      </c>
      <c r="K18" s="122">
        <f>+OLD...Tabs!B331+OLD...Tabs!C331</f>
        <v>66.373529606217915</v>
      </c>
      <c r="L18" s="122">
        <f>+OLD...Tabs!B362+OLD...Tabs!C362</f>
        <v>65.413890784370068</v>
      </c>
      <c r="M18" s="119">
        <f>+OLD...Tabs!B238+OLD...Tabs!C238</f>
        <v>68.298552992026742</v>
      </c>
      <c r="N18" s="619">
        <f>+OLD...Tabs!B423+OLD...Tabs!C423</f>
        <v>0</v>
      </c>
      <c r="O18" s="63">
        <f>+OLD...Tabs!B453+OLD...Tabs!C453</f>
        <v>0</v>
      </c>
      <c r="P18" s="119">
        <f>+OLD...Tabs!B393+OLD...Tabs!C393</f>
        <v>0</v>
      </c>
    </row>
    <row r="19" spans="1:16" ht="15.75" customHeight="1" x14ac:dyDescent="0.25">
      <c r="A19" s="28" t="s">
        <v>150</v>
      </c>
      <c r="B19" s="122">
        <f>+OLD...Tabs!B53+OLD...Tabs!C53</f>
        <v>88.501426432372014</v>
      </c>
      <c r="C19" s="122">
        <f>+OLD...Tabs!B84+OLD...Tabs!C84</f>
        <v>0</v>
      </c>
      <c r="D19" s="122">
        <f>+OLD...Tabs!B115+OLD...Tabs!C115</f>
        <v>88.42644979392611</v>
      </c>
      <c r="E19" s="122">
        <f>+OLD...Tabs!B146+OLD...Tabs!C146</f>
        <v>69.318181818181827</v>
      </c>
      <c r="F19" s="122">
        <f>+OLD...Tabs!B177+OLD...Tabs!C177</f>
        <v>85.063573950447562</v>
      </c>
      <c r="G19" s="122">
        <f>+OLD...Tabs!B208+OLD...Tabs!C208</f>
        <v>80.387593352928391</v>
      </c>
      <c r="H19" s="116">
        <f>+OLD...Tabs!B21+OLD...Tabs!C21</f>
        <v>85.842233986399322</v>
      </c>
      <c r="I19" s="119">
        <f>+OLD...Tabs!B270+OLD...Tabs!C270</f>
        <v>76.262675801291735</v>
      </c>
      <c r="J19" s="122">
        <f>+OLD...Tabs!B301+OLD...Tabs!C301</f>
        <v>73.232356420028907</v>
      </c>
      <c r="K19" s="122">
        <f>+OLD...Tabs!B332+OLD...Tabs!C332</f>
        <v>63.078548056034975</v>
      </c>
      <c r="L19" s="122">
        <f>+OLD...Tabs!B363+OLD...Tabs!C363</f>
        <v>70.720218076071717</v>
      </c>
      <c r="M19" s="119">
        <f>+OLD...Tabs!B239+OLD...Tabs!C239</f>
        <v>72.050715684446104</v>
      </c>
      <c r="N19" s="619">
        <f>+OLD...Tabs!B424+OLD...Tabs!C424</f>
        <v>0</v>
      </c>
      <c r="O19" s="63">
        <f>+OLD...Tabs!B454+OLD...Tabs!C454</f>
        <v>0</v>
      </c>
      <c r="P19" s="119">
        <f>+OLD...Tabs!B394+OLD...Tabs!C394</f>
        <v>0</v>
      </c>
    </row>
    <row r="20" spans="1:16" ht="15.75" customHeight="1" x14ac:dyDescent="0.25">
      <c r="A20" s="28" t="s">
        <v>151</v>
      </c>
      <c r="B20" s="122">
        <f>+OLD...Tabs!B54+OLD...Tabs!C54</f>
        <v>96.042449606740092</v>
      </c>
      <c r="C20" s="122">
        <f>+OLD...Tabs!B85+OLD...Tabs!C85</f>
        <v>0</v>
      </c>
      <c r="D20" s="122">
        <f>+OLD...Tabs!B116+OLD...Tabs!C116</f>
        <v>99.065680465410438</v>
      </c>
      <c r="E20" s="122">
        <f>+OLD...Tabs!B147+OLD...Tabs!C147</f>
        <v>99.291177445723633</v>
      </c>
      <c r="F20" s="122">
        <f>+OLD...Tabs!B178+OLD...Tabs!C178</f>
        <v>96.043160077998081</v>
      </c>
      <c r="G20" s="122">
        <f>+OLD...Tabs!B209+OLD...Tabs!C209</f>
        <v>93.888282517111577</v>
      </c>
      <c r="H20" s="116">
        <f>+OLD...Tabs!B22+OLD...Tabs!C22</f>
        <v>96.350307058936167</v>
      </c>
      <c r="I20" s="119">
        <f>+OLD...Tabs!B271+OLD...Tabs!C271</f>
        <v>0</v>
      </c>
      <c r="J20" s="122">
        <f>+OLD...Tabs!B302+OLD...Tabs!C302</f>
        <v>79.969139016600877</v>
      </c>
      <c r="K20" s="122">
        <f>+OLD...Tabs!B333+OLD...Tabs!C333</f>
        <v>83.851233264281475</v>
      </c>
      <c r="L20" s="122">
        <f>+OLD...Tabs!B364+OLD...Tabs!C364</f>
        <v>89.971020613356472</v>
      </c>
      <c r="M20" s="119">
        <f>+OLD...Tabs!B240+OLD...Tabs!C240</f>
        <v>81.825621053745138</v>
      </c>
      <c r="N20" s="619">
        <f>+OLD...Tabs!B425+OLD...Tabs!C425</f>
        <v>0</v>
      </c>
      <c r="O20" s="63">
        <f>+OLD...Tabs!B455+OLD...Tabs!C455</f>
        <v>0</v>
      </c>
      <c r="P20" s="119">
        <f>+OLD...Tabs!B395+OLD...Tabs!C395</f>
        <v>0</v>
      </c>
    </row>
    <row r="21" spans="1:16" ht="15.75" customHeight="1" x14ac:dyDescent="0.25">
      <c r="A21" s="28"/>
      <c r="B21" s="122"/>
      <c r="C21" s="122"/>
      <c r="D21" s="122"/>
      <c r="E21" s="122"/>
      <c r="F21" s="122"/>
      <c r="G21" s="122"/>
      <c r="H21" s="116"/>
      <c r="I21" s="119"/>
      <c r="J21" s="122"/>
      <c r="K21" s="122"/>
      <c r="L21" s="122"/>
      <c r="M21" s="119"/>
      <c r="N21" s="619"/>
      <c r="O21" s="63"/>
      <c r="P21" s="119"/>
    </row>
    <row r="22" spans="1:16" ht="15.75" customHeight="1" x14ac:dyDescent="0.25">
      <c r="A22" s="28" t="s">
        <v>152</v>
      </c>
      <c r="B22" s="122">
        <f>+OLD...Tabs!B56+OLD...Tabs!C56</f>
        <v>84.95185752229628</v>
      </c>
      <c r="C22" s="122">
        <f>+OLD...Tabs!B87+OLD...Tabs!C87</f>
        <v>91.790210019152184</v>
      </c>
      <c r="D22" s="122">
        <f>+OLD...Tabs!B118+OLD...Tabs!C118</f>
        <v>83.646569294995857</v>
      </c>
      <c r="E22" s="122">
        <f>+OLD...Tabs!B149+OLD...Tabs!C149</f>
        <v>0</v>
      </c>
      <c r="F22" s="122">
        <f>+OLD...Tabs!B180+OLD...Tabs!C180</f>
        <v>92.220704458971611</v>
      </c>
      <c r="G22" s="122">
        <f>+OLD...Tabs!B211+OLD...Tabs!C211</f>
        <v>0</v>
      </c>
      <c r="H22" s="116">
        <f>+OLD...Tabs!B24+OLD...Tabs!C24</f>
        <v>85.142114626510619</v>
      </c>
      <c r="I22" s="119">
        <f>+OLD...Tabs!B273+OLD...Tabs!C273</f>
        <v>0</v>
      </c>
      <c r="J22" s="122">
        <f>+OLD...Tabs!B304+OLD...Tabs!C304</f>
        <v>77.479419220011977</v>
      </c>
      <c r="K22" s="122">
        <f>+OLD...Tabs!B335+OLD...Tabs!C335</f>
        <v>74.783957306171089</v>
      </c>
      <c r="L22" s="122">
        <f>+OLD...Tabs!B366+OLD...Tabs!C366</f>
        <v>0</v>
      </c>
      <c r="M22" s="119">
        <f>+OLD...Tabs!B242+OLD...Tabs!C242</f>
        <v>76.276294658882648</v>
      </c>
      <c r="N22" s="619">
        <f>+OLD...Tabs!B427+OLD...Tabs!C427</f>
        <v>0</v>
      </c>
      <c r="O22" s="63">
        <f>+OLD...Tabs!B457+OLD...Tabs!C457</f>
        <v>0</v>
      </c>
      <c r="P22" s="119">
        <f>+OLD...Tabs!B397+OLD...Tabs!C397</f>
        <v>0</v>
      </c>
    </row>
    <row r="23" spans="1:16" ht="15.75" customHeight="1" x14ac:dyDescent="0.25">
      <c r="A23" s="28" t="s">
        <v>153</v>
      </c>
      <c r="B23" s="122">
        <f>+OLD...Tabs!B57+OLD...Tabs!C57</f>
        <v>91.252698003463223</v>
      </c>
      <c r="C23" s="122">
        <f>+OLD...Tabs!B88+OLD...Tabs!C88</f>
        <v>90.875711662523202</v>
      </c>
      <c r="D23" s="122">
        <f>+OLD...Tabs!B119+OLD...Tabs!C119</f>
        <v>90.351494682383361</v>
      </c>
      <c r="E23" s="122">
        <f>+OLD...Tabs!B150+OLD...Tabs!C150</f>
        <v>55.082053129811001</v>
      </c>
      <c r="F23" s="122">
        <f>+OLD...Tabs!B181+OLD...Tabs!C181</f>
        <v>72.318096120426404</v>
      </c>
      <c r="G23" s="122">
        <f>+OLD...Tabs!B212+OLD...Tabs!C212</f>
        <v>100</v>
      </c>
      <c r="H23" s="116">
        <f>+OLD...Tabs!B25+OLD...Tabs!C25</f>
        <v>89.961957535820559</v>
      </c>
      <c r="I23" s="119">
        <f>+OLD...Tabs!B274+OLD...Tabs!C274</f>
        <v>80.68219852808069</v>
      </c>
      <c r="J23" s="122">
        <f>+OLD...Tabs!B305+OLD...Tabs!C305</f>
        <v>82.410938798016986</v>
      </c>
      <c r="K23" s="122">
        <f>+OLD...Tabs!B336+OLD...Tabs!C336</f>
        <v>77.854888926372539</v>
      </c>
      <c r="L23" s="122">
        <f>+OLD...Tabs!B367+OLD...Tabs!C367</f>
        <v>75.217709363955123</v>
      </c>
      <c r="M23" s="119">
        <f>+OLD...Tabs!B243+OLD...Tabs!C243</f>
        <v>81.39801944839023</v>
      </c>
      <c r="N23" s="619">
        <f>+OLD...Tabs!B428+OLD...Tabs!C428</f>
        <v>0</v>
      </c>
      <c r="O23" s="63">
        <f>+OLD...Tabs!B458+OLD...Tabs!C458</f>
        <v>0</v>
      </c>
      <c r="P23" s="119">
        <f>+OLD...Tabs!B398+OLD...Tabs!C398</f>
        <v>0</v>
      </c>
    </row>
    <row r="24" spans="1:16" ht="15.75" customHeight="1" x14ac:dyDescent="0.25">
      <c r="A24" s="28" t="s">
        <v>154</v>
      </c>
      <c r="B24" s="122">
        <f>+OLD...Tabs!B58+OLD...Tabs!C58</f>
        <v>95.662916234823243</v>
      </c>
      <c r="C24" s="122">
        <f>+OLD...Tabs!B89+OLD...Tabs!C89</f>
        <v>97.058778993528222</v>
      </c>
      <c r="D24" s="122">
        <f>+OLD...Tabs!B120+OLD...Tabs!C120</f>
        <v>94.246381673190911</v>
      </c>
      <c r="E24" s="122">
        <f>+OLD...Tabs!B151+OLD...Tabs!C151</f>
        <v>97.935118307999858</v>
      </c>
      <c r="F24" s="122">
        <f>+OLD...Tabs!B182+OLD...Tabs!C182</f>
        <v>98.52730275105688</v>
      </c>
      <c r="G24" s="122">
        <f>+OLD...Tabs!B213+OLD...Tabs!C213</f>
        <v>96.665231515910605</v>
      </c>
      <c r="H24" s="116">
        <f>+OLD...Tabs!B26+OLD...Tabs!C26</f>
        <v>96.132354351254364</v>
      </c>
      <c r="I24" s="119">
        <f>+OLD...Tabs!B275+OLD...Tabs!C275</f>
        <v>0</v>
      </c>
      <c r="J24" s="122">
        <f>+OLD...Tabs!B306+OLD...Tabs!C306</f>
        <v>76.338055111168856</v>
      </c>
      <c r="K24" s="122">
        <f>+OLD...Tabs!B337+OLD...Tabs!C337</f>
        <v>72.138031356953917</v>
      </c>
      <c r="L24" s="122">
        <f>+OLD...Tabs!B368+OLD...Tabs!C368</f>
        <v>71.26771534283921</v>
      </c>
      <c r="M24" s="119">
        <f>+OLD...Tabs!B244+OLD...Tabs!C244</f>
        <v>74.468070410785856</v>
      </c>
      <c r="N24" s="619">
        <f>+OLD...Tabs!B429+OLD...Tabs!C429</f>
        <v>0</v>
      </c>
      <c r="O24" s="63">
        <f>+OLD...Tabs!B459+OLD...Tabs!C459</f>
        <v>0</v>
      </c>
      <c r="P24" s="119">
        <f>+OLD...Tabs!B399+OLD...Tabs!C399</f>
        <v>0</v>
      </c>
    </row>
    <row r="25" spans="1:16" ht="15.75" customHeight="1" x14ac:dyDescent="0.25">
      <c r="A25" s="242" t="s">
        <v>155</v>
      </c>
      <c r="B25" s="620">
        <f>+OLD...Tabs!B59+OLD...Tabs!C59</f>
        <v>92.813168356311706</v>
      </c>
      <c r="C25" s="620">
        <f>+OLD...Tabs!B90+OLD...Tabs!C90</f>
        <v>0</v>
      </c>
      <c r="D25" s="620">
        <f>+OLD...Tabs!B121+OLD...Tabs!C121</f>
        <v>85.824042727060473</v>
      </c>
      <c r="E25" s="620">
        <f>+OLD...Tabs!B152+OLD...Tabs!C152</f>
        <v>0</v>
      </c>
      <c r="F25" s="620">
        <f>+OLD...Tabs!B183+OLD...Tabs!C183</f>
        <v>93.148676065355346</v>
      </c>
      <c r="G25" s="620">
        <f>+OLD...Tabs!B214+OLD...Tabs!C214</f>
        <v>86.467988101526245</v>
      </c>
      <c r="H25" s="117">
        <f>+OLD...Tabs!B27+OLD...Tabs!C27</f>
        <v>90.11473673939679</v>
      </c>
      <c r="I25" s="120">
        <f>+OLD...Tabs!B276+OLD...Tabs!C276</f>
        <v>78.872016477525136</v>
      </c>
      <c r="J25" s="620">
        <f>+OLD...Tabs!B307+OLD...Tabs!C307</f>
        <v>0</v>
      </c>
      <c r="K25" s="620">
        <f>+OLD...Tabs!B338+OLD...Tabs!C338</f>
        <v>78.632327431584429</v>
      </c>
      <c r="L25" s="649">
        <f>+OLD...Tabs!B369+OLD...Tabs!C369</f>
        <v>81.996618802028721</v>
      </c>
      <c r="M25" s="120">
        <f>+OLD...Tabs!B245+OLD...Tabs!C245</f>
        <v>80.035170989056027</v>
      </c>
      <c r="N25" s="621">
        <f>+OLD...Tabs!B430+OLD...Tabs!C430</f>
        <v>0</v>
      </c>
      <c r="O25" s="252">
        <f>+OLD...Tabs!B460+OLD...Tabs!C460</f>
        <v>0</v>
      </c>
      <c r="P25" s="120">
        <f>+OLD...Tabs!B400+OLD...Tabs!C400</f>
        <v>0</v>
      </c>
    </row>
    <row r="26" spans="1:16" s="25" customFormat="1" ht="29.25" customHeight="1" x14ac:dyDescent="0.2">
      <c r="A26" s="665" t="s">
        <v>915</v>
      </c>
      <c r="B26" s="665"/>
      <c r="C26" s="665"/>
      <c r="D26" s="665"/>
      <c r="E26" s="665"/>
      <c r="F26" s="665"/>
      <c r="G26" s="665"/>
      <c r="H26" s="665"/>
      <c r="I26" s="665"/>
      <c r="J26" s="665"/>
      <c r="K26" s="665"/>
      <c r="L26" s="665"/>
      <c r="M26" s="665"/>
      <c r="N26" s="665"/>
      <c r="O26" s="665"/>
      <c r="P26" s="665"/>
    </row>
    <row r="27" spans="1:16" s="25" customFormat="1" ht="11.25" x14ac:dyDescent="0.2">
      <c r="M27" s="622"/>
      <c r="P27" s="27" t="s">
        <v>914</v>
      </c>
    </row>
    <row r="28" spans="1:16" ht="18" x14ac:dyDescent="0.25">
      <c r="A28" s="671" t="s">
        <v>156</v>
      </c>
      <c r="B28" s="671"/>
      <c r="C28" s="671"/>
      <c r="D28" s="671"/>
      <c r="E28" s="671"/>
      <c r="F28" s="671"/>
      <c r="G28" s="671"/>
      <c r="H28" s="671"/>
      <c r="I28" s="671"/>
      <c r="J28" s="671"/>
      <c r="K28" s="671"/>
      <c r="L28" s="671"/>
      <c r="M28" s="671"/>
      <c r="N28" s="671"/>
      <c r="O28" s="671"/>
      <c r="P28" s="671"/>
    </row>
    <row r="29" spans="1:16" s="28" customFormat="1" ht="12.75" x14ac:dyDescent="0.2">
      <c r="A29" s="18"/>
      <c r="B29" s="19"/>
      <c r="C29" s="19"/>
      <c r="D29" s="19"/>
      <c r="E29" s="19"/>
      <c r="F29" s="19"/>
      <c r="G29" s="19"/>
      <c r="H29" s="19"/>
      <c r="I29" s="19"/>
      <c r="J29" s="19"/>
      <c r="K29" s="19"/>
      <c r="L29" s="19"/>
      <c r="M29" s="36"/>
    </row>
    <row r="30" spans="1:16" ht="15.75" x14ac:dyDescent="0.25">
      <c r="A30" s="679" t="s">
        <v>256</v>
      </c>
      <c r="B30" s="679"/>
      <c r="C30" s="679"/>
      <c r="D30" s="679"/>
      <c r="E30" s="679"/>
      <c r="F30" s="679"/>
      <c r="G30" s="679"/>
      <c r="H30" s="679"/>
      <c r="I30" s="679"/>
      <c r="J30" s="679"/>
      <c r="K30" s="679"/>
      <c r="L30" s="679"/>
      <c r="M30" s="679"/>
      <c r="N30" s="679"/>
      <c r="O30" s="679"/>
      <c r="P30" s="679"/>
    </row>
    <row r="31" spans="1:16" s="28" customFormat="1" ht="9.75" customHeight="1" x14ac:dyDescent="0.2">
      <c r="A31" s="650"/>
      <c r="B31" s="19"/>
      <c r="C31" s="19"/>
      <c r="D31" s="19"/>
      <c r="E31" s="19"/>
      <c r="F31" s="19"/>
      <c r="G31" s="19"/>
      <c r="H31" s="19"/>
      <c r="I31" s="19"/>
      <c r="J31" s="19"/>
      <c r="K31" s="19"/>
      <c r="L31" s="19"/>
      <c r="M31" s="36"/>
    </row>
    <row r="32" spans="1:16" s="31" customFormat="1" ht="18" customHeight="1" x14ac:dyDescent="0.2">
      <c r="A32" s="644"/>
      <c r="B32" s="21" t="s">
        <v>55</v>
      </c>
      <c r="C32" s="21"/>
      <c r="D32" s="21"/>
      <c r="E32" s="21"/>
      <c r="F32" s="21"/>
      <c r="G32" s="21"/>
      <c r="H32" s="29"/>
      <c r="I32" s="645" t="s">
        <v>56</v>
      </c>
      <c r="J32" s="21"/>
      <c r="K32" s="21"/>
      <c r="L32" s="21"/>
      <c r="M32" s="21"/>
      <c r="N32" s="645" t="s">
        <v>57</v>
      </c>
      <c r="O32" s="21"/>
      <c r="P32" s="21"/>
    </row>
    <row r="33" spans="1:16" s="32" customFormat="1" ht="26.25" customHeight="1" x14ac:dyDescent="0.2">
      <c r="A33" s="646"/>
      <c r="B33" s="647">
        <v>1</v>
      </c>
      <c r="C33" s="647">
        <v>2</v>
      </c>
      <c r="D33" s="647">
        <v>3</v>
      </c>
      <c r="E33" s="647">
        <v>4</v>
      </c>
      <c r="F33" s="647">
        <v>5</v>
      </c>
      <c r="G33" s="647">
        <v>6</v>
      </c>
      <c r="H33" s="22" t="s">
        <v>928</v>
      </c>
      <c r="I33" s="648" t="s">
        <v>140</v>
      </c>
      <c r="J33" s="647">
        <v>1</v>
      </c>
      <c r="K33" s="647">
        <v>2</v>
      </c>
      <c r="L33" s="647">
        <v>3</v>
      </c>
      <c r="M33" s="23" t="s">
        <v>139</v>
      </c>
      <c r="N33" s="23">
        <v>1</v>
      </c>
      <c r="O33" s="647">
        <v>2</v>
      </c>
      <c r="P33" s="23" t="s">
        <v>139</v>
      </c>
    </row>
    <row r="34" spans="1:16" ht="15.75" customHeight="1" x14ac:dyDescent="0.25">
      <c r="A34" s="28" t="s">
        <v>141</v>
      </c>
      <c r="B34" s="122">
        <f>+OLD...Tabs!D41</f>
        <v>3.9410407847326789</v>
      </c>
      <c r="C34" s="122">
        <f>+OLD...Tabs!D72</f>
        <v>7.2091612857193823</v>
      </c>
      <c r="D34" s="122">
        <f>+OLD...Tabs!D103</f>
        <v>20.509741416861363</v>
      </c>
      <c r="E34" s="122">
        <f>+OLD...Tabs!D134</f>
        <v>9.939131179133863</v>
      </c>
      <c r="F34" s="122">
        <f>+OLD...Tabs!D165</f>
        <v>4.606592067716182</v>
      </c>
      <c r="G34" s="122">
        <f>+OLD...Tabs!D196</f>
        <v>71.360061608830591</v>
      </c>
      <c r="H34" s="118">
        <f>+OLD...Tabs!D9</f>
        <v>11.761273629661424</v>
      </c>
      <c r="I34" s="118">
        <f>+OLD...Tabs!D258</f>
        <v>0</v>
      </c>
      <c r="J34" s="122">
        <f>+OLD...Tabs!D289</f>
        <v>20.353689643639775</v>
      </c>
      <c r="K34" s="122">
        <f>+OLD...Tabs!D320</f>
        <v>14.864210538211513</v>
      </c>
      <c r="L34" s="122">
        <f>+OLD...Tabs!D351</f>
        <v>22.769361161139951</v>
      </c>
      <c r="M34" s="119">
        <f>+OLD...Tabs!D227</f>
        <v>17.834154644558605</v>
      </c>
      <c r="N34" s="619">
        <f>+OLD...Tabs!D412</f>
        <v>6.8724495979960398</v>
      </c>
      <c r="O34" s="63">
        <f>+OLD...Tabs!D442</f>
        <v>12.136925258253999</v>
      </c>
      <c r="P34" s="119">
        <f>+OLD...Tabs!D382</f>
        <v>10.027760466829076</v>
      </c>
    </row>
    <row r="35" spans="1:16" ht="15.75" customHeight="1" x14ac:dyDescent="0.25">
      <c r="A35" s="28" t="s">
        <v>142</v>
      </c>
      <c r="B35" s="122">
        <f>+OLD...Tabs!D42</f>
        <v>2.9576358688934818</v>
      </c>
      <c r="C35" s="122">
        <f>+OLD...Tabs!D73</f>
        <v>0</v>
      </c>
      <c r="D35" s="122">
        <f>+OLD...Tabs!D104</f>
        <v>16.604981873138872</v>
      </c>
      <c r="E35" s="122">
        <f>+OLD...Tabs!D135</f>
        <v>8.9235462891066</v>
      </c>
      <c r="F35" s="122">
        <f>+OLD...Tabs!D166</f>
        <v>16.412044109885837</v>
      </c>
      <c r="G35" s="122">
        <f>+OLD...Tabs!D197</f>
        <v>11.559249929631914</v>
      </c>
      <c r="H35" s="119">
        <f>+OLD...Tabs!D10</f>
        <v>11.758857468453051</v>
      </c>
      <c r="I35" s="119">
        <f>+OLD...Tabs!D259</f>
        <v>0</v>
      </c>
      <c r="J35" s="122">
        <f>+OLD...Tabs!D290</f>
        <v>27.850297422339722</v>
      </c>
      <c r="K35" s="122">
        <f>+OLD...Tabs!D321</f>
        <v>17.894927817950911</v>
      </c>
      <c r="L35" s="122">
        <f>+OLD...Tabs!D352</f>
        <v>18.97685052872249</v>
      </c>
      <c r="M35" s="119">
        <f>+OLD...Tabs!D228</f>
        <v>21.673469959475131</v>
      </c>
      <c r="N35" s="619">
        <f>+OLD...Tabs!D413</f>
        <v>0</v>
      </c>
      <c r="O35" s="63">
        <f>+OLD...Tabs!D443</f>
        <v>0</v>
      </c>
      <c r="P35" s="119">
        <f>+OLD...Tabs!D383</f>
        <v>0</v>
      </c>
    </row>
    <row r="36" spans="1:16" ht="15.75" customHeight="1" x14ac:dyDescent="0.25">
      <c r="A36" s="28" t="s">
        <v>143</v>
      </c>
      <c r="B36" s="122">
        <f>+OLD...Tabs!D43</f>
        <v>3.0285445748564972</v>
      </c>
      <c r="C36" s="122">
        <f>+OLD...Tabs!D74</f>
        <v>0</v>
      </c>
      <c r="D36" s="122">
        <f>+OLD...Tabs!D105</f>
        <v>1.6389251832074077</v>
      </c>
      <c r="E36" s="122">
        <f>+OLD...Tabs!D136</f>
        <v>0</v>
      </c>
      <c r="F36" s="122">
        <f>+OLD...Tabs!D167</f>
        <v>0</v>
      </c>
      <c r="G36" s="122">
        <f>+OLD...Tabs!D198</f>
        <v>0</v>
      </c>
      <c r="H36" s="119">
        <f>+OLD...Tabs!D11</f>
        <v>2.7960273566776559</v>
      </c>
      <c r="I36" s="119">
        <f>+OLD...Tabs!D260</f>
        <v>0</v>
      </c>
      <c r="J36" s="122">
        <f>+OLD...Tabs!D291</f>
        <v>13.294918606420204</v>
      </c>
      <c r="K36" s="122">
        <f>+OLD...Tabs!D322</f>
        <v>19.037523494137652</v>
      </c>
      <c r="L36" s="122">
        <f>+OLD...Tabs!D353</f>
        <v>0</v>
      </c>
      <c r="M36" s="119">
        <f>+OLD...Tabs!D229</f>
        <v>16.34553666944015</v>
      </c>
      <c r="N36" s="619">
        <f>+OLD...Tabs!D414</f>
        <v>0</v>
      </c>
      <c r="O36" s="63">
        <f>+OLD...Tabs!D444</f>
        <v>0</v>
      </c>
      <c r="P36" s="119">
        <f>+OLD...Tabs!D384</f>
        <v>0</v>
      </c>
    </row>
    <row r="37" spans="1:16" ht="15.75" customHeight="1" x14ac:dyDescent="0.25">
      <c r="A37" s="28" t="s">
        <v>174</v>
      </c>
      <c r="B37" s="122">
        <f>+OLD...Tabs!D44</f>
        <v>20.246282270263706</v>
      </c>
      <c r="C37" s="122">
        <f>+OLD...Tabs!D75</f>
        <v>7.4655189376947924</v>
      </c>
      <c r="D37" s="122">
        <f>+OLD...Tabs!D106</f>
        <v>14.825360125735514</v>
      </c>
      <c r="E37" s="122">
        <f>+OLD...Tabs!D137</f>
        <v>17.380260116508353</v>
      </c>
      <c r="F37" s="122">
        <f>+OLD...Tabs!D168</f>
        <v>0</v>
      </c>
      <c r="G37" s="122">
        <f>+OLD...Tabs!D199</f>
        <v>0</v>
      </c>
      <c r="H37" s="119">
        <f>+OLD...Tabs!D12</f>
        <v>18.258055420667613</v>
      </c>
      <c r="I37" s="119">
        <f>+OLD...Tabs!D261</f>
        <v>31.517704573236667</v>
      </c>
      <c r="J37" s="122">
        <f>+OLD...Tabs!D292</f>
        <v>26.446370263001597</v>
      </c>
      <c r="K37" s="122">
        <f>+OLD...Tabs!D323</f>
        <v>31.502038127393256</v>
      </c>
      <c r="L37" s="122">
        <f>+OLD...Tabs!D354</f>
        <v>57.576038920043089</v>
      </c>
      <c r="M37" s="119">
        <f>+OLD...Tabs!D230</f>
        <v>28.909177287797021</v>
      </c>
      <c r="N37" s="619">
        <f>+OLD...Tabs!D415</f>
        <v>0</v>
      </c>
      <c r="O37" s="63">
        <f>+OLD...Tabs!D445</f>
        <v>0</v>
      </c>
      <c r="P37" s="119">
        <f>+OLD...Tabs!D385</f>
        <v>0</v>
      </c>
    </row>
    <row r="38" spans="1:16" ht="15.75" customHeight="1" x14ac:dyDescent="0.25">
      <c r="B38" s="28"/>
      <c r="C38" s="28"/>
      <c r="D38" s="28"/>
      <c r="E38" s="28"/>
      <c r="F38" s="28"/>
      <c r="G38" s="28"/>
      <c r="H38" s="121"/>
      <c r="I38" s="121"/>
      <c r="J38" s="28"/>
      <c r="K38" s="28"/>
      <c r="L38" s="28"/>
      <c r="M38" s="121"/>
      <c r="N38" s="121"/>
      <c r="O38" s="28"/>
      <c r="P38" s="121"/>
    </row>
    <row r="39" spans="1:16" ht="15.75" customHeight="1" x14ac:dyDescent="0.25">
      <c r="A39" s="28" t="s">
        <v>145</v>
      </c>
      <c r="B39" s="122">
        <f>+OLD...Tabs!D46</f>
        <v>0</v>
      </c>
      <c r="C39" s="122">
        <f>+OLD...Tabs!D77</f>
        <v>0</v>
      </c>
      <c r="D39" s="122">
        <f>+OLD...Tabs!D108</f>
        <v>0</v>
      </c>
      <c r="E39" s="122">
        <f>+OLD...Tabs!D139</f>
        <v>0</v>
      </c>
      <c r="F39" s="122">
        <f>+OLD...Tabs!D170</f>
        <v>0</v>
      </c>
      <c r="G39" s="122">
        <f>+OLD...Tabs!D201</f>
        <v>0</v>
      </c>
      <c r="H39" s="119">
        <f>+OLD...Tabs!D14</f>
        <v>0</v>
      </c>
      <c r="I39" s="119">
        <f>+OLD...Tabs!D263</f>
        <v>0</v>
      </c>
      <c r="J39" s="122">
        <f>+OLD...Tabs!D294</f>
        <v>0</v>
      </c>
      <c r="K39" s="122">
        <f>+OLD...Tabs!D325</f>
        <v>0</v>
      </c>
      <c r="L39" s="122">
        <f>+OLD...Tabs!D356</f>
        <v>0</v>
      </c>
      <c r="M39" s="119">
        <f>+OLD...Tabs!D232</f>
        <v>0</v>
      </c>
      <c r="N39" s="619">
        <f>+OLD...Tabs!D417</f>
        <v>22.455334369223007</v>
      </c>
      <c r="O39" s="63">
        <f>+OLD...Tabs!D447</f>
        <v>0</v>
      </c>
      <c r="P39" s="119">
        <f>+OLD...Tabs!D387</f>
        <v>22.455334369223007</v>
      </c>
    </row>
    <row r="40" spans="1:16" ht="15.75" customHeight="1" x14ac:dyDescent="0.25">
      <c r="A40" s="28" t="s">
        <v>146</v>
      </c>
      <c r="B40" s="122">
        <f>+OLD...Tabs!D47</f>
        <v>5.2029778372641005</v>
      </c>
      <c r="C40" s="122">
        <f>+OLD...Tabs!D78</f>
        <v>0</v>
      </c>
      <c r="D40" s="122">
        <f>+OLD...Tabs!D109</f>
        <v>15.030205497610718</v>
      </c>
      <c r="E40" s="122">
        <f>+OLD...Tabs!D140</f>
        <v>12.830112923462988</v>
      </c>
      <c r="F40" s="122">
        <f>+OLD...Tabs!D171</f>
        <v>0</v>
      </c>
      <c r="G40" s="122">
        <f>+OLD...Tabs!D202</f>
        <v>0</v>
      </c>
      <c r="H40" s="119">
        <f>+OLD...Tabs!D15</f>
        <v>11.073794586438456</v>
      </c>
      <c r="I40" s="119">
        <f>+OLD...Tabs!D264</f>
        <v>0</v>
      </c>
      <c r="J40" s="122">
        <f>+OLD...Tabs!D295</f>
        <v>24.026871623406464</v>
      </c>
      <c r="K40" s="122">
        <f>+OLD...Tabs!D326</f>
        <v>31.645284220426468</v>
      </c>
      <c r="L40" s="122">
        <f>+OLD...Tabs!D357</f>
        <v>42.226385419557779</v>
      </c>
      <c r="M40" s="119">
        <f>+OLD...Tabs!D233</f>
        <v>29.414641945064027</v>
      </c>
      <c r="N40" s="619">
        <f>+OLD...Tabs!D418</f>
        <v>10.192784090122755</v>
      </c>
      <c r="O40" s="63">
        <f>+OLD...Tabs!D448</f>
        <v>0</v>
      </c>
      <c r="P40" s="119">
        <f>+OLD...Tabs!D388</f>
        <v>10.192784090122755</v>
      </c>
    </row>
    <row r="41" spans="1:16" ht="15.75" customHeight="1" x14ac:dyDescent="0.25">
      <c r="A41" s="28" t="s">
        <v>147</v>
      </c>
      <c r="B41" s="122">
        <f>+OLD...Tabs!D48</f>
        <v>0</v>
      </c>
      <c r="C41" s="122">
        <f>+OLD...Tabs!D79</f>
        <v>0</v>
      </c>
      <c r="D41" s="122">
        <f>+OLD...Tabs!D110</f>
        <v>0</v>
      </c>
      <c r="E41" s="122">
        <f>+OLD...Tabs!D141</f>
        <v>0</v>
      </c>
      <c r="F41" s="122">
        <f>+OLD...Tabs!D172</f>
        <v>0</v>
      </c>
      <c r="G41" s="122">
        <f>+OLD...Tabs!D203</f>
        <v>0</v>
      </c>
      <c r="H41" s="119">
        <f>+OLD...Tabs!D16</f>
        <v>0</v>
      </c>
      <c r="I41" s="119">
        <f>+OLD...Tabs!D265</f>
        <v>0</v>
      </c>
      <c r="J41" s="122">
        <f>+OLD...Tabs!D296</f>
        <v>0</v>
      </c>
      <c r="K41" s="122">
        <f>+OLD...Tabs!D327</f>
        <v>0</v>
      </c>
      <c r="L41" s="122">
        <f>+OLD...Tabs!D358</f>
        <v>0</v>
      </c>
      <c r="M41" s="119">
        <f>+OLD...Tabs!D234</f>
        <v>0</v>
      </c>
      <c r="N41" s="619">
        <f>+OLD...Tabs!D419</f>
        <v>0</v>
      </c>
      <c r="O41" s="63">
        <f>+OLD...Tabs!D449</f>
        <v>0</v>
      </c>
      <c r="P41" s="119">
        <f>+OLD...Tabs!D389</f>
        <v>0</v>
      </c>
    </row>
    <row r="42" spans="1:16" ht="15.75" customHeight="1" x14ac:dyDescent="0.25">
      <c r="A42" s="28" t="s">
        <v>177</v>
      </c>
      <c r="B42" s="122">
        <f>+OLD...Tabs!D49</f>
        <v>1.9187713063121064</v>
      </c>
      <c r="C42" s="122">
        <f>+OLD...Tabs!D80</f>
        <v>5.6844706570681005</v>
      </c>
      <c r="D42" s="122">
        <f>+OLD...Tabs!D111</f>
        <v>5.1411546168180742</v>
      </c>
      <c r="E42" s="122">
        <f>+OLD...Tabs!D142</f>
        <v>9.1175481577556816</v>
      </c>
      <c r="F42" s="122">
        <f>+OLD...Tabs!D173</f>
        <v>10.781605906885131</v>
      </c>
      <c r="G42" s="122">
        <f>+OLD...Tabs!D204</f>
        <v>0</v>
      </c>
      <c r="H42" s="119">
        <f>+OLD...Tabs!D17</f>
        <v>18.308741226431394</v>
      </c>
      <c r="I42" s="119">
        <f>+OLD...Tabs!D266</f>
        <v>0</v>
      </c>
      <c r="J42" s="122">
        <f>+OLD...Tabs!D297</f>
        <v>14.34111922868993</v>
      </c>
      <c r="K42" s="122">
        <f>+OLD...Tabs!D328</f>
        <v>15.801043707345267</v>
      </c>
      <c r="L42" s="122">
        <f>+OLD...Tabs!D359</f>
        <v>17.657331889572134</v>
      </c>
      <c r="M42" s="119">
        <f>+OLD...Tabs!D235</f>
        <v>14.846350132517694</v>
      </c>
      <c r="N42" s="619">
        <f>+OLD...Tabs!D420</f>
        <v>0</v>
      </c>
      <c r="O42" s="63">
        <f>+OLD...Tabs!D450</f>
        <v>0</v>
      </c>
      <c r="P42" s="119">
        <f>+OLD...Tabs!D390</f>
        <v>0</v>
      </c>
    </row>
    <row r="43" spans="1:16" ht="15.75" customHeight="1" x14ac:dyDescent="0.25">
      <c r="B43" s="28"/>
      <c r="C43" s="28"/>
      <c r="D43" s="28"/>
      <c r="E43" s="28"/>
      <c r="F43" s="28"/>
      <c r="G43" s="28"/>
      <c r="H43" s="121"/>
      <c r="I43" s="121"/>
      <c r="J43" s="28"/>
      <c r="K43" s="28"/>
      <c r="L43" s="28"/>
      <c r="M43" s="121"/>
      <c r="N43" s="121"/>
      <c r="O43" s="28"/>
      <c r="P43" s="121"/>
    </row>
    <row r="44" spans="1:16" ht="15.75" customHeight="1" x14ac:dyDescent="0.25">
      <c r="A44" s="28" t="s">
        <v>179</v>
      </c>
      <c r="B44" s="122">
        <f>+OLD...Tabs!D51</f>
        <v>7.5052858135218123</v>
      </c>
      <c r="C44" s="122">
        <f>+OLD...Tabs!D82</f>
        <v>4.3134854616428946</v>
      </c>
      <c r="D44" s="122">
        <f>+OLD...Tabs!D113</f>
        <v>0</v>
      </c>
      <c r="E44" s="122">
        <f>+OLD...Tabs!D144</f>
        <v>17.158119104943864</v>
      </c>
      <c r="F44" s="122">
        <f>+OLD...Tabs!D175</f>
        <v>40.920383295871289</v>
      </c>
      <c r="G44" s="122">
        <f>+OLD...Tabs!D206</f>
        <v>0</v>
      </c>
      <c r="H44" s="119">
        <f>+OLD...Tabs!D19</f>
        <v>8.9935828029682838</v>
      </c>
      <c r="I44" s="119">
        <f>+OLD...Tabs!D268</f>
        <v>0</v>
      </c>
      <c r="J44" s="122">
        <f>+OLD...Tabs!D299</f>
        <v>21.431540780486745</v>
      </c>
      <c r="K44" s="122">
        <f>+OLD...Tabs!D330</f>
        <v>18.460958516817737</v>
      </c>
      <c r="L44" s="122">
        <f>+OLD...Tabs!D361</f>
        <v>12.139139030907771</v>
      </c>
      <c r="M44" s="119">
        <f>+OLD...Tabs!D237</f>
        <v>19.473114842827208</v>
      </c>
      <c r="N44" s="619">
        <f>+OLD...Tabs!D422</f>
        <v>0</v>
      </c>
      <c r="O44" s="63">
        <f>+OLD...Tabs!D452</f>
        <v>0</v>
      </c>
      <c r="P44" s="119">
        <f>+OLD...Tabs!D392</f>
        <v>0</v>
      </c>
    </row>
    <row r="45" spans="1:16" ht="15.75" customHeight="1" x14ac:dyDescent="0.25">
      <c r="A45" s="28" t="s">
        <v>149</v>
      </c>
      <c r="B45" s="122">
        <f>+OLD...Tabs!D52</f>
        <v>9.661544491036393</v>
      </c>
      <c r="C45" s="122">
        <f>+OLD...Tabs!D83</f>
        <v>9.4544710892361827</v>
      </c>
      <c r="D45" s="122">
        <f>+OLD...Tabs!D114</f>
        <v>6.2613733626546857</v>
      </c>
      <c r="E45" s="122">
        <f>+OLD...Tabs!D145</f>
        <v>15.923090401800758</v>
      </c>
      <c r="F45" s="122">
        <f>+OLD...Tabs!D176</f>
        <v>16.130562210412386</v>
      </c>
      <c r="G45" s="122">
        <f>+OLD...Tabs!D207</f>
        <v>8.9106091272464685</v>
      </c>
      <c r="H45" s="119">
        <f>+OLD...Tabs!D20</f>
        <v>9.1799499210644946</v>
      </c>
      <c r="I45" s="119">
        <f>+OLD...Tabs!D269</f>
        <v>0</v>
      </c>
      <c r="J45" s="122">
        <f>+OLD...Tabs!D300</f>
        <v>29.061004155436915</v>
      </c>
      <c r="K45" s="122">
        <f>+OLD...Tabs!D331</f>
        <v>33.626470393782085</v>
      </c>
      <c r="L45" s="122">
        <f>+OLD...Tabs!D362</f>
        <v>34.586109215629939</v>
      </c>
      <c r="M45" s="119">
        <f>+OLD...Tabs!D238</f>
        <v>31.70144700797325</v>
      </c>
      <c r="N45" s="619">
        <f>+OLD...Tabs!D423</f>
        <v>0</v>
      </c>
      <c r="O45" s="63">
        <f>+OLD...Tabs!D453</f>
        <v>0</v>
      </c>
      <c r="P45" s="119">
        <f>+OLD...Tabs!D393</f>
        <v>0</v>
      </c>
    </row>
    <row r="46" spans="1:16" ht="15.75" customHeight="1" x14ac:dyDescent="0.25">
      <c r="A46" s="28" t="s">
        <v>150</v>
      </c>
      <c r="B46" s="122">
        <f>+OLD...Tabs!D53</f>
        <v>11.394883260922013</v>
      </c>
      <c r="C46" s="122">
        <f>+OLD...Tabs!D84</f>
        <v>0</v>
      </c>
      <c r="D46" s="122">
        <f>+OLD...Tabs!D115</f>
        <v>11.573550206073884</v>
      </c>
      <c r="E46" s="122">
        <f>+OLD...Tabs!D146</f>
        <v>30.681818181818183</v>
      </c>
      <c r="F46" s="122">
        <f>+OLD...Tabs!D177</f>
        <v>14.936426049552436</v>
      </c>
      <c r="G46" s="122">
        <f>+OLD...Tabs!D208</f>
        <v>19.612406647071609</v>
      </c>
      <c r="H46" s="119">
        <f>+OLD...Tabs!D21</f>
        <v>14.127838769230117</v>
      </c>
      <c r="I46" s="119">
        <f>+OLD...Tabs!D270</f>
        <v>23.709784511378043</v>
      </c>
      <c r="J46" s="122">
        <f>+OLD...Tabs!D301</f>
        <v>26.7199459804859</v>
      </c>
      <c r="K46" s="122">
        <f>+OLD...Tabs!D332</f>
        <v>36.921451943965025</v>
      </c>
      <c r="L46" s="122">
        <f>+OLD...Tabs!D363</f>
        <v>29.279781923928283</v>
      </c>
      <c r="M46" s="119">
        <f>+OLD...Tabs!D239</f>
        <v>27.920493752331222</v>
      </c>
      <c r="N46" s="619">
        <f>+OLD...Tabs!D424</f>
        <v>0</v>
      </c>
      <c r="O46" s="63">
        <f>+OLD...Tabs!D454</f>
        <v>0</v>
      </c>
      <c r="P46" s="119">
        <f>+OLD...Tabs!D394</f>
        <v>0</v>
      </c>
    </row>
    <row r="47" spans="1:16" s="25" customFormat="1" ht="16.5" customHeight="1" x14ac:dyDescent="0.2">
      <c r="A47" s="28" t="s">
        <v>151</v>
      </c>
      <c r="B47" s="122">
        <f>+OLD...Tabs!D54</f>
        <v>3.9575503932599205</v>
      </c>
      <c r="C47" s="122">
        <f>+OLD...Tabs!D85</f>
        <v>0</v>
      </c>
      <c r="D47" s="122">
        <f>+OLD...Tabs!D116</f>
        <v>0.93431953458955863</v>
      </c>
      <c r="E47" s="122">
        <f>+OLD...Tabs!D147</f>
        <v>0.7088225542763722</v>
      </c>
      <c r="F47" s="122">
        <f>+OLD...Tabs!D178</f>
        <v>3.9568399220019219</v>
      </c>
      <c r="G47" s="122">
        <f>+OLD...Tabs!D209</f>
        <v>6.1117174828884151</v>
      </c>
      <c r="H47" s="119">
        <f>+OLD...Tabs!D22</f>
        <v>3.6496929410638326</v>
      </c>
      <c r="I47" s="119">
        <f>+OLD...Tabs!D271</f>
        <v>0</v>
      </c>
      <c r="J47" s="122">
        <f>+OLD...Tabs!D302</f>
        <v>20.03086098339913</v>
      </c>
      <c r="K47" s="122">
        <f>+OLD...Tabs!D333</f>
        <v>16.148766735718514</v>
      </c>
      <c r="L47" s="122">
        <f>+OLD...Tabs!D364</f>
        <v>10.028979386643531</v>
      </c>
      <c r="M47" s="119">
        <f>+OLD...Tabs!D240</f>
        <v>18.174378946254851</v>
      </c>
      <c r="N47" s="619">
        <f>+OLD...Tabs!D425</f>
        <v>0</v>
      </c>
      <c r="O47" s="63">
        <f>+OLD...Tabs!D455</f>
        <v>0</v>
      </c>
      <c r="P47" s="119">
        <f>+OLD...Tabs!D395</f>
        <v>0</v>
      </c>
    </row>
    <row r="48" spans="1:16" s="25" customFormat="1" ht="14.25" customHeight="1" x14ac:dyDescent="0.2">
      <c r="H48" s="651"/>
      <c r="I48" s="651"/>
      <c r="M48" s="651"/>
      <c r="N48" s="651"/>
      <c r="P48" s="651"/>
    </row>
    <row r="49" spans="1:16" s="25" customFormat="1" ht="15" customHeight="1" x14ac:dyDescent="0.2">
      <c r="A49" s="28" t="s">
        <v>152</v>
      </c>
      <c r="B49" s="122">
        <f>+OLD...Tabs!D56</f>
        <v>14.401054419477633</v>
      </c>
      <c r="C49" s="122">
        <f>+OLD...Tabs!D87</f>
        <v>7.9920772198244112</v>
      </c>
      <c r="D49" s="122">
        <f>+OLD...Tabs!D118</f>
        <v>15.581489482511314</v>
      </c>
      <c r="E49" s="122">
        <f>+OLD...Tabs!D149</f>
        <v>0</v>
      </c>
      <c r="F49" s="122">
        <f>+OLD...Tabs!D180</f>
        <v>7.6690408820372715</v>
      </c>
      <c r="G49" s="122">
        <f>+OLD...Tabs!D211</f>
        <v>0</v>
      </c>
      <c r="H49" s="119">
        <f>+OLD...Tabs!D24</f>
        <v>14.205476013811477</v>
      </c>
      <c r="I49" s="119">
        <f>+OLD...Tabs!D273</f>
        <v>0</v>
      </c>
      <c r="J49" s="122">
        <f>+OLD...Tabs!D304</f>
        <v>22.370976834593453</v>
      </c>
      <c r="K49" s="122">
        <f>+OLD...Tabs!D335</f>
        <v>24.935435516786765</v>
      </c>
      <c r="L49" s="122">
        <f>+OLD...Tabs!D366</f>
        <v>0</v>
      </c>
      <c r="M49" s="119">
        <f>+OLD...Tabs!D242</f>
        <v>23.515627853665602</v>
      </c>
      <c r="N49" s="619">
        <f>+OLD...Tabs!D427</f>
        <v>0</v>
      </c>
      <c r="O49" s="63">
        <f>+OLD...Tabs!D457</f>
        <v>0</v>
      </c>
      <c r="P49" s="119">
        <f>+OLD...Tabs!D397</f>
        <v>0</v>
      </c>
    </row>
    <row r="50" spans="1:16" s="25" customFormat="1" ht="12.75" x14ac:dyDescent="0.2">
      <c r="A50" s="28" t="s">
        <v>153</v>
      </c>
      <c r="B50" s="122">
        <f>+OLD...Tabs!D57</f>
        <v>8.7473019965367769</v>
      </c>
      <c r="C50" s="122">
        <f>+OLD...Tabs!D88</f>
        <v>9.1242883374768038</v>
      </c>
      <c r="D50" s="122">
        <f>+OLD...Tabs!D119</f>
        <v>9.6485053176166495</v>
      </c>
      <c r="E50" s="122">
        <f>+OLD...Tabs!D150</f>
        <v>44.917946870188999</v>
      </c>
      <c r="F50" s="122">
        <f>+OLD...Tabs!D181</f>
        <v>27.6819038795736</v>
      </c>
      <c r="G50" s="122">
        <f>+OLD...Tabs!D212</f>
        <v>0</v>
      </c>
      <c r="H50" s="119">
        <f>+OLD...Tabs!D25</f>
        <v>10.038042464179441</v>
      </c>
      <c r="I50" s="119">
        <f>+OLD...Tabs!D274</f>
        <v>19.317801471919314</v>
      </c>
      <c r="J50" s="122">
        <f>+OLD...Tabs!D305</f>
        <v>17.589061201983021</v>
      </c>
      <c r="K50" s="122">
        <f>+OLD...Tabs!D336</f>
        <v>22.145111073627458</v>
      </c>
      <c r="L50" s="122">
        <f>+OLD...Tabs!D367</f>
        <v>24.78229063604488</v>
      </c>
      <c r="M50" s="119">
        <f>+OLD...Tabs!D243</f>
        <v>18.601980551609763</v>
      </c>
      <c r="N50" s="619">
        <f>+OLD...Tabs!D428</f>
        <v>0</v>
      </c>
      <c r="O50" s="63">
        <f>+OLD...Tabs!D458</f>
        <v>0</v>
      </c>
      <c r="P50" s="119">
        <f>+OLD...Tabs!D398</f>
        <v>0</v>
      </c>
    </row>
    <row r="51" spans="1:16" s="25" customFormat="1" ht="16.5" customHeight="1" x14ac:dyDescent="0.2">
      <c r="A51" s="28" t="s">
        <v>154</v>
      </c>
      <c r="B51" s="122">
        <f>+OLD...Tabs!D58</f>
        <v>4.3370837651767573</v>
      </c>
      <c r="C51" s="122">
        <f>+OLD...Tabs!D89</f>
        <v>2.9412210064717765</v>
      </c>
      <c r="D51" s="122">
        <f>+OLD...Tabs!D120</f>
        <v>5.7536183268090912</v>
      </c>
      <c r="E51" s="122">
        <f>+OLD...Tabs!D151</f>
        <v>2.0648816920001436</v>
      </c>
      <c r="F51" s="122">
        <f>+OLD...Tabs!D182</f>
        <v>1.4726972489431254</v>
      </c>
      <c r="G51" s="122">
        <f>+OLD...Tabs!D213</f>
        <v>3.334768484089397</v>
      </c>
      <c r="H51" s="119">
        <f>+OLD...Tabs!D26</f>
        <v>3.8676456487456368</v>
      </c>
      <c r="I51" s="119">
        <f>+OLD...Tabs!D275</f>
        <v>0</v>
      </c>
      <c r="J51" s="122">
        <f>+OLD...Tabs!D306</f>
        <v>23.66194488883114</v>
      </c>
      <c r="K51" s="122">
        <f>+OLD...Tabs!D337</f>
        <v>27.86196864304609</v>
      </c>
      <c r="L51" s="122">
        <f>+OLD...Tabs!D368</f>
        <v>28.732284657160783</v>
      </c>
      <c r="M51" s="119">
        <f>+OLD...Tabs!D244</f>
        <v>25.531929589214137</v>
      </c>
      <c r="N51" s="619">
        <f>+OLD...Tabs!D429</f>
        <v>0</v>
      </c>
      <c r="O51" s="63">
        <f>+OLD...Tabs!D459</f>
        <v>0</v>
      </c>
      <c r="P51" s="119">
        <f>+OLD...Tabs!D399</f>
        <v>0</v>
      </c>
    </row>
    <row r="52" spans="1:16" s="28" customFormat="1" x14ac:dyDescent="0.25">
      <c r="A52" s="28" t="s">
        <v>155</v>
      </c>
      <c r="B52" s="122">
        <f>+OLD...Tabs!D59</f>
        <v>7.1868316436882997</v>
      </c>
      <c r="C52" s="122">
        <f>+OLD...Tabs!D90</f>
        <v>0</v>
      </c>
      <c r="D52" s="122">
        <f>+OLD...Tabs!D121</f>
        <v>14.175957272939529</v>
      </c>
      <c r="E52" s="122">
        <f>+OLD...Tabs!D152</f>
        <v>0</v>
      </c>
      <c r="F52" s="122">
        <f>+OLD...Tabs!D183</f>
        <v>6.8513239346446513</v>
      </c>
      <c r="G52" s="122">
        <f>+OLD...Tabs!D214</f>
        <v>13.532011898473769</v>
      </c>
      <c r="H52" s="119">
        <f>+OLD...Tabs!D27</f>
        <v>9.8852632606032103</v>
      </c>
      <c r="I52" s="119">
        <f>+OLD...Tabs!D276</f>
        <v>21.12798352247486</v>
      </c>
      <c r="J52" s="122">
        <f>+OLD...Tabs!D307</f>
        <v>0</v>
      </c>
      <c r="K52" s="122">
        <f>+OLD...Tabs!D338</f>
        <v>21.367672568415571</v>
      </c>
      <c r="L52" s="122">
        <f>+OLD...Tabs!D369</f>
        <v>18.003381197971283</v>
      </c>
      <c r="M52" s="652">
        <f>+OLD...Tabs!D245</f>
        <v>19.96482901094398</v>
      </c>
      <c r="N52" s="619">
        <f>+OLD...Tabs!D430</f>
        <v>0</v>
      </c>
      <c r="O52" s="63">
        <f>+OLD...Tabs!D460</f>
        <v>0</v>
      </c>
      <c r="P52" s="119">
        <f>+OLD...Tabs!D400</f>
        <v>0</v>
      </c>
    </row>
    <row r="53" spans="1:16" ht="27.75" customHeight="1" x14ac:dyDescent="0.25">
      <c r="A53" s="665" t="s">
        <v>915</v>
      </c>
      <c r="B53" s="665"/>
      <c r="C53" s="665"/>
      <c r="D53" s="665"/>
      <c r="E53" s="665"/>
      <c r="F53" s="665"/>
      <c r="G53" s="665"/>
      <c r="H53" s="665"/>
      <c r="I53" s="665"/>
      <c r="J53" s="665"/>
      <c r="K53" s="665"/>
      <c r="L53" s="665"/>
      <c r="M53" s="665"/>
      <c r="N53" s="665"/>
      <c r="O53" s="665"/>
      <c r="P53" s="665"/>
    </row>
    <row r="54" spans="1:16" ht="29.25" customHeight="1" x14ac:dyDescent="0.25">
      <c r="A54" s="673" t="s">
        <v>917</v>
      </c>
      <c r="B54" s="674"/>
      <c r="C54" s="674"/>
      <c r="D54" s="674"/>
      <c r="E54" s="674"/>
      <c r="F54" s="674"/>
      <c r="G54" s="674"/>
      <c r="H54" s="674"/>
      <c r="I54" s="674"/>
      <c r="J54" s="674"/>
      <c r="K54" s="674"/>
      <c r="L54" s="674"/>
      <c r="M54" s="674"/>
      <c r="N54" s="674"/>
      <c r="O54" s="674"/>
      <c r="P54" s="674"/>
    </row>
    <row r="55" spans="1:16" x14ac:dyDescent="0.25">
      <c r="A55" s="25"/>
      <c r="B55" s="25"/>
      <c r="C55" s="25"/>
      <c r="D55" s="25"/>
      <c r="E55" s="25"/>
      <c r="F55" s="25"/>
      <c r="G55" s="25"/>
      <c r="H55" s="25"/>
      <c r="I55" s="25"/>
      <c r="J55" s="25"/>
      <c r="K55" s="25"/>
      <c r="L55" s="25"/>
      <c r="M55" s="622"/>
      <c r="N55" s="25"/>
      <c r="O55" s="25"/>
      <c r="P55" s="27" t="s">
        <v>914</v>
      </c>
    </row>
    <row r="56" spans="1:16" s="31" customFormat="1" ht="18" x14ac:dyDescent="0.25">
      <c r="A56" s="16" t="s">
        <v>157</v>
      </c>
      <c r="B56" s="34"/>
      <c r="C56" s="34"/>
      <c r="D56" s="34"/>
      <c r="E56" s="34"/>
      <c r="F56" s="34"/>
      <c r="G56" s="17"/>
      <c r="H56" s="17"/>
      <c r="I56" s="150" t="s">
        <v>39</v>
      </c>
      <c r="J56" s="33"/>
      <c r="K56" s="33"/>
      <c r="L56" s="33"/>
      <c r="M56" s="653"/>
      <c r="N56" s="15"/>
      <c r="O56" s="15"/>
      <c r="P56" s="15"/>
    </row>
    <row r="57" spans="1:16" s="32" customFormat="1" ht="12.75" x14ac:dyDescent="0.2">
      <c r="A57" s="18"/>
      <c r="B57" s="19"/>
      <c r="C57" s="19"/>
      <c r="D57" s="19"/>
      <c r="E57" s="19"/>
      <c r="F57" s="19"/>
      <c r="G57" s="19"/>
      <c r="H57" s="19"/>
      <c r="I57" s="630"/>
      <c r="J57" s="630"/>
      <c r="K57" s="630"/>
      <c r="L57" s="630"/>
      <c r="M57" s="631"/>
      <c r="N57" s="28"/>
      <c r="O57" s="28"/>
      <c r="P57" s="28"/>
    </row>
    <row r="58" spans="1:16" ht="15" customHeight="1" x14ac:dyDescent="0.25">
      <c r="A58" s="642" t="s">
        <v>158</v>
      </c>
      <c r="B58" s="34"/>
      <c r="C58" s="34"/>
      <c r="D58" s="34"/>
      <c r="E58" s="34"/>
      <c r="F58" s="34"/>
      <c r="G58" s="17"/>
      <c r="H58" s="17"/>
      <c r="I58" s="150" t="s">
        <v>39</v>
      </c>
      <c r="J58" s="33"/>
      <c r="K58" s="33"/>
      <c r="L58" s="33"/>
      <c r="M58" s="653"/>
    </row>
    <row r="59" spans="1:16" ht="15.75" customHeight="1" x14ac:dyDescent="0.25">
      <c r="A59" s="642" t="s">
        <v>159</v>
      </c>
      <c r="B59" s="19"/>
      <c r="C59" s="19"/>
      <c r="D59" s="19"/>
      <c r="E59" s="19"/>
      <c r="F59" s="19"/>
      <c r="G59" s="17"/>
      <c r="H59" s="17"/>
      <c r="I59" s="150" t="s">
        <v>39</v>
      </c>
      <c r="J59" s="33"/>
      <c r="K59" s="33"/>
      <c r="L59" s="33"/>
      <c r="M59" s="653"/>
    </row>
    <row r="60" spans="1:16" ht="15.75" customHeight="1" x14ac:dyDescent="0.25">
      <c r="A60" s="642" t="s">
        <v>257</v>
      </c>
      <c r="B60" s="19"/>
      <c r="C60" s="19"/>
      <c r="D60" s="19"/>
      <c r="E60" s="19"/>
      <c r="F60" s="19"/>
      <c r="G60" s="17"/>
      <c r="H60" s="17"/>
      <c r="I60" s="150" t="s">
        <v>39</v>
      </c>
      <c r="J60" s="33"/>
      <c r="K60" s="33"/>
      <c r="L60" s="33"/>
      <c r="M60" s="653"/>
    </row>
    <row r="61" spans="1:16" ht="15.75" customHeight="1" x14ac:dyDescent="0.25">
      <c r="A61" s="654"/>
      <c r="B61" s="114"/>
      <c r="C61" s="114"/>
      <c r="D61" s="114"/>
      <c r="E61" s="114"/>
      <c r="F61" s="114"/>
      <c r="G61" s="114"/>
      <c r="H61" s="114"/>
      <c r="I61" s="156"/>
      <c r="J61" s="123"/>
      <c r="K61" s="123"/>
      <c r="L61" s="123"/>
    </row>
    <row r="62" spans="1:16" ht="15.75" customHeight="1" x14ac:dyDescent="0.25">
      <c r="A62" s="644"/>
      <c r="B62" s="647" t="s">
        <v>55</v>
      </c>
      <c r="C62" s="647"/>
      <c r="D62" s="647"/>
      <c r="E62" s="647"/>
      <c r="F62" s="647"/>
      <c r="G62" s="647"/>
      <c r="H62" s="647"/>
      <c r="I62" s="154"/>
      <c r="J62" s="154"/>
      <c r="K62" s="154"/>
      <c r="L62" s="154"/>
      <c r="M62" s="154"/>
      <c r="N62" s="31"/>
      <c r="O62" s="31"/>
      <c r="P62" s="31"/>
    </row>
    <row r="63" spans="1:16" ht="15.75" customHeight="1" x14ac:dyDescent="0.25">
      <c r="A63" s="646"/>
      <c r="B63" s="647">
        <v>1</v>
      </c>
      <c r="C63" s="647">
        <v>2</v>
      </c>
      <c r="D63" s="647">
        <v>3</v>
      </c>
      <c r="E63" s="647">
        <v>4</v>
      </c>
      <c r="F63" s="647">
        <v>5</v>
      </c>
      <c r="G63" s="647">
        <v>6</v>
      </c>
      <c r="H63" s="23" t="s">
        <v>928</v>
      </c>
      <c r="I63" s="154"/>
      <c r="J63" s="154"/>
      <c r="K63" s="154"/>
      <c r="L63" s="154"/>
      <c r="M63" s="154"/>
      <c r="N63" s="32"/>
      <c r="O63" s="32"/>
      <c r="P63" s="32"/>
    </row>
    <row r="64" spans="1:16" ht="15.75" customHeight="1" x14ac:dyDescent="0.25">
      <c r="A64" s="28" t="s">
        <v>141</v>
      </c>
      <c r="B64" s="639">
        <f>+OLD...Tabs!J41+OLD...Tabs!K41</f>
        <v>87.5452137800266</v>
      </c>
      <c r="C64" s="639">
        <f>+OLD...Tabs!J72+OLD...Tabs!K72</f>
        <v>85.063109581181862</v>
      </c>
      <c r="D64" s="639">
        <f>+OLD...Tabs!J103+OLD...Tabs!K103</f>
        <v>63.703723981859163</v>
      </c>
      <c r="E64" s="639">
        <f>+OLD...Tabs!J134+OLD...Tabs!K134</f>
        <v>65.381213514947817</v>
      </c>
      <c r="F64" s="639">
        <f>+OLD...Tabs!J165+OLD...Tabs!K165</f>
        <v>26.830230762631892</v>
      </c>
      <c r="G64" s="639">
        <f>+OLD...Tabs!J196+OLD...Tabs!K196</f>
        <v>0</v>
      </c>
      <c r="H64" s="118">
        <f>+OLD...Tabs!J9+OLD...Tabs!K9</f>
        <v>72.181449127059693</v>
      </c>
      <c r="I64" s="635"/>
      <c r="J64" s="655"/>
      <c r="K64" s="655"/>
      <c r="L64" s="655"/>
      <c r="M64" s="655"/>
    </row>
    <row r="65" spans="1:16" ht="15.75" customHeight="1" x14ac:dyDescent="0.25">
      <c r="A65" s="28" t="s">
        <v>142</v>
      </c>
      <c r="B65" s="613">
        <f>+OLD...Tabs!J42+OLD...Tabs!K42</f>
        <v>78.456395838461845</v>
      </c>
      <c r="C65" s="613">
        <f>+OLD...Tabs!J73+OLD...Tabs!K73</f>
        <v>0</v>
      </c>
      <c r="D65" s="613">
        <f>+OLD...Tabs!J104+OLD...Tabs!K104</f>
        <v>52.908405154403695</v>
      </c>
      <c r="E65" s="613">
        <f>+OLD...Tabs!J135+OLD...Tabs!K135</f>
        <v>65.707109737248842</v>
      </c>
      <c r="F65" s="613">
        <f>+OLD...Tabs!J166+OLD...Tabs!K166</f>
        <v>50.937950937950937</v>
      </c>
      <c r="G65" s="613">
        <f>+OLD...Tabs!J197+OLD...Tabs!K197</f>
        <v>86.472148541114052</v>
      </c>
      <c r="H65" s="119">
        <f>+OLD...Tabs!J10+OLD...Tabs!K10</f>
        <v>60.982286401228215</v>
      </c>
      <c r="I65" s="635"/>
      <c r="J65" s="655"/>
      <c r="K65" s="655"/>
      <c r="L65" s="655"/>
      <c r="M65" s="655"/>
    </row>
    <row r="66" spans="1:16" ht="15.75" customHeight="1" x14ac:dyDescent="0.25">
      <c r="A66" s="28" t="s">
        <v>143</v>
      </c>
      <c r="B66" s="613">
        <f>+OLD...Tabs!J43+OLD...Tabs!K43</f>
        <v>94.352968460111313</v>
      </c>
      <c r="C66" s="613">
        <f>+OLD...Tabs!J74+OLD...Tabs!K74</f>
        <v>0</v>
      </c>
      <c r="D66" s="613">
        <f>+OLD...Tabs!J105+OLD...Tabs!K105</f>
        <v>69.058415577487324</v>
      </c>
      <c r="E66" s="613">
        <f>+OLD...Tabs!J136+OLD...Tabs!K136</f>
        <v>0</v>
      </c>
      <c r="F66" s="613">
        <f>+OLD...Tabs!J167+OLD...Tabs!K167</f>
        <v>0</v>
      </c>
      <c r="G66" s="613">
        <f>+OLD...Tabs!J198+OLD...Tabs!K198</f>
        <v>0</v>
      </c>
      <c r="H66" s="119">
        <f>+OLD...Tabs!J11+OLD...Tabs!K11</f>
        <v>89.836643329999518</v>
      </c>
      <c r="I66" s="635"/>
      <c r="J66" s="655"/>
      <c r="K66" s="655"/>
      <c r="L66" s="655"/>
      <c r="M66" s="655"/>
    </row>
    <row r="67" spans="1:16" ht="15.75" customHeight="1" x14ac:dyDescent="0.25">
      <c r="A67" s="28" t="s">
        <v>144</v>
      </c>
      <c r="B67" s="613">
        <f>+OLD...Tabs!J44+OLD...Tabs!K44</f>
        <v>79.519483807157698</v>
      </c>
      <c r="C67" s="613">
        <f>+OLD...Tabs!J75+OLD...Tabs!K75</f>
        <v>75.96170981949642</v>
      </c>
      <c r="D67" s="613">
        <f>+OLD...Tabs!J106+OLD...Tabs!K106</f>
        <v>76.839725770343577</v>
      </c>
      <c r="E67" s="613">
        <f>+OLD...Tabs!J137+OLD...Tabs!K137</f>
        <v>60.85214706005091</v>
      </c>
      <c r="F67" s="613">
        <f>+OLD...Tabs!J168+OLD...Tabs!K168</f>
        <v>0</v>
      </c>
      <c r="G67" s="613">
        <f>+OLD...Tabs!J199+OLD...Tabs!K199</f>
        <v>0</v>
      </c>
      <c r="H67" s="119">
        <f>+OLD...Tabs!J12+OLD...Tabs!K12</f>
        <v>78.68320376816834</v>
      </c>
      <c r="I67" s="635"/>
      <c r="J67" s="655"/>
      <c r="K67" s="655"/>
      <c r="L67" s="655"/>
      <c r="M67" s="655"/>
    </row>
    <row r="68" spans="1:16" ht="15.75" customHeight="1" x14ac:dyDescent="0.25">
      <c r="A68" s="28"/>
      <c r="B68" s="613"/>
      <c r="C68" s="613"/>
      <c r="D68" s="613"/>
      <c r="E68" s="613"/>
      <c r="F68" s="613"/>
      <c r="G68" s="613"/>
      <c r="H68" s="119"/>
      <c r="I68" s="635"/>
      <c r="J68" s="655"/>
      <c r="K68" s="655"/>
      <c r="L68" s="655"/>
      <c r="M68" s="655"/>
    </row>
    <row r="69" spans="1:16" ht="15.75" customHeight="1" x14ac:dyDescent="0.25">
      <c r="A69" s="28" t="s">
        <v>145</v>
      </c>
      <c r="B69" s="613">
        <f>+OLD...Tabs!J46+OLD...Tabs!K46</f>
        <v>0</v>
      </c>
      <c r="C69" s="613">
        <f>+OLD...Tabs!J77+OLD...Tabs!K77</f>
        <v>0</v>
      </c>
      <c r="D69" s="613">
        <f>+OLD...Tabs!J108+OLD...Tabs!K108</f>
        <v>0</v>
      </c>
      <c r="E69" s="613">
        <f>+OLD...Tabs!J139+OLD...Tabs!K139</f>
        <v>0</v>
      </c>
      <c r="F69" s="613">
        <f>+OLD...Tabs!J170+OLD...Tabs!K170</f>
        <v>0</v>
      </c>
      <c r="G69" s="613">
        <f>+OLD...Tabs!J201+OLD...Tabs!K201</f>
        <v>0</v>
      </c>
      <c r="H69" s="119">
        <f>+OLD...Tabs!J14+OLD...Tabs!K14</f>
        <v>0</v>
      </c>
      <c r="I69" s="635"/>
      <c r="J69" s="655"/>
      <c r="K69" s="655"/>
      <c r="L69" s="655"/>
      <c r="M69" s="655"/>
    </row>
    <row r="70" spans="1:16" ht="15.75" customHeight="1" x14ac:dyDescent="0.25">
      <c r="A70" s="28" t="s">
        <v>146</v>
      </c>
      <c r="B70" s="613">
        <f>+OLD...Tabs!J47+OLD...Tabs!K47</f>
        <v>90.240552764739277</v>
      </c>
      <c r="C70" s="613">
        <f>+OLD...Tabs!J78+OLD...Tabs!K78</f>
        <v>0</v>
      </c>
      <c r="D70" s="613">
        <f>+OLD...Tabs!J109+OLD...Tabs!K109</f>
        <v>50.786385100889696</v>
      </c>
      <c r="E70" s="613">
        <f>+OLD...Tabs!J140+OLD...Tabs!K140</f>
        <v>75.564772326156017</v>
      </c>
      <c r="F70" s="613">
        <f>+OLD...Tabs!J171+OLD...Tabs!K171</f>
        <v>0</v>
      </c>
      <c r="G70" s="613">
        <f>+OLD...Tabs!J202+OLD...Tabs!K202</f>
        <v>0</v>
      </c>
      <c r="H70" s="119">
        <f>+OLD...Tabs!J15+OLD...Tabs!K15</f>
        <v>72.418664792451054</v>
      </c>
      <c r="I70" s="635"/>
      <c r="J70" s="655"/>
      <c r="K70" s="655"/>
      <c r="L70" s="655"/>
      <c r="M70" s="655"/>
    </row>
    <row r="71" spans="1:16" ht="15.75" customHeight="1" x14ac:dyDescent="0.25">
      <c r="A71" s="28" t="s">
        <v>147</v>
      </c>
      <c r="B71" s="613">
        <f>+OLD...Tabs!J48+OLD...Tabs!K48</f>
        <v>0</v>
      </c>
      <c r="C71" s="613">
        <f>+OLD...Tabs!J79+OLD...Tabs!K79</f>
        <v>0</v>
      </c>
      <c r="D71" s="613">
        <f>+OLD...Tabs!J110+OLD...Tabs!K110</f>
        <v>0</v>
      </c>
      <c r="E71" s="613">
        <f>+OLD...Tabs!J141+OLD...Tabs!K141</f>
        <v>0</v>
      </c>
      <c r="F71" s="613">
        <f>+OLD...Tabs!J172+OLD...Tabs!K172</f>
        <v>0</v>
      </c>
      <c r="G71" s="613">
        <f>+OLD...Tabs!J203+OLD...Tabs!K203</f>
        <v>0</v>
      </c>
      <c r="H71" s="119">
        <f>+OLD...Tabs!J16+OLD...Tabs!K16</f>
        <v>0</v>
      </c>
      <c r="I71" s="635"/>
      <c r="J71" s="655"/>
      <c r="K71" s="655"/>
      <c r="L71" s="655"/>
      <c r="M71" s="655"/>
    </row>
    <row r="72" spans="1:16" ht="15.75" customHeight="1" x14ac:dyDescent="0.25">
      <c r="A72" s="28" t="s">
        <v>177</v>
      </c>
      <c r="B72" s="613">
        <f>+OLD...Tabs!J49+OLD...Tabs!K49</f>
        <v>95.768318090550309</v>
      </c>
      <c r="C72" s="613">
        <f>+OLD...Tabs!J80+OLD...Tabs!K80</f>
        <v>86.71529091877791</v>
      </c>
      <c r="D72" s="613">
        <f>+OLD...Tabs!J111+OLD...Tabs!K111</f>
        <v>85.988977555242613</v>
      </c>
      <c r="E72" s="613">
        <f>+OLD...Tabs!J142+OLD...Tabs!K142</f>
        <v>81.86829818655464</v>
      </c>
      <c r="F72" s="613">
        <f>+OLD...Tabs!J173+OLD...Tabs!K173</f>
        <v>88.595980192251673</v>
      </c>
      <c r="G72" s="613">
        <f>+OLD...Tabs!J204+OLD...Tabs!K204</f>
        <v>100</v>
      </c>
      <c r="H72" s="119">
        <f>+OLD...Tabs!J17+OLD...Tabs!K17</f>
        <v>60.966073195652356</v>
      </c>
      <c r="I72" s="635"/>
      <c r="J72" s="655"/>
      <c r="K72" s="655"/>
      <c r="L72" s="655"/>
      <c r="M72" s="655"/>
    </row>
    <row r="73" spans="1:16" ht="15.75" customHeight="1" x14ac:dyDescent="0.25">
      <c r="A73" s="28"/>
      <c r="B73" s="613"/>
      <c r="C73" s="613"/>
      <c r="D73" s="613"/>
      <c r="E73" s="613"/>
      <c r="F73" s="613"/>
      <c r="G73" s="613"/>
      <c r="H73" s="119"/>
      <c r="I73" s="635"/>
      <c r="J73" s="655"/>
      <c r="K73" s="655"/>
      <c r="L73" s="655"/>
      <c r="M73" s="655"/>
    </row>
    <row r="74" spans="1:16" ht="15.75" customHeight="1" x14ac:dyDescent="0.25">
      <c r="A74" s="28" t="s">
        <v>148</v>
      </c>
      <c r="B74" s="613">
        <f>+OLD...Tabs!J51+OLD...Tabs!K51</f>
        <v>73.71884330780216</v>
      </c>
      <c r="C74" s="613">
        <f>+OLD...Tabs!J82+OLD...Tabs!K82</f>
        <v>93.906034779614316</v>
      </c>
      <c r="D74" s="613">
        <f>+OLD...Tabs!J113+OLD...Tabs!K113</f>
        <v>0</v>
      </c>
      <c r="E74" s="613">
        <f>+OLD...Tabs!J144+OLD...Tabs!K144</f>
        <v>60.963667482722016</v>
      </c>
      <c r="F74" s="613">
        <f>+OLD...Tabs!J175+OLD...Tabs!K175</f>
        <v>72.089201877934258</v>
      </c>
      <c r="G74" s="613">
        <f>+OLD...Tabs!J206+OLD...Tabs!K206</f>
        <v>0</v>
      </c>
      <c r="H74" s="119">
        <f>+OLD...Tabs!J19+OLD...Tabs!K19</f>
        <v>78.521191479146111</v>
      </c>
      <c r="I74" s="635"/>
      <c r="J74" s="655"/>
      <c r="K74" s="655"/>
      <c r="L74" s="655"/>
      <c r="M74" s="655"/>
    </row>
    <row r="75" spans="1:16" ht="15.75" customHeight="1" x14ac:dyDescent="0.25">
      <c r="A75" s="28" t="s">
        <v>149</v>
      </c>
      <c r="B75" s="613">
        <f>+OLD...Tabs!J52+OLD...Tabs!K52</f>
        <v>88.715677413878325</v>
      </c>
      <c r="C75" s="613">
        <f>+OLD...Tabs!J83+OLD...Tabs!K83</f>
        <v>70.441261920224207</v>
      </c>
      <c r="D75" s="613">
        <f>+OLD...Tabs!J114+OLD...Tabs!K114</f>
        <v>78.524897733214402</v>
      </c>
      <c r="E75" s="613">
        <f>+OLD...Tabs!J145+OLD...Tabs!K145</f>
        <v>75.33185840707965</v>
      </c>
      <c r="F75" s="613">
        <f>+OLD...Tabs!J176+OLD...Tabs!K176</f>
        <v>65.524578773666846</v>
      </c>
      <c r="G75" s="613">
        <f>+OLD...Tabs!J207+OLD...Tabs!K207</f>
        <v>67.084942084942085</v>
      </c>
      <c r="H75" s="119">
        <f>+OLD...Tabs!J20+OLD...Tabs!K20</f>
        <v>81.500736515821856</v>
      </c>
      <c r="I75" s="635"/>
      <c r="J75" s="655"/>
      <c r="K75" s="655"/>
      <c r="L75" s="655"/>
      <c r="M75" s="655"/>
    </row>
    <row r="76" spans="1:16" ht="15.75" customHeight="1" x14ac:dyDescent="0.25">
      <c r="A76" s="28" t="s">
        <v>150</v>
      </c>
      <c r="B76" s="613">
        <f>+OLD...Tabs!J53+OLD...Tabs!K53</f>
        <v>82.429220255528676</v>
      </c>
      <c r="C76" s="613">
        <f>+OLD...Tabs!J84+OLD...Tabs!K84</f>
        <v>0</v>
      </c>
      <c r="D76" s="613">
        <f>+OLD...Tabs!J115+OLD...Tabs!K115</f>
        <v>88.329656281572809</v>
      </c>
      <c r="E76" s="613">
        <f>+OLD...Tabs!J146+OLD...Tabs!K146</f>
        <v>73.660352922130485</v>
      </c>
      <c r="F76" s="613">
        <f>+OLD...Tabs!J177+OLD...Tabs!K177</f>
        <v>58.647131040312352</v>
      </c>
      <c r="G76" s="613">
        <f>+OLD...Tabs!J208+OLD...Tabs!K208</f>
        <v>0</v>
      </c>
      <c r="H76" s="119">
        <f>+OLD...Tabs!J21+OLD...Tabs!K21</f>
        <v>77.647420178349336</v>
      </c>
      <c r="I76" s="635"/>
      <c r="J76" s="655"/>
      <c r="K76" s="655"/>
      <c r="L76" s="655"/>
      <c r="M76" s="655"/>
    </row>
    <row r="77" spans="1:16" s="25" customFormat="1" x14ac:dyDescent="0.25">
      <c r="A77" s="28" t="s">
        <v>151</v>
      </c>
      <c r="B77" s="613">
        <f>+OLD...Tabs!J54+OLD...Tabs!K54</f>
        <v>80.240724731831818</v>
      </c>
      <c r="C77" s="613">
        <f>+OLD...Tabs!J85+OLD...Tabs!K85</f>
        <v>0</v>
      </c>
      <c r="D77" s="613">
        <f>+OLD...Tabs!J116+OLD...Tabs!K116</f>
        <v>93.174088638537569</v>
      </c>
      <c r="E77" s="613">
        <f>+OLD...Tabs!J147+OLD...Tabs!K147</f>
        <v>90.474411654837496</v>
      </c>
      <c r="F77" s="613">
        <f>+OLD...Tabs!J178+OLD...Tabs!K178</f>
        <v>84.487848275304287</v>
      </c>
      <c r="G77" s="613">
        <f>+OLD...Tabs!J209+OLD...Tabs!K209</f>
        <v>71.502468845520809</v>
      </c>
      <c r="H77" s="119">
        <f>+OLD...Tabs!J22+OLD...Tabs!K22</f>
        <v>82.825435969702298</v>
      </c>
      <c r="I77" s="635"/>
      <c r="J77" s="655"/>
      <c r="K77" s="655"/>
      <c r="L77" s="655"/>
      <c r="M77" s="655"/>
      <c r="N77" s="15"/>
      <c r="O77" s="15"/>
      <c r="P77" s="15"/>
    </row>
    <row r="78" spans="1:16" s="25" customFormat="1" ht="27.75" customHeight="1" x14ac:dyDescent="0.25">
      <c r="A78" s="28"/>
      <c r="B78" s="613"/>
      <c r="C78" s="613"/>
      <c r="D78" s="613"/>
      <c r="E78" s="613"/>
      <c r="F78" s="613"/>
      <c r="G78" s="613"/>
      <c r="H78" s="119"/>
      <c r="I78" s="635"/>
      <c r="J78" s="655"/>
      <c r="K78" s="655"/>
      <c r="L78" s="655"/>
      <c r="M78" s="655"/>
      <c r="N78" s="15"/>
      <c r="O78" s="15"/>
      <c r="P78" s="15"/>
    </row>
    <row r="79" spans="1:16" s="25" customFormat="1" x14ac:dyDescent="0.25">
      <c r="A79" s="28" t="s">
        <v>152</v>
      </c>
      <c r="B79" s="613">
        <f>+OLD...Tabs!J56+OLD...Tabs!K56</f>
        <v>74.797905803899653</v>
      </c>
      <c r="C79" s="613">
        <f>+OLD...Tabs!J87+OLD...Tabs!K87</f>
        <v>80.831207414344306</v>
      </c>
      <c r="D79" s="613">
        <f>+OLD...Tabs!J118+OLD...Tabs!K118</f>
        <v>62.10139907585291</v>
      </c>
      <c r="E79" s="613">
        <f>+OLD...Tabs!J149+OLD...Tabs!K149</f>
        <v>0</v>
      </c>
      <c r="F79" s="613">
        <f>+OLD...Tabs!J180+OLD...Tabs!K180</f>
        <v>30.150823301508236</v>
      </c>
      <c r="G79" s="613">
        <f>+OLD...Tabs!J211+OLD...Tabs!K211</f>
        <v>0</v>
      </c>
      <c r="H79" s="119">
        <f>+OLD...Tabs!J24+OLD...Tabs!K24</f>
        <v>69.279014494810056</v>
      </c>
      <c r="I79" s="635"/>
      <c r="J79" s="655"/>
      <c r="K79" s="655"/>
      <c r="L79" s="655"/>
      <c r="M79" s="655"/>
      <c r="N79" s="15"/>
      <c r="O79" s="15"/>
      <c r="P79" s="15"/>
    </row>
    <row r="80" spans="1:16" x14ac:dyDescent="0.25">
      <c r="A80" s="28" t="s">
        <v>153</v>
      </c>
      <c r="B80" s="613">
        <f>+OLD...Tabs!J57+OLD...Tabs!K57</f>
        <v>87.599119652732014</v>
      </c>
      <c r="C80" s="613">
        <f>+OLD...Tabs!J88+OLD...Tabs!K88</f>
        <v>70.503060287007045</v>
      </c>
      <c r="D80" s="613">
        <f>+OLD...Tabs!J119+OLD...Tabs!K119</f>
        <v>63.825537423670369</v>
      </c>
      <c r="E80" s="613">
        <f>+OLD...Tabs!J150+OLD...Tabs!K150</f>
        <v>43.043712898003236</v>
      </c>
      <c r="F80" s="613">
        <f>+OLD...Tabs!J181+OLD...Tabs!K181</f>
        <v>43.850241070550041</v>
      </c>
      <c r="G80" s="613">
        <f>+OLD...Tabs!J212+OLD...Tabs!K212</f>
        <v>91.990090834021458</v>
      </c>
      <c r="H80" s="119">
        <f>+OLD...Tabs!J25+OLD...Tabs!K25</f>
        <v>76.678318303378276</v>
      </c>
      <c r="I80" s="635"/>
      <c r="J80" s="655"/>
      <c r="K80" s="655"/>
      <c r="L80" s="655"/>
      <c r="M80" s="655"/>
    </row>
    <row r="81" spans="1:16" s="28" customFormat="1" x14ac:dyDescent="0.25">
      <c r="A81" s="28" t="s">
        <v>154</v>
      </c>
      <c r="B81" s="613">
        <f>+OLD...Tabs!J58+OLD...Tabs!K58</f>
        <v>91.282454955608131</v>
      </c>
      <c r="C81" s="613">
        <f>+OLD...Tabs!J89+OLD...Tabs!K89</f>
        <v>94.952224861481497</v>
      </c>
      <c r="D81" s="613">
        <f>+OLD...Tabs!J120+OLD...Tabs!K120</f>
        <v>87.902131479509819</v>
      </c>
      <c r="E81" s="613">
        <f>+OLD...Tabs!J151+OLD...Tabs!K151</f>
        <v>90.960348263925312</v>
      </c>
      <c r="F81" s="613">
        <f>+OLD...Tabs!J182+OLD...Tabs!K182</f>
        <v>87.679443540032551</v>
      </c>
      <c r="G81" s="613">
        <f>+OLD...Tabs!J213+OLD...Tabs!K213</f>
        <v>0</v>
      </c>
      <c r="H81" s="119">
        <f>+OLD...Tabs!J26+OLD...Tabs!K26</f>
        <v>91.833058625690157</v>
      </c>
      <c r="I81" s="635"/>
      <c r="J81" s="655"/>
      <c r="K81" s="655"/>
      <c r="L81" s="655"/>
      <c r="M81" s="655"/>
      <c r="N81" s="15"/>
      <c r="O81" s="15"/>
      <c r="P81" s="15"/>
    </row>
    <row r="82" spans="1:16" x14ac:dyDescent="0.25">
      <c r="A82" s="242" t="s">
        <v>155</v>
      </c>
      <c r="B82" s="620">
        <f>+OLD...Tabs!J59+OLD...Tabs!K59</f>
        <v>74.543683942499271</v>
      </c>
      <c r="C82" s="620">
        <f>+OLD...Tabs!J90+OLD...Tabs!K90</f>
        <v>0</v>
      </c>
      <c r="D82" s="620">
        <f>+OLD...Tabs!J121+OLD...Tabs!K121</f>
        <v>79.795540383497979</v>
      </c>
      <c r="E82" s="620">
        <f>+OLD...Tabs!J152+OLD...Tabs!K152</f>
        <v>0</v>
      </c>
      <c r="F82" s="620">
        <f>+OLD...Tabs!J183+OLD...Tabs!K183</f>
        <v>52.140891579526695</v>
      </c>
      <c r="G82" s="620">
        <f>+OLD...Tabs!J214+OLD...Tabs!K214</f>
        <v>44.765521796565395</v>
      </c>
      <c r="H82" s="120">
        <f>+OLD...Tabs!J27+OLD...Tabs!K27</f>
        <v>74.024113054649661</v>
      </c>
      <c r="I82" s="635"/>
      <c r="J82" s="655"/>
      <c r="K82" s="655"/>
      <c r="L82" s="655"/>
      <c r="M82" s="655"/>
    </row>
    <row r="83" spans="1:16" ht="39" customHeight="1" x14ac:dyDescent="0.25">
      <c r="A83" s="675" t="s">
        <v>916</v>
      </c>
      <c r="B83" s="675"/>
      <c r="C83" s="675"/>
      <c r="D83" s="675"/>
      <c r="E83" s="675"/>
      <c r="F83" s="675"/>
      <c r="G83" s="675"/>
      <c r="H83" s="675"/>
      <c r="I83" s="25"/>
      <c r="J83" s="25"/>
      <c r="K83" s="25"/>
      <c r="L83" s="25"/>
      <c r="M83" s="26"/>
      <c r="N83" s="25"/>
      <c r="O83" s="25"/>
      <c r="P83" s="25"/>
    </row>
    <row r="84" spans="1:16" s="32" customFormat="1" ht="12.75" x14ac:dyDescent="0.2">
      <c r="A84" s="25"/>
      <c r="B84" s="25"/>
      <c r="C84" s="25"/>
      <c r="D84" s="25"/>
      <c r="E84" s="25"/>
      <c r="F84" s="25"/>
      <c r="G84" s="25"/>
      <c r="H84" s="27" t="s">
        <v>914</v>
      </c>
      <c r="I84" s="25"/>
      <c r="J84" s="25"/>
      <c r="K84" s="25"/>
      <c r="L84" s="25"/>
      <c r="M84" s="26"/>
      <c r="N84" s="25"/>
      <c r="O84" s="25"/>
      <c r="P84" s="25"/>
    </row>
    <row r="85" spans="1:16" s="32" customFormat="1" ht="18" x14ac:dyDescent="0.25">
      <c r="A85" s="16" t="s">
        <v>160</v>
      </c>
      <c r="B85" s="34"/>
      <c r="C85" s="34"/>
      <c r="D85" s="34"/>
      <c r="E85" s="34"/>
      <c r="F85" s="34"/>
      <c r="G85" s="17"/>
      <c r="H85" s="17"/>
      <c r="I85" s="150"/>
      <c r="J85" s="33"/>
      <c r="K85" s="33"/>
      <c r="L85" s="33"/>
      <c r="M85" s="653"/>
      <c r="N85" s="15"/>
      <c r="O85" s="15"/>
      <c r="P85" s="15"/>
    </row>
    <row r="86" spans="1:16" ht="11.25" customHeight="1" x14ac:dyDescent="0.25">
      <c r="A86" s="18"/>
      <c r="B86" s="19"/>
      <c r="C86" s="19"/>
      <c r="D86" s="19"/>
      <c r="E86" s="19"/>
      <c r="F86" s="19"/>
      <c r="G86" s="19"/>
      <c r="H86" s="19"/>
      <c r="I86" s="630"/>
      <c r="J86" s="630"/>
      <c r="K86" s="630"/>
      <c r="L86" s="630"/>
      <c r="M86" s="631"/>
      <c r="N86" s="28"/>
      <c r="O86" s="28"/>
      <c r="P86" s="28"/>
    </row>
    <row r="87" spans="1:16" ht="15.75" customHeight="1" x14ac:dyDescent="0.25">
      <c r="A87" s="642" t="s">
        <v>161</v>
      </c>
      <c r="B87" s="34"/>
      <c r="C87" s="34"/>
      <c r="D87" s="34"/>
      <c r="E87" s="34"/>
      <c r="F87" s="34"/>
      <c r="G87" s="17"/>
      <c r="H87" s="17"/>
      <c r="I87" s="150"/>
      <c r="J87" s="33"/>
      <c r="K87" s="33"/>
      <c r="L87" s="33"/>
      <c r="M87" s="653"/>
    </row>
    <row r="88" spans="1:16" ht="15.75" customHeight="1" x14ac:dyDescent="0.25">
      <c r="A88" s="642" t="s">
        <v>257</v>
      </c>
      <c r="B88" s="19"/>
      <c r="C88" s="19"/>
      <c r="D88" s="19"/>
      <c r="E88" s="19"/>
      <c r="F88" s="19"/>
      <c r="G88" s="17"/>
      <c r="H88" s="17"/>
      <c r="I88" s="150"/>
      <c r="J88" s="33"/>
      <c r="K88" s="33"/>
      <c r="L88" s="33"/>
      <c r="M88" s="653"/>
    </row>
    <row r="89" spans="1:16" ht="15.75" customHeight="1" x14ac:dyDescent="0.25">
      <c r="A89" s="656"/>
      <c r="B89" s="630"/>
      <c r="C89" s="630"/>
      <c r="D89" s="630"/>
      <c r="E89" s="630"/>
      <c r="F89" s="630"/>
      <c r="G89" s="33"/>
      <c r="H89" s="33"/>
      <c r="I89" s="150"/>
      <c r="J89" s="33"/>
      <c r="K89" s="33"/>
      <c r="L89" s="33"/>
      <c r="M89" s="653"/>
    </row>
    <row r="90" spans="1:16" ht="15.75" customHeight="1" x14ac:dyDescent="0.25">
      <c r="A90" s="646"/>
      <c r="B90" s="647" t="s">
        <v>55</v>
      </c>
      <c r="C90" s="647"/>
      <c r="D90" s="647"/>
      <c r="E90" s="647"/>
      <c r="F90" s="647"/>
      <c r="G90" s="647"/>
      <c r="H90" s="647"/>
      <c r="I90" s="154"/>
      <c r="J90" s="154"/>
      <c r="K90" s="154"/>
      <c r="L90" s="154"/>
      <c r="M90" s="154"/>
      <c r="N90" s="154"/>
      <c r="O90" s="32"/>
      <c r="P90" s="32"/>
    </row>
    <row r="91" spans="1:16" ht="15.75" customHeight="1" x14ac:dyDescent="0.25">
      <c r="A91" s="646"/>
      <c r="B91" s="647">
        <v>1</v>
      </c>
      <c r="C91" s="647">
        <v>2</v>
      </c>
      <c r="D91" s="647">
        <v>3</v>
      </c>
      <c r="E91" s="647">
        <v>4</v>
      </c>
      <c r="F91" s="647">
        <v>5</v>
      </c>
      <c r="G91" s="647">
        <v>6</v>
      </c>
      <c r="H91" s="23" t="s">
        <v>928</v>
      </c>
      <c r="I91" s="154"/>
      <c r="J91" s="154"/>
      <c r="K91" s="154"/>
      <c r="L91" s="154"/>
      <c r="M91" s="154"/>
      <c r="N91" s="154"/>
      <c r="O91" s="32"/>
      <c r="P91" s="32"/>
    </row>
    <row r="92" spans="1:16" x14ac:dyDescent="0.25">
      <c r="A92" s="28" t="s">
        <v>141</v>
      </c>
      <c r="B92" s="639">
        <f>+OLD...Tabs!L41</f>
        <v>12.454786219973412</v>
      </c>
      <c r="C92" s="639">
        <f>+OLD...Tabs!L72</f>
        <v>14.936890418818129</v>
      </c>
      <c r="D92" s="639">
        <f>+OLD...Tabs!L103</f>
        <v>36.296276018140837</v>
      </c>
      <c r="E92" s="639">
        <f>+OLD...Tabs!L134</f>
        <v>34.618786485052183</v>
      </c>
      <c r="F92" s="639">
        <f>+OLD...Tabs!L165</f>
        <v>73.169769237368115</v>
      </c>
      <c r="G92" s="639">
        <f>+OLD...Tabs!L196</f>
        <v>0</v>
      </c>
      <c r="H92" s="118">
        <f>+OLD...Tabs!L9</f>
        <v>27.818550872940314</v>
      </c>
      <c r="I92" s="635"/>
      <c r="J92" s="655"/>
      <c r="K92" s="655"/>
      <c r="L92" s="655"/>
      <c r="M92" s="655"/>
      <c r="N92" s="123"/>
    </row>
    <row r="93" spans="1:16" x14ac:dyDescent="0.25">
      <c r="A93" s="28" t="s">
        <v>142</v>
      </c>
      <c r="B93" s="613">
        <f>+OLD...Tabs!L42</f>
        <v>21.543604161538163</v>
      </c>
      <c r="C93" s="613">
        <f>+OLD...Tabs!L73</f>
        <v>0</v>
      </c>
      <c r="D93" s="613">
        <f>+OLD...Tabs!L104</f>
        <v>47.091594845596305</v>
      </c>
      <c r="E93" s="613">
        <f>+OLD...Tabs!L135</f>
        <v>34.292890262751158</v>
      </c>
      <c r="F93" s="613">
        <f>+OLD...Tabs!L166</f>
        <v>49.062049062049063</v>
      </c>
      <c r="G93" s="613">
        <f>+OLD...Tabs!L197</f>
        <v>13.527851458885941</v>
      </c>
      <c r="H93" s="119">
        <f>+OLD...Tabs!L10</f>
        <v>39.017713598771778</v>
      </c>
      <c r="I93" s="635"/>
      <c r="J93" s="655"/>
      <c r="K93" s="655"/>
      <c r="L93" s="655"/>
      <c r="M93" s="655"/>
      <c r="N93" s="123"/>
    </row>
    <row r="94" spans="1:16" x14ac:dyDescent="0.25">
      <c r="A94" s="28" t="s">
        <v>143</v>
      </c>
      <c r="B94" s="613">
        <f>+OLD...Tabs!L43</f>
        <v>5.6470315398886823</v>
      </c>
      <c r="C94" s="613">
        <f>+OLD...Tabs!L74</f>
        <v>0</v>
      </c>
      <c r="D94" s="613">
        <f>+OLD...Tabs!L105</f>
        <v>30.941584422512669</v>
      </c>
      <c r="E94" s="613">
        <f>+OLD...Tabs!L136</f>
        <v>0</v>
      </c>
      <c r="F94" s="613">
        <f>+OLD...Tabs!L167</f>
        <v>0</v>
      </c>
      <c r="G94" s="613">
        <f>+OLD...Tabs!L198</f>
        <v>0</v>
      </c>
      <c r="H94" s="119">
        <f>+OLD...Tabs!L11</f>
        <v>10.163356670000475</v>
      </c>
      <c r="I94" s="635"/>
      <c r="J94" s="655"/>
      <c r="K94" s="655"/>
      <c r="L94" s="655"/>
      <c r="M94" s="655"/>
      <c r="N94" s="123"/>
    </row>
    <row r="95" spans="1:16" x14ac:dyDescent="0.25">
      <c r="A95" s="28" t="s">
        <v>174</v>
      </c>
      <c r="B95" s="613">
        <f>+OLD...Tabs!L44</f>
        <v>20.480516192842298</v>
      </c>
      <c r="C95" s="613">
        <f>+OLD...Tabs!L75</f>
        <v>24.038290180503573</v>
      </c>
      <c r="D95" s="613">
        <f>+OLD...Tabs!L106</f>
        <v>23.160274229656427</v>
      </c>
      <c r="E95" s="613">
        <f>+OLD...Tabs!L137</f>
        <v>39.14785293994909</v>
      </c>
      <c r="F95" s="613">
        <f>+OLD...Tabs!L168</f>
        <v>0</v>
      </c>
      <c r="G95" s="613">
        <f>+OLD...Tabs!L199</f>
        <v>0</v>
      </c>
      <c r="H95" s="119">
        <f>+OLD...Tabs!L12</f>
        <v>21.316796231831656</v>
      </c>
      <c r="I95" s="635"/>
      <c r="J95" s="655"/>
      <c r="K95" s="655"/>
      <c r="L95" s="655"/>
      <c r="M95" s="655"/>
      <c r="N95" s="123"/>
    </row>
    <row r="96" spans="1:16" x14ac:dyDescent="0.25">
      <c r="A96" s="28"/>
      <c r="B96" s="613"/>
      <c r="C96" s="613"/>
      <c r="D96" s="613"/>
      <c r="E96" s="613"/>
      <c r="F96" s="613"/>
      <c r="G96" s="613"/>
      <c r="H96" s="119"/>
      <c r="I96" s="635"/>
      <c r="J96" s="655"/>
      <c r="K96" s="655"/>
      <c r="L96" s="655"/>
      <c r="M96" s="655"/>
      <c r="N96" s="123"/>
    </row>
    <row r="97" spans="1:16" x14ac:dyDescent="0.25">
      <c r="A97" s="28" t="s">
        <v>145</v>
      </c>
      <c r="B97" s="613">
        <f>+OLD...Tabs!L46</f>
        <v>0</v>
      </c>
      <c r="C97" s="613">
        <f>+OLD...Tabs!L77</f>
        <v>0</v>
      </c>
      <c r="D97" s="613">
        <f>+OLD...Tabs!L108</f>
        <v>0</v>
      </c>
      <c r="E97" s="613">
        <f>+OLD...Tabs!L139</f>
        <v>0</v>
      </c>
      <c r="F97" s="613">
        <f>+OLD...Tabs!L170</f>
        <v>0</v>
      </c>
      <c r="G97" s="613">
        <f>+OLD...Tabs!L201</f>
        <v>0</v>
      </c>
      <c r="H97" s="119">
        <f>+OLD...Tabs!L14</f>
        <v>0</v>
      </c>
      <c r="I97" s="635"/>
      <c r="J97" s="655"/>
      <c r="K97" s="655"/>
      <c r="L97" s="655"/>
      <c r="M97" s="655"/>
      <c r="N97" s="123"/>
    </row>
    <row r="98" spans="1:16" x14ac:dyDescent="0.25">
      <c r="A98" s="28" t="s">
        <v>146</v>
      </c>
      <c r="B98" s="613">
        <f>+OLD...Tabs!L47</f>
        <v>9.7594472352607244</v>
      </c>
      <c r="C98" s="613">
        <f>+OLD...Tabs!L78</f>
        <v>0</v>
      </c>
      <c r="D98" s="613">
        <f>+OLD...Tabs!L109</f>
        <v>49.213614899110304</v>
      </c>
      <c r="E98" s="613">
        <f>+OLD...Tabs!L140</f>
        <v>24.435227673843983</v>
      </c>
      <c r="F98" s="613">
        <f>+OLD...Tabs!L171</f>
        <v>0</v>
      </c>
      <c r="G98" s="613">
        <f>+OLD...Tabs!L202</f>
        <v>0</v>
      </c>
      <c r="H98" s="119">
        <f>+OLD...Tabs!L15</f>
        <v>27.581335207548943</v>
      </c>
      <c r="I98" s="635"/>
      <c r="J98" s="655"/>
      <c r="K98" s="655"/>
      <c r="L98" s="655"/>
      <c r="M98" s="655"/>
      <c r="N98" s="123"/>
    </row>
    <row r="99" spans="1:16" x14ac:dyDescent="0.25">
      <c r="A99" s="28" t="s">
        <v>147</v>
      </c>
      <c r="B99" s="613">
        <f>+OLD...Tabs!L48</f>
        <v>0</v>
      </c>
      <c r="C99" s="613">
        <f>+OLD...Tabs!L79</f>
        <v>0</v>
      </c>
      <c r="D99" s="613">
        <f>+OLD...Tabs!L110</f>
        <v>0</v>
      </c>
      <c r="E99" s="613">
        <f>+OLD...Tabs!L141</f>
        <v>0</v>
      </c>
      <c r="F99" s="613">
        <f>+OLD...Tabs!L172</f>
        <v>0</v>
      </c>
      <c r="G99" s="613">
        <f>+OLD...Tabs!L203</f>
        <v>0</v>
      </c>
      <c r="H99" s="119">
        <f>+OLD...Tabs!L16</f>
        <v>0</v>
      </c>
      <c r="I99" s="635"/>
      <c r="J99" s="655"/>
      <c r="K99" s="655"/>
      <c r="L99" s="655"/>
      <c r="M99" s="655"/>
      <c r="N99" s="123"/>
    </row>
    <row r="100" spans="1:16" x14ac:dyDescent="0.25">
      <c r="A100" s="28" t="s">
        <v>177</v>
      </c>
      <c r="B100" s="613">
        <f>+OLD...Tabs!L49</f>
        <v>4.2316819094496863</v>
      </c>
      <c r="C100" s="613">
        <f>+OLD...Tabs!L80</f>
        <v>13.284709081222099</v>
      </c>
      <c r="D100" s="613">
        <f>+OLD...Tabs!L111</f>
        <v>14.011022444757387</v>
      </c>
      <c r="E100" s="613">
        <f>+OLD...Tabs!L142</f>
        <v>18.131701813445364</v>
      </c>
      <c r="F100" s="613">
        <f>+OLD...Tabs!L173</f>
        <v>11.404019807748325</v>
      </c>
      <c r="G100" s="613">
        <f>+OLD...Tabs!L204</f>
        <v>0</v>
      </c>
      <c r="H100" s="119">
        <f>+OLD...Tabs!L17</f>
        <v>39.033926804347651</v>
      </c>
      <c r="I100" s="635"/>
      <c r="J100" s="655"/>
      <c r="K100" s="655"/>
      <c r="L100" s="655"/>
      <c r="M100" s="655"/>
      <c r="N100" s="123"/>
    </row>
    <row r="101" spans="1:16" x14ac:dyDescent="0.25">
      <c r="A101" s="28"/>
      <c r="B101" s="613"/>
      <c r="C101" s="613"/>
      <c r="D101" s="613"/>
      <c r="E101" s="613"/>
      <c r="F101" s="613"/>
      <c r="G101" s="613"/>
      <c r="H101" s="119"/>
      <c r="I101" s="635"/>
      <c r="J101" s="655"/>
      <c r="K101" s="655"/>
      <c r="L101" s="655"/>
      <c r="M101" s="655"/>
      <c r="N101" s="123"/>
    </row>
    <row r="102" spans="1:16" x14ac:dyDescent="0.25">
      <c r="A102" s="28" t="s">
        <v>148</v>
      </c>
      <c r="B102" s="613">
        <f>+OLD...Tabs!L51</f>
        <v>26.281156692197847</v>
      </c>
      <c r="C102" s="613">
        <f>+OLD...Tabs!L82</f>
        <v>6.0939652203856749</v>
      </c>
      <c r="D102" s="613">
        <f>+OLD...Tabs!L113</f>
        <v>0</v>
      </c>
      <c r="E102" s="613">
        <f>+OLD...Tabs!L144</f>
        <v>39.036332517277984</v>
      </c>
      <c r="F102" s="613">
        <f>+OLD...Tabs!L175</f>
        <v>27.910798122065728</v>
      </c>
      <c r="G102" s="613">
        <f>+OLD...Tabs!L206</f>
        <v>0</v>
      </c>
      <c r="H102" s="119">
        <f>+OLD...Tabs!L19</f>
        <v>21.478808520853885</v>
      </c>
      <c r="I102" s="635"/>
      <c r="J102" s="655"/>
      <c r="K102" s="655"/>
      <c r="L102" s="655"/>
      <c r="M102" s="655"/>
      <c r="N102" s="123"/>
    </row>
    <row r="103" spans="1:16" x14ac:dyDescent="0.25">
      <c r="A103" s="28" t="s">
        <v>149</v>
      </c>
      <c r="B103" s="613">
        <f>+OLD...Tabs!L52</f>
        <v>11.284322586121668</v>
      </c>
      <c r="C103" s="613">
        <f>+OLD...Tabs!L83</f>
        <v>29.558738079775779</v>
      </c>
      <c r="D103" s="613">
        <f>+OLD...Tabs!L114</f>
        <v>21.475102266785594</v>
      </c>
      <c r="E103" s="613">
        <f>+OLD...Tabs!L145</f>
        <v>24.668141592920353</v>
      </c>
      <c r="F103" s="613">
        <f>+OLD...Tabs!L176</f>
        <v>34.475421226333161</v>
      </c>
      <c r="G103" s="613">
        <f>+OLD...Tabs!L207</f>
        <v>32.915057915057915</v>
      </c>
      <c r="H103" s="119">
        <f>+OLD...Tabs!L20</f>
        <v>18.499263484178144</v>
      </c>
      <c r="I103" s="635"/>
      <c r="J103" s="655"/>
      <c r="K103" s="655"/>
      <c r="L103" s="655"/>
      <c r="M103" s="655"/>
      <c r="N103" s="123"/>
    </row>
    <row r="104" spans="1:16" x14ac:dyDescent="0.25">
      <c r="A104" s="28" t="s">
        <v>150</v>
      </c>
      <c r="B104" s="613">
        <f>+OLD...Tabs!L53</f>
        <v>17.570779744471327</v>
      </c>
      <c r="C104" s="613">
        <f>+OLD...Tabs!L84</f>
        <v>0</v>
      </c>
      <c r="D104" s="613">
        <f>+OLD...Tabs!L115</f>
        <v>11.670343718427183</v>
      </c>
      <c r="E104" s="613">
        <f>+OLD...Tabs!L146</f>
        <v>26.339647077869515</v>
      </c>
      <c r="F104" s="613">
        <f>+OLD...Tabs!L177</f>
        <v>41.352868959687648</v>
      </c>
      <c r="G104" s="613">
        <f>+OLD...Tabs!L208</f>
        <v>0</v>
      </c>
      <c r="H104" s="119">
        <f>+OLD...Tabs!L21</f>
        <v>22.352579821650661</v>
      </c>
      <c r="I104" s="635"/>
      <c r="J104" s="655"/>
      <c r="K104" s="655"/>
      <c r="L104" s="655"/>
      <c r="M104" s="655"/>
      <c r="N104" s="123"/>
    </row>
    <row r="105" spans="1:16" s="25" customFormat="1" x14ac:dyDescent="0.25">
      <c r="A105" s="28" t="s">
        <v>151</v>
      </c>
      <c r="B105" s="613">
        <f>+OLD...Tabs!L54</f>
        <v>19.759275268168167</v>
      </c>
      <c r="C105" s="613">
        <f>+OLD...Tabs!L85</f>
        <v>0</v>
      </c>
      <c r="D105" s="613">
        <f>+OLD...Tabs!L116</f>
        <v>6.8259113614624294</v>
      </c>
      <c r="E105" s="613">
        <f>+OLD...Tabs!L147</f>
        <v>9.5255883451624968</v>
      </c>
      <c r="F105" s="613">
        <f>+OLD...Tabs!L178</f>
        <v>15.512151724695702</v>
      </c>
      <c r="G105" s="613">
        <f>+OLD...Tabs!L209</f>
        <v>28.497531154479194</v>
      </c>
      <c r="H105" s="119">
        <f>+OLD...Tabs!L22</f>
        <v>17.174564030297692</v>
      </c>
      <c r="I105" s="635"/>
      <c r="J105" s="655"/>
      <c r="K105" s="655"/>
      <c r="L105" s="655"/>
      <c r="M105" s="655"/>
      <c r="N105" s="123"/>
      <c r="O105" s="15"/>
      <c r="P105" s="15"/>
    </row>
    <row r="106" spans="1:16" s="25" customFormat="1" x14ac:dyDescent="0.25">
      <c r="A106" s="28"/>
      <c r="B106" s="613"/>
      <c r="C106" s="613"/>
      <c r="D106" s="613"/>
      <c r="E106" s="613"/>
      <c r="F106" s="613"/>
      <c r="G106" s="613"/>
      <c r="H106" s="119"/>
      <c r="I106" s="635"/>
      <c r="J106" s="655"/>
      <c r="K106" s="655"/>
      <c r="L106" s="655"/>
      <c r="M106" s="655"/>
      <c r="N106" s="123"/>
      <c r="O106" s="15"/>
      <c r="P106" s="15"/>
    </row>
    <row r="107" spans="1:16" s="25" customFormat="1" x14ac:dyDescent="0.25">
      <c r="A107" s="28" t="s">
        <v>152</v>
      </c>
      <c r="B107" s="613">
        <f>+OLD...Tabs!L56</f>
        <v>19.86869440295651</v>
      </c>
      <c r="C107" s="613">
        <f>+OLD...Tabs!L87</f>
        <v>16.963218910453062</v>
      </c>
      <c r="D107" s="613">
        <f>+OLD...Tabs!L118</f>
        <v>33.227872961912851</v>
      </c>
      <c r="E107" s="613">
        <f>+OLD...Tabs!L149</f>
        <v>0</v>
      </c>
      <c r="F107" s="613">
        <f>+OLD...Tabs!L180</f>
        <v>69.849176698491775</v>
      </c>
      <c r="G107" s="613">
        <f>+OLD...Tabs!L211</f>
        <v>0</v>
      </c>
      <c r="H107" s="119">
        <f>+OLD...Tabs!L24</f>
        <v>26.045696187235372</v>
      </c>
      <c r="I107" s="635"/>
      <c r="J107" s="655"/>
      <c r="K107" s="655"/>
      <c r="L107" s="655"/>
      <c r="M107" s="655"/>
      <c r="N107" s="123"/>
      <c r="O107" s="15"/>
      <c r="P107" s="15"/>
    </row>
    <row r="108" spans="1:16" s="25" customFormat="1" x14ac:dyDescent="0.25">
      <c r="A108" s="28" t="s">
        <v>153</v>
      </c>
      <c r="B108" s="613">
        <f>+OLD...Tabs!L57</f>
        <v>12.400880347267986</v>
      </c>
      <c r="C108" s="613">
        <f>+OLD...Tabs!L88</f>
        <v>29.496939712992958</v>
      </c>
      <c r="D108" s="613">
        <f>+OLD...Tabs!L119</f>
        <v>36.174462576329624</v>
      </c>
      <c r="E108" s="613">
        <f>+OLD...Tabs!L150</f>
        <v>56.956287101996764</v>
      </c>
      <c r="F108" s="613">
        <f>+OLD...Tabs!L181</f>
        <v>56.149758929449959</v>
      </c>
      <c r="G108" s="613">
        <f>+OLD...Tabs!L212</f>
        <v>8.0099091659785309</v>
      </c>
      <c r="H108" s="119">
        <f>+OLD...Tabs!L25</f>
        <v>23.321681696621734</v>
      </c>
      <c r="I108" s="635"/>
      <c r="J108" s="655"/>
      <c r="K108" s="655"/>
      <c r="L108" s="655"/>
      <c r="M108" s="655"/>
      <c r="N108" s="123"/>
      <c r="O108" s="15"/>
      <c r="P108" s="15"/>
    </row>
    <row r="109" spans="1:16" x14ac:dyDescent="0.25">
      <c r="A109" s="28" t="s">
        <v>154</v>
      </c>
      <c r="B109" s="613">
        <f>+OLD...Tabs!L58</f>
        <v>8.7175450443918745</v>
      </c>
      <c r="C109" s="613">
        <f>+OLD...Tabs!L89</f>
        <v>5.0477751385184977</v>
      </c>
      <c r="D109" s="613">
        <f>+OLD...Tabs!L120</f>
        <v>12.097868520490177</v>
      </c>
      <c r="E109" s="613">
        <f>+OLD...Tabs!L151</f>
        <v>9.0396517360746884</v>
      </c>
      <c r="F109" s="613">
        <f>+OLD...Tabs!L182</f>
        <v>12.320556459967442</v>
      </c>
      <c r="G109" s="613">
        <f>+OLD...Tabs!L213</f>
        <v>0</v>
      </c>
      <c r="H109" s="119">
        <f>+OLD...Tabs!L26</f>
        <v>8.1669413743098467</v>
      </c>
      <c r="I109" s="635"/>
      <c r="J109" s="655"/>
      <c r="K109" s="655"/>
      <c r="L109" s="655"/>
      <c r="M109" s="655"/>
      <c r="N109" s="123"/>
    </row>
    <row r="110" spans="1:16" x14ac:dyDescent="0.25">
      <c r="A110" s="242" t="s">
        <v>155</v>
      </c>
      <c r="B110" s="620">
        <f>+OLD...Tabs!L59</f>
        <v>25.456316057500739</v>
      </c>
      <c r="C110" s="620">
        <f>+OLD...Tabs!L90</f>
        <v>0</v>
      </c>
      <c r="D110" s="620">
        <f>+OLD...Tabs!L121</f>
        <v>20.204459616502035</v>
      </c>
      <c r="E110" s="620">
        <f>+OLD...Tabs!L152</f>
        <v>0</v>
      </c>
      <c r="F110" s="620">
        <f>+OLD...Tabs!L183</f>
        <v>47.859108420473305</v>
      </c>
      <c r="G110" s="620">
        <f>+OLD...Tabs!L214</f>
        <v>55.234478203434612</v>
      </c>
      <c r="H110" s="120">
        <f>+OLD...Tabs!L27</f>
        <v>25.975886945350329</v>
      </c>
      <c r="I110" s="635"/>
      <c r="J110" s="655"/>
      <c r="K110" s="655"/>
      <c r="L110" s="655"/>
      <c r="M110" s="655"/>
      <c r="N110" s="123"/>
      <c r="O110" s="123"/>
      <c r="P110" s="123"/>
    </row>
    <row r="111" spans="1:16" ht="37.5" customHeight="1" x14ac:dyDescent="0.25">
      <c r="A111" s="665" t="s">
        <v>916</v>
      </c>
      <c r="B111" s="665"/>
      <c r="C111" s="665"/>
      <c r="D111" s="665"/>
      <c r="E111" s="665"/>
      <c r="F111" s="665"/>
      <c r="G111" s="665"/>
      <c r="H111" s="665"/>
      <c r="I111" s="657"/>
      <c r="J111" s="658"/>
      <c r="K111" s="658"/>
      <c r="L111" s="658"/>
      <c r="M111" s="658"/>
      <c r="N111" s="658"/>
      <c r="O111" s="658"/>
      <c r="P111" s="658"/>
    </row>
    <row r="112" spans="1:16" ht="27.75" customHeight="1" x14ac:dyDescent="0.25">
      <c r="A112" s="666" t="s">
        <v>919</v>
      </c>
      <c r="B112" s="667"/>
      <c r="C112" s="667"/>
      <c r="D112" s="667"/>
      <c r="E112" s="667"/>
      <c r="F112" s="667"/>
      <c r="G112" s="667"/>
      <c r="H112" s="667"/>
      <c r="I112" s="26"/>
      <c r="J112" s="26"/>
      <c r="K112" s="26"/>
      <c r="L112" s="26"/>
      <c r="M112" s="26"/>
      <c r="N112" s="26"/>
      <c r="O112" s="25"/>
      <c r="P112" s="25"/>
    </row>
    <row r="113" spans="1:16" x14ac:dyDescent="0.25">
      <c r="A113" s="25"/>
      <c r="B113" s="25"/>
      <c r="C113" s="25"/>
      <c r="D113" s="25"/>
      <c r="E113" s="25"/>
      <c r="F113" s="25"/>
      <c r="G113" s="25"/>
      <c r="H113" s="27" t="s">
        <v>914</v>
      </c>
      <c r="I113" s="26"/>
      <c r="J113" s="26"/>
      <c r="K113" s="26"/>
      <c r="L113" s="26"/>
      <c r="M113" s="26"/>
      <c r="N113" s="26"/>
      <c r="O113" s="25"/>
      <c r="P113" s="25"/>
    </row>
  </sheetData>
  <mergeCells count="10">
    <mergeCell ref="A112:H112"/>
    <mergeCell ref="A111:H111"/>
    <mergeCell ref="B5:H5"/>
    <mergeCell ref="I5:M5"/>
    <mergeCell ref="A28:P28"/>
    <mergeCell ref="A30:P30"/>
    <mergeCell ref="A53:P53"/>
    <mergeCell ref="A26:P26"/>
    <mergeCell ref="A54:P54"/>
    <mergeCell ref="A83:H83"/>
  </mergeCells>
  <pageMargins left="0.7" right="0.7" top="0.75" bottom="0.75" header="0.3" footer="0.3"/>
  <pageSetup firstPageNumber="87" orientation="landscape" useFirstPageNumber="1" r:id="rId1"/>
  <headerFooter>
    <oddHeader>&amp;R&amp;"Arial,Regular"&amp;8SREB-State Data Exchange</oddHeader>
    <oddFooter>&amp;CC-&amp;P</oddFooter>
  </headerFooter>
  <rowBreaks count="3" manualBreakCount="3">
    <brk id="27" max="15" man="1"/>
    <brk id="55" max="15" man="1"/>
    <brk id="84" max="1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O534"/>
  <sheetViews>
    <sheetView showZeros="0" view="pageBreakPreview" zoomScaleNormal="100" zoomScaleSheetLayoutView="100" workbookViewId="0"/>
  </sheetViews>
  <sheetFormatPr defaultRowHeight="12.75" x14ac:dyDescent="0.2"/>
  <cols>
    <col min="1" max="1" width="13.42578125" style="28" customWidth="1"/>
    <col min="2" max="2" width="9.140625" style="28" customWidth="1"/>
    <col min="3" max="3" width="9.42578125" style="28" bestFit="1" customWidth="1"/>
    <col min="4" max="4" width="9.85546875" style="28" bestFit="1" customWidth="1"/>
    <col min="5" max="5" width="5.7109375" style="28" bestFit="1" customWidth="1"/>
    <col min="6" max="6" width="11.42578125" style="28" customWidth="1"/>
    <col min="7" max="7" width="7.85546875" style="28" bestFit="1" customWidth="1"/>
    <col min="8" max="8" width="12.28515625" style="65" bestFit="1" customWidth="1"/>
    <col min="9" max="9" width="13" style="88" customWidth="1"/>
    <col min="10" max="11" width="9" style="28" customWidth="1"/>
    <col min="12" max="12" width="10" style="28" bestFit="1" customWidth="1"/>
    <col min="13" max="13" width="6.42578125" style="28" bestFit="1" customWidth="1"/>
    <col min="14" max="14" width="11.28515625" style="28" customWidth="1"/>
    <col min="15" max="15" width="7.85546875" style="28" bestFit="1" customWidth="1"/>
    <col min="16" max="16" width="12.28515625" style="28" bestFit="1" customWidth="1"/>
    <col min="17" max="17" width="11.5703125" style="92" bestFit="1" customWidth="1"/>
    <col min="18" max="18" width="11.5703125" style="94" bestFit="1" customWidth="1"/>
    <col min="19" max="16384" width="9.140625" style="91"/>
  </cols>
  <sheetData>
    <row r="1" spans="1:41" ht="18" x14ac:dyDescent="0.25">
      <c r="A1" s="16" t="s">
        <v>201</v>
      </c>
      <c r="B1" s="34"/>
      <c r="C1" s="34"/>
      <c r="D1" s="34"/>
      <c r="E1" s="34"/>
      <c r="F1" s="34"/>
      <c r="G1" s="34"/>
      <c r="H1" s="35"/>
      <c r="I1" s="16" t="s">
        <v>216</v>
      </c>
      <c r="J1" s="19"/>
      <c r="K1" s="19"/>
      <c r="L1" s="34"/>
      <c r="M1" s="19"/>
      <c r="N1" s="19"/>
      <c r="O1" s="19"/>
      <c r="P1" s="19"/>
      <c r="Q1" s="89"/>
      <c r="R1" s="90"/>
    </row>
    <row r="2" spans="1:41" ht="15" x14ac:dyDescent="0.2">
      <c r="A2" s="18"/>
      <c r="B2" s="19"/>
      <c r="C2" s="19"/>
      <c r="D2" s="19"/>
      <c r="E2" s="19"/>
      <c r="F2" s="19"/>
      <c r="G2" s="19"/>
      <c r="H2" s="36"/>
      <c r="I2" s="18"/>
      <c r="J2" s="19"/>
      <c r="K2" s="19"/>
      <c r="L2" s="19"/>
      <c r="M2" s="19"/>
      <c r="N2" s="19"/>
      <c r="O2" s="19"/>
      <c r="P2" s="19"/>
      <c r="Q2" s="684"/>
      <c r="R2" s="685"/>
      <c r="S2" s="685"/>
      <c r="T2" s="685"/>
      <c r="U2" s="685"/>
      <c r="V2" s="685"/>
      <c r="W2" s="685"/>
      <c r="X2" s="685"/>
    </row>
    <row r="3" spans="1:41" ht="15.75" x14ac:dyDescent="0.25">
      <c r="A3" s="37" t="s">
        <v>162</v>
      </c>
      <c r="B3" s="19"/>
      <c r="C3" s="19"/>
      <c r="D3" s="19"/>
      <c r="E3" s="19"/>
      <c r="F3" s="19"/>
      <c r="G3" s="19"/>
      <c r="H3" s="36"/>
      <c r="I3" s="37" t="s">
        <v>163</v>
      </c>
      <c r="J3" s="19"/>
      <c r="K3" s="19"/>
      <c r="L3" s="19"/>
      <c r="M3" s="19"/>
      <c r="N3" s="19"/>
      <c r="O3" s="19"/>
      <c r="P3" s="19"/>
      <c r="R3" s="93" t="s">
        <v>39</v>
      </c>
    </row>
    <row r="4" spans="1:41" ht="18.75" x14ac:dyDescent="0.25">
      <c r="A4" s="37" t="s">
        <v>920</v>
      </c>
      <c r="B4" s="19"/>
      <c r="C4" s="19"/>
      <c r="D4" s="19"/>
      <c r="E4" s="19"/>
      <c r="F4" s="19"/>
      <c r="G4" s="19"/>
      <c r="H4" s="36"/>
      <c r="I4" s="37" t="s">
        <v>920</v>
      </c>
      <c r="J4" s="19"/>
      <c r="K4" s="19"/>
      <c r="L4" s="19"/>
      <c r="M4" s="19"/>
      <c r="N4" s="19"/>
      <c r="O4" s="19"/>
      <c r="P4" s="19"/>
      <c r="R4" s="93" t="s">
        <v>39</v>
      </c>
    </row>
    <row r="5" spans="1:41" x14ac:dyDescent="0.2">
      <c r="A5" s="39"/>
      <c r="B5" s="40"/>
      <c r="C5" s="40"/>
      <c r="D5" s="40"/>
      <c r="E5" s="40"/>
      <c r="F5" s="40"/>
      <c r="G5" s="40"/>
      <c r="H5" s="40"/>
      <c r="I5" s="41"/>
      <c r="L5" s="42"/>
      <c r="P5" s="39"/>
    </row>
    <row r="6" spans="1:41" s="48" customFormat="1" ht="12" x14ac:dyDescent="0.2">
      <c r="A6" s="43"/>
      <c r="B6" s="44" t="s">
        <v>164</v>
      </c>
      <c r="C6" s="44"/>
      <c r="D6" s="44"/>
      <c r="E6" s="44"/>
      <c r="F6" s="44"/>
      <c r="G6" s="44"/>
      <c r="H6" s="45"/>
      <c r="I6" s="43"/>
      <c r="J6" s="44" t="s">
        <v>164</v>
      </c>
      <c r="K6" s="44"/>
      <c r="L6" s="44"/>
      <c r="M6" s="44"/>
      <c r="N6" s="44"/>
      <c r="O6" s="44"/>
      <c r="P6" s="45"/>
      <c r="Q6" s="46"/>
      <c r="R6" s="47"/>
    </row>
    <row r="7" spans="1:41" s="48" customFormat="1" ht="12" x14ac:dyDescent="0.2">
      <c r="A7" s="43"/>
      <c r="B7" s="44" t="s">
        <v>165</v>
      </c>
      <c r="C7" s="44"/>
      <c r="D7" s="670" t="s">
        <v>166</v>
      </c>
      <c r="E7" s="668"/>
      <c r="F7" s="668"/>
      <c r="G7" s="668"/>
      <c r="H7" s="49" t="s">
        <v>39</v>
      </c>
      <c r="I7" s="43"/>
      <c r="J7" s="44" t="s">
        <v>165</v>
      </c>
      <c r="K7" s="44"/>
      <c r="L7" s="670" t="s">
        <v>166</v>
      </c>
      <c r="M7" s="668"/>
      <c r="N7" s="668"/>
      <c r="O7" s="668"/>
      <c r="P7" s="49" t="s">
        <v>39</v>
      </c>
      <c r="Q7" s="46"/>
      <c r="R7" s="47"/>
    </row>
    <row r="8" spans="1:41" s="48" customFormat="1" ht="40.5" customHeight="1" x14ac:dyDescent="0.2">
      <c r="A8" s="43"/>
      <c r="B8" s="50" t="s">
        <v>167</v>
      </c>
      <c r="C8" s="51" t="s">
        <v>168</v>
      </c>
      <c r="D8" s="52" t="s">
        <v>169</v>
      </c>
      <c r="E8" s="53" t="s">
        <v>7</v>
      </c>
      <c r="F8" s="50" t="s">
        <v>170</v>
      </c>
      <c r="G8" s="54" t="s">
        <v>924</v>
      </c>
      <c r="H8" s="55" t="s">
        <v>172</v>
      </c>
      <c r="I8" s="43"/>
      <c r="J8" s="50" t="s">
        <v>167</v>
      </c>
      <c r="K8" s="51" t="s">
        <v>168</v>
      </c>
      <c r="L8" s="52" t="s">
        <v>169</v>
      </c>
      <c r="M8" s="53" t="s">
        <v>7</v>
      </c>
      <c r="N8" s="50" t="s">
        <v>170</v>
      </c>
      <c r="O8" s="54" t="s">
        <v>924</v>
      </c>
      <c r="P8" s="55" t="s">
        <v>172</v>
      </c>
      <c r="Q8" s="73" t="s">
        <v>173</v>
      </c>
      <c r="R8" s="73" t="s">
        <v>173</v>
      </c>
      <c r="T8" s="73"/>
    </row>
    <row r="9" spans="1:41" ht="15.75" customHeight="1" x14ac:dyDescent="0.2">
      <c r="A9" s="58" t="s">
        <v>141</v>
      </c>
      <c r="B9" s="82">
        <f>('Pivot Table for Data Exchange'!$J$7)*100</f>
        <v>88.519267010942031</v>
      </c>
      <c r="C9" s="59">
        <f>('Pivot Table for Data Exchange'!$J$10)*100</f>
        <v>0.42647214963258484</v>
      </c>
      <c r="D9" s="109">
        <f>SUM(E9:G9)</f>
        <v>11.054260839425382</v>
      </c>
      <c r="E9" s="59">
        <f>('Pivot Table for Data Exchange'!$J$13)*100</f>
        <v>10.707232230589907</v>
      </c>
      <c r="F9" s="59">
        <f>('Pivot Table for Data Exchange'!$J$16)*100</f>
        <v>8.2747430962586896E-2</v>
      </c>
      <c r="G9" s="60">
        <f>('Pivot Table for Data Exchange'!$J$19)*100</f>
        <v>0.26428117787288646</v>
      </c>
      <c r="H9" s="243">
        <f>('Pivot Table for Data Exchange'!$J$22)*100</f>
        <v>0</v>
      </c>
      <c r="I9" s="62" t="s">
        <v>141</v>
      </c>
      <c r="J9" s="59">
        <f>('Pivot Table for Data Exchange'!$J$25)*100</f>
        <v>72.411967697494035</v>
      </c>
      <c r="K9" s="59">
        <f>('Pivot Table for Data Exchange'!$J$28)*100</f>
        <v>2.2144847413628894</v>
      </c>
      <c r="L9" s="249">
        <f>SUM(M9:O9)</f>
        <v>25.373547561143081</v>
      </c>
      <c r="M9" s="59">
        <f>('Pivot Table for Data Exchange'!$J$31)*100</f>
        <v>22.804452890702176</v>
      </c>
      <c r="N9" s="59">
        <f>('Pivot Table for Data Exchange'!$J$34)*100</f>
        <v>0.1136257923903943</v>
      </c>
      <c r="O9" s="60">
        <f>('Pivot Table for Data Exchange'!$J$37)*100</f>
        <v>2.4554688780505094</v>
      </c>
      <c r="P9" s="243">
        <f>('Pivot Table for Data Exchange'!$J$40)*100</f>
        <v>0</v>
      </c>
      <c r="Q9" s="97">
        <f>SUM(B9,C9,D9,H9)</f>
        <v>100</v>
      </c>
      <c r="R9" s="97">
        <f>SUM(J9,K9,L9,P9)</f>
        <v>100.00000000000001</v>
      </c>
      <c r="S9" s="98"/>
      <c r="T9" s="99"/>
      <c r="U9" s="99"/>
      <c r="V9" s="99"/>
      <c r="W9" s="99"/>
      <c r="X9" s="99"/>
      <c r="Y9" s="99"/>
      <c r="Z9" s="99"/>
      <c r="AA9" s="99"/>
      <c r="AB9" s="99"/>
      <c r="AC9" s="99"/>
      <c r="AD9" s="99"/>
      <c r="AE9" s="99"/>
      <c r="AF9" s="98"/>
      <c r="AG9" s="98"/>
      <c r="AH9" s="98"/>
      <c r="AI9" s="98"/>
      <c r="AJ9" s="98"/>
      <c r="AK9" s="98"/>
      <c r="AL9" s="98"/>
      <c r="AM9" s="98"/>
      <c r="AN9" s="98"/>
      <c r="AO9" s="98"/>
    </row>
    <row r="10" spans="1:41" ht="15.75" customHeight="1" x14ac:dyDescent="0.2">
      <c r="A10" s="65" t="s">
        <v>142</v>
      </c>
      <c r="B10" s="59">
        <f>('Pivot Table for Data Exchange'!$J$43)*100</f>
        <v>83.19964467795144</v>
      </c>
      <c r="C10" s="59">
        <f>('Pivot Table for Data Exchange'!$J$46)*100</f>
        <v>3.4387657873458282</v>
      </c>
      <c r="D10" s="109">
        <f t="shared" ref="D10:D15" si="0">SUM(E10:G10)</f>
        <v>12.822342771891597</v>
      </c>
      <c r="E10" s="59">
        <f>('Pivot Table for Data Exchange'!$J$49)*100</f>
        <v>12.388297529069217</v>
      </c>
      <c r="F10" s="59">
        <f>('Pivot Table for Data Exchange'!$J$52)*100</f>
        <v>0.42735448309373136</v>
      </c>
      <c r="G10" s="68">
        <f>('Pivot Table for Data Exchange'!$J$55)*100</f>
        <v>6.690759728649358E-3</v>
      </c>
      <c r="H10" s="243">
        <f>('Pivot Table for Data Exchange'!$J$58)*100</f>
        <v>0.53924676281114403</v>
      </c>
      <c r="I10" s="65" t="s">
        <v>142</v>
      </c>
      <c r="J10" s="59">
        <f>('Pivot Table for Data Exchange'!$J$61)*100</f>
        <v>62.101971160863748</v>
      </c>
      <c r="K10" s="59">
        <f>('Pivot Table for Data Exchange'!$J$64)*100</f>
        <v>5.5783821387421471</v>
      </c>
      <c r="L10" s="249">
        <f t="shared" ref="L10:L15" si="1">SUM(M10:O10)</f>
        <v>32.317783305848266</v>
      </c>
      <c r="M10" s="59">
        <f>('Pivot Table for Data Exchange'!$J$67)*100</f>
        <v>31.40285658383878</v>
      </c>
      <c r="N10" s="59">
        <f>('Pivot Table for Data Exchange'!$J$70)*100</f>
        <v>0.66150506377467833</v>
      </c>
      <c r="O10" s="66">
        <f>('Pivot Table for Data Exchange'!$J$73)*100</f>
        <v>0.25342165823480634</v>
      </c>
      <c r="P10" s="61">
        <f>('Pivot Table for Data Exchange'!$J$76)*100</f>
        <v>1.8633945458441641E-3</v>
      </c>
      <c r="Q10" s="97">
        <f>SUM(B10,C10,D10,H10)</f>
        <v>100.00000000000001</v>
      </c>
      <c r="R10" s="97">
        <f t="shared" ref="R10:R23" si="2">SUM(J10,K10,L10,P10)</f>
        <v>100.00000000000001</v>
      </c>
      <c r="S10" s="98"/>
      <c r="T10" s="99"/>
      <c r="U10" s="99"/>
      <c r="V10" s="99"/>
      <c r="W10" s="99"/>
      <c r="X10" s="99"/>
      <c r="Y10" s="99"/>
      <c r="Z10" s="99"/>
      <c r="AA10" s="99"/>
      <c r="AB10" s="99"/>
      <c r="AC10" s="99"/>
      <c r="AD10" s="99"/>
      <c r="AE10" s="99"/>
      <c r="AF10" s="98"/>
      <c r="AG10" s="98"/>
      <c r="AH10" s="98"/>
      <c r="AI10" s="98"/>
      <c r="AJ10" s="98"/>
      <c r="AK10" s="98"/>
      <c r="AL10" s="98"/>
      <c r="AM10" s="98"/>
      <c r="AN10" s="98"/>
      <c r="AO10" s="98"/>
    </row>
    <row r="11" spans="1:41" ht="15.75" customHeight="1" x14ac:dyDescent="0.2">
      <c r="A11" s="65" t="s">
        <v>143</v>
      </c>
      <c r="B11" s="59">
        <f>('Pivot Table for Data Exchange'!$J$79)*100</f>
        <v>97.564430169440328</v>
      </c>
      <c r="C11" s="243">
        <f>('Pivot Table for Data Exchange'!$J$82)*100</f>
        <v>0</v>
      </c>
      <c r="D11" s="109">
        <f t="shared" si="0"/>
        <v>2.435569830559674</v>
      </c>
      <c r="E11" s="59">
        <f>('Pivot Table for Data Exchange'!$J$85)*100</f>
        <v>2.435569830559674</v>
      </c>
      <c r="F11" s="243">
        <f>('Pivot Table for Data Exchange'!$J$88)*100</f>
        <v>0</v>
      </c>
      <c r="G11" s="245">
        <f>('Pivot Table for Data Exchange'!$J$91)*100</f>
        <v>0</v>
      </c>
      <c r="H11" s="243">
        <f>('Pivot Table for Data Exchange'!$J$94)*100</f>
        <v>0</v>
      </c>
      <c r="I11" s="65" t="s">
        <v>143</v>
      </c>
      <c r="J11" s="59">
        <f>('Pivot Table for Data Exchange'!$J$97)*100</f>
        <v>94.631755356531457</v>
      </c>
      <c r="K11" s="243">
        <f>('Pivot Table for Data Exchange'!$J$100)*100</f>
        <v>0</v>
      </c>
      <c r="L11" s="249">
        <f t="shared" si="1"/>
        <v>5.3682446434685458</v>
      </c>
      <c r="M11" s="59">
        <f>('Pivot Table for Data Exchange'!$J$103)*100</f>
        <v>5.3682446434685458</v>
      </c>
      <c r="N11" s="243">
        <f>('Pivot Table for Data Exchange'!$J$106)*100</f>
        <v>0</v>
      </c>
      <c r="O11" s="245">
        <f>('Pivot Table for Data Exchange'!$J$109)*100</f>
        <v>0</v>
      </c>
      <c r="P11" s="243">
        <f>('Pivot Table for Data Exchange'!$J$112)*100</f>
        <v>0</v>
      </c>
      <c r="Q11" s="97">
        <f t="shared" ref="Q11:Q23" si="3">SUM(B11,C11,D11,H11)</f>
        <v>100</v>
      </c>
      <c r="R11" s="97">
        <f t="shared" si="2"/>
        <v>100</v>
      </c>
      <c r="S11" s="98"/>
      <c r="T11" s="99"/>
      <c r="U11" s="99"/>
      <c r="V11" s="99"/>
      <c r="W11" s="99"/>
      <c r="X11" s="99"/>
      <c r="Y11" s="99"/>
      <c r="Z11" s="99"/>
      <c r="AA11" s="99"/>
      <c r="AB11" s="99"/>
      <c r="AC11" s="99"/>
      <c r="AD11" s="99"/>
      <c r="AE11" s="99"/>
      <c r="AF11" s="98"/>
      <c r="AG11" s="98"/>
      <c r="AH11" s="98"/>
      <c r="AI11" s="98"/>
      <c r="AJ11" s="98"/>
      <c r="AK11" s="98"/>
      <c r="AL11" s="98"/>
      <c r="AM11" s="98"/>
      <c r="AN11" s="98"/>
      <c r="AO11" s="98"/>
    </row>
    <row r="12" spans="1:41" ht="15.75" customHeight="1" x14ac:dyDescent="0.2">
      <c r="A12" s="65" t="s">
        <v>925</v>
      </c>
      <c r="B12" s="59">
        <f>('Pivot Table for Data Exchange'!$J$115)*100</f>
        <v>71.883356014352501</v>
      </c>
      <c r="C12" s="59">
        <f>('Pivot Table for Data Exchange'!$J$118)*100</f>
        <v>7.4496434675643108</v>
      </c>
      <c r="D12" s="109">
        <f t="shared" si="0"/>
        <v>20.578780784882298</v>
      </c>
      <c r="E12" s="59">
        <f>('Pivot Table for Data Exchange'!$J$121)*100</f>
        <v>19.202866104338547</v>
      </c>
      <c r="F12" s="243">
        <f>('Pivot Table for Data Exchange'!$J$124)*100</f>
        <v>0</v>
      </c>
      <c r="G12" s="66">
        <f>('Pivot Table for Data Exchange'!$J$127)*100</f>
        <v>1.3759146805437512</v>
      </c>
      <c r="H12" s="59">
        <f>('Pivot Table for Data Exchange'!$J$130)*100</f>
        <v>8.8219733200891562E-2</v>
      </c>
      <c r="I12" s="65" t="s">
        <v>925</v>
      </c>
      <c r="J12" s="59">
        <f>('Pivot Table for Data Exchange'!$J$133)*100</f>
        <v>69.128583977470853</v>
      </c>
      <c r="K12" s="59">
        <f>('Pivot Table for Data Exchange'!$J$136)*100</f>
        <v>8.1908025891850951</v>
      </c>
      <c r="L12" s="249">
        <f t="shared" si="1"/>
        <v>22.680613433344057</v>
      </c>
      <c r="M12" s="59">
        <f>('Pivot Table for Data Exchange'!$J$139)*100</f>
        <v>21.789804474216282</v>
      </c>
      <c r="N12" s="243">
        <f>('Pivot Table for Data Exchange'!$J$142)*100</f>
        <v>0</v>
      </c>
      <c r="O12" s="66">
        <f>('Pivot Table for Data Exchange'!$J$145)*100</f>
        <v>0.89080895912777391</v>
      </c>
      <c r="P12" s="243">
        <f>('Pivot Table for Data Exchange'!$J$148)*100</f>
        <v>0</v>
      </c>
      <c r="Q12" s="97">
        <f t="shared" si="3"/>
        <v>100</v>
      </c>
      <c r="R12" s="97">
        <f t="shared" si="2"/>
        <v>100</v>
      </c>
      <c r="S12" s="98"/>
      <c r="T12" s="99"/>
      <c r="U12" s="99"/>
      <c r="V12" s="99"/>
      <c r="W12" s="99"/>
      <c r="X12" s="99"/>
      <c r="Y12" s="99"/>
      <c r="Z12" s="99"/>
      <c r="AA12" s="99"/>
      <c r="AB12" s="99"/>
      <c r="AC12" s="99"/>
      <c r="AD12" s="99"/>
      <c r="AE12" s="99"/>
      <c r="AF12" s="98"/>
      <c r="AG12" s="98"/>
      <c r="AH12" s="98"/>
      <c r="AI12" s="98"/>
      <c r="AJ12" s="98"/>
      <c r="AK12" s="98"/>
      <c r="AL12" s="98"/>
      <c r="AM12" s="98"/>
      <c r="AN12" s="98"/>
      <c r="AO12" s="98"/>
    </row>
    <row r="13" spans="1:41" ht="9.75" customHeight="1" x14ac:dyDescent="0.2">
      <c r="A13" s="65"/>
      <c r="B13" s="59"/>
      <c r="C13" s="59"/>
      <c r="D13" s="109"/>
      <c r="E13" s="59"/>
      <c r="F13" s="59"/>
      <c r="G13" s="66"/>
      <c r="H13" s="59"/>
      <c r="I13" s="65"/>
      <c r="J13" s="59"/>
      <c r="K13" s="59"/>
      <c r="L13" s="249"/>
      <c r="M13" s="59"/>
      <c r="N13" s="59"/>
      <c r="O13" s="66"/>
      <c r="P13" s="59"/>
      <c r="Q13" s="97">
        <f t="shared" si="3"/>
        <v>0</v>
      </c>
      <c r="R13" s="97">
        <f t="shared" si="2"/>
        <v>0</v>
      </c>
      <c r="S13" s="98"/>
      <c r="T13" s="99"/>
      <c r="U13" s="99"/>
      <c r="V13" s="99"/>
      <c r="W13" s="99"/>
      <c r="X13" s="99"/>
      <c r="Y13" s="99"/>
      <c r="Z13" s="99"/>
      <c r="AA13" s="99"/>
      <c r="AB13" s="99"/>
      <c r="AC13" s="99"/>
      <c r="AD13" s="99"/>
      <c r="AE13" s="99"/>
      <c r="AF13" s="98"/>
      <c r="AG13" s="98"/>
      <c r="AH13" s="98"/>
      <c r="AI13" s="98"/>
      <c r="AJ13" s="98"/>
      <c r="AK13" s="98"/>
      <c r="AL13" s="98"/>
      <c r="AM13" s="98"/>
      <c r="AN13" s="98"/>
      <c r="AO13" s="98"/>
    </row>
    <row r="14" spans="1:41" ht="15.75" customHeight="1" x14ac:dyDescent="0.2">
      <c r="A14" s="65" t="s">
        <v>145</v>
      </c>
      <c r="B14" s="59">
        <f>('Pivot Table for Data Exchange'!$J$151)*100</f>
        <v>90.139646762190694</v>
      </c>
      <c r="C14" s="59">
        <f>('Pivot Table for Data Exchange'!$J$154)*100</f>
        <v>1.9945814093529901</v>
      </c>
      <c r="D14" s="109">
        <f t="shared" si="0"/>
        <v>7.8564370159218075</v>
      </c>
      <c r="E14" s="59">
        <f>('Pivot Table for Data Exchange'!$J$157)*100</f>
        <v>6.7304922612648035</v>
      </c>
      <c r="F14" s="67">
        <f>('Pivot Table for Data Exchange'!$J$160)*100</f>
        <v>1.972325737488546E-2</v>
      </c>
      <c r="G14" s="66">
        <f>('Pivot Table for Data Exchange'!$J$163)*100</f>
        <v>1.1062214972821183</v>
      </c>
      <c r="H14" s="67">
        <f>('Pivot Table for Data Exchange'!$J$166)*100</f>
        <v>9.3348125345053025E-3</v>
      </c>
      <c r="I14" s="65" t="s">
        <v>145</v>
      </c>
      <c r="J14" s="59">
        <f>('Pivot Table for Data Exchange'!$J$169)*100</f>
        <v>0</v>
      </c>
      <c r="K14" s="59">
        <f>('Pivot Table for Data Exchange'!$J$172)*100</f>
        <v>0</v>
      </c>
      <c r="L14" s="249">
        <f t="shared" si="1"/>
        <v>0</v>
      </c>
      <c r="M14" s="59">
        <f>('Pivot Table for Data Exchange'!$J$175)*100</f>
        <v>0</v>
      </c>
      <c r="N14" s="243">
        <f>('Pivot Table for Data Exchange'!$J$178)*100</f>
        <v>0</v>
      </c>
      <c r="O14" s="245">
        <f>('Pivot Table for Data Exchange'!$J$181)*100</f>
        <v>0</v>
      </c>
      <c r="P14" s="243">
        <f>('Pivot Table for Data Exchange'!$J$184)*100</f>
        <v>0</v>
      </c>
      <c r="Q14" s="97">
        <f t="shared" si="3"/>
        <v>100</v>
      </c>
      <c r="R14" s="97">
        <f t="shared" si="2"/>
        <v>0</v>
      </c>
      <c r="S14" s="98"/>
      <c r="T14" s="99"/>
      <c r="U14" s="99"/>
      <c r="V14" s="99"/>
      <c r="W14" s="99"/>
      <c r="X14" s="99"/>
      <c r="Y14" s="99"/>
      <c r="Z14" s="99"/>
      <c r="AA14" s="99"/>
      <c r="AB14" s="99"/>
      <c r="AC14" s="99"/>
      <c r="AD14" s="99"/>
      <c r="AE14" s="99"/>
      <c r="AF14" s="98"/>
      <c r="AG14" s="98"/>
      <c r="AH14" s="98"/>
      <c r="AI14" s="98"/>
      <c r="AJ14" s="98"/>
      <c r="AK14" s="98"/>
      <c r="AL14" s="98"/>
      <c r="AM14" s="98"/>
      <c r="AN14" s="98"/>
      <c r="AO14" s="98"/>
    </row>
    <row r="15" spans="1:41" ht="15.75" customHeight="1" x14ac:dyDescent="0.2">
      <c r="A15" s="65" t="s">
        <v>146</v>
      </c>
      <c r="B15" s="59">
        <f>('Pivot Table for Data Exchange'!$J$187)*100</f>
        <v>83.153414025650761</v>
      </c>
      <c r="C15" s="59">
        <f>('Pivot Table for Data Exchange'!$J$190)*100</f>
        <v>4.513984992832369</v>
      </c>
      <c r="D15" s="109">
        <f t="shared" si="0"/>
        <v>12.332600981516865</v>
      </c>
      <c r="E15" s="59">
        <f>('Pivot Table for Data Exchange'!$J$193)*100</f>
        <v>10.880826444072436</v>
      </c>
      <c r="F15" s="59">
        <f>('Pivot Table for Data Exchange'!$J$196)*100</f>
        <v>1.3875617265687186</v>
      </c>
      <c r="G15" s="66">
        <f>('Pivot Table for Data Exchange'!$J$199)*100</f>
        <v>6.4212810875710791E-2</v>
      </c>
      <c r="H15" s="243">
        <f>('Pivot Table for Data Exchange'!$J$202)*100</f>
        <v>0</v>
      </c>
      <c r="I15" s="65" t="s">
        <v>146</v>
      </c>
      <c r="J15" s="59">
        <f>('Pivot Table for Data Exchange'!$J$205)*100</f>
        <v>59.576380655778316</v>
      </c>
      <c r="K15" s="59">
        <f>('Pivot Table for Data Exchange'!$J$208)*100</f>
        <v>4.6205297896059321</v>
      </c>
      <c r="L15" s="249">
        <f t="shared" si="1"/>
        <v>35.803089554615752</v>
      </c>
      <c r="M15" s="59">
        <f>('Pivot Table for Data Exchange'!$J$211)*100</f>
        <v>34.030046184063842</v>
      </c>
      <c r="N15" s="59">
        <f>('Pivot Table for Data Exchange'!$J$214)*100</f>
        <v>1.7603029391467451</v>
      </c>
      <c r="O15" s="68">
        <f>('Pivot Table for Data Exchange'!$J$217)*100</f>
        <v>1.2740431405163413E-2</v>
      </c>
      <c r="P15" s="243">
        <f>('Pivot Table for Data Exchange'!$J$220)*100</f>
        <v>0</v>
      </c>
      <c r="Q15" s="97">
        <f t="shared" si="3"/>
        <v>99.999999999999986</v>
      </c>
      <c r="R15" s="97">
        <f t="shared" si="2"/>
        <v>100</v>
      </c>
      <c r="S15" s="98"/>
      <c r="T15" s="99"/>
      <c r="U15" s="99"/>
      <c r="V15" s="99"/>
      <c r="W15" s="99"/>
      <c r="X15" s="99"/>
      <c r="Y15" s="99"/>
      <c r="Z15" s="99"/>
      <c r="AA15" s="99"/>
      <c r="AB15" s="99"/>
      <c r="AC15" s="99"/>
      <c r="AD15" s="99"/>
      <c r="AE15" s="99"/>
      <c r="AF15" s="98"/>
      <c r="AG15" s="98"/>
      <c r="AH15" s="98"/>
      <c r="AI15" s="98"/>
      <c r="AJ15" s="98"/>
      <c r="AK15" s="98"/>
      <c r="AL15" s="98"/>
      <c r="AM15" s="98"/>
      <c r="AN15" s="98"/>
      <c r="AO15" s="98"/>
    </row>
    <row r="16" spans="1:41" ht="15.75" customHeight="1" x14ac:dyDescent="0.2">
      <c r="A16" s="244" t="s">
        <v>147</v>
      </c>
      <c r="B16" s="243">
        <f>('Pivot Table for Data Exchange'!$J$223)*100</f>
        <v>0</v>
      </c>
      <c r="C16" s="59">
        <f>('Pivot Table for Data Exchange'!$J$226)*100</f>
        <v>0</v>
      </c>
      <c r="D16" s="109">
        <f>SUM(E16:G16)</f>
        <v>0</v>
      </c>
      <c r="E16" s="59">
        <f>('Pivot Table for Data Exchange'!$J$229)*100</f>
        <v>0</v>
      </c>
      <c r="F16" s="243">
        <f>('Pivot Table for Data Exchange'!$J$232)*100</f>
        <v>0</v>
      </c>
      <c r="G16" s="245">
        <f>('Pivot Table for Data Exchange'!$J$235)*100</f>
        <v>0</v>
      </c>
      <c r="H16" s="59">
        <f>('Pivot Table for Data Exchange'!$J$238)*100</f>
        <v>0</v>
      </c>
      <c r="I16" s="244" t="s">
        <v>147</v>
      </c>
      <c r="J16" s="59">
        <f>('Pivot Table for Data Exchange'!$J$241)*100</f>
        <v>0</v>
      </c>
      <c r="K16" s="59">
        <f>('Pivot Table for Data Exchange'!$J$244)*100</f>
        <v>0</v>
      </c>
      <c r="L16" s="249">
        <f>SUM(M16:O16)</f>
        <v>0</v>
      </c>
      <c r="M16" s="59">
        <f>('Pivot Table for Data Exchange'!$J$247)*100</f>
        <v>0</v>
      </c>
      <c r="N16" s="59">
        <f>('Pivot Table for Data Exchange'!$J$250)*100</f>
        <v>0</v>
      </c>
      <c r="O16" s="245">
        <f>('Pivot Table for Data Exchange'!$J$253)*100</f>
        <v>0</v>
      </c>
      <c r="P16" s="59">
        <f>('Pivot Table for Data Exchange'!$J$256)*100</f>
        <v>0</v>
      </c>
      <c r="Q16" s="97">
        <f>SUM(B16,C16,D16,H16)</f>
        <v>0</v>
      </c>
      <c r="R16" s="97">
        <f>SUM(J16,K16,L16,P16)</f>
        <v>0</v>
      </c>
      <c r="S16" s="98"/>
      <c r="T16" s="99"/>
      <c r="U16" s="99"/>
      <c r="V16" s="99"/>
      <c r="W16" s="99"/>
      <c r="X16" s="99"/>
      <c r="Y16" s="99"/>
      <c r="Z16" s="99"/>
      <c r="AA16" s="99"/>
      <c r="AB16" s="99"/>
      <c r="AC16" s="99"/>
      <c r="AD16" s="99"/>
      <c r="AE16" s="99"/>
      <c r="AF16" s="98"/>
      <c r="AG16" s="98"/>
      <c r="AH16" s="98"/>
      <c r="AI16" s="98"/>
      <c r="AJ16" s="98"/>
      <c r="AK16" s="98"/>
      <c r="AL16" s="98"/>
      <c r="AM16" s="98"/>
      <c r="AN16" s="98"/>
      <c r="AO16" s="98"/>
    </row>
    <row r="17" spans="1:41" ht="15.75" customHeight="1" x14ac:dyDescent="0.2">
      <c r="A17" s="65" t="s">
        <v>177</v>
      </c>
      <c r="B17" s="59">
        <f>('Pivot Table for Data Exchange'!$J$259)*100</f>
        <v>76.605170541912869</v>
      </c>
      <c r="C17" s="59">
        <f>('Pivot Table for Data Exchange'!$J$262)*100</f>
        <v>1.6388553945544795</v>
      </c>
      <c r="D17" s="109">
        <f>SUM(E17:G17)</f>
        <v>21.755974063532651</v>
      </c>
      <c r="E17" s="59">
        <f>('Pivot Table for Data Exchange'!$J$265)*100</f>
        <v>21.707362941446988</v>
      </c>
      <c r="F17" s="67">
        <f>('Pivot Table for Data Exchange'!$J$268)*100</f>
        <v>4.861112208566367E-2</v>
      </c>
      <c r="G17" s="245">
        <f>('Pivot Table for Data Exchange'!$J$271)*100</f>
        <v>0</v>
      </c>
      <c r="H17" s="243">
        <f>('Pivot Table for Data Exchange'!$J$274)*100</f>
        <v>0</v>
      </c>
      <c r="I17" s="65" t="s">
        <v>177</v>
      </c>
      <c r="J17" s="59">
        <f>('Pivot Table for Data Exchange'!$J$277)*100</f>
        <v>49.547237009112095</v>
      </c>
      <c r="K17" s="59">
        <f>('Pivot Table for Data Exchange'!$J$280)*100</f>
        <v>10.14975278004054</v>
      </c>
      <c r="L17" s="249">
        <f>SUM(M17:O17)</f>
        <v>40.303010210847368</v>
      </c>
      <c r="M17" s="59">
        <f>('Pivot Table for Data Exchange'!$J$283)*100</f>
        <v>39.721585491377297</v>
      </c>
      <c r="N17" s="59">
        <f>('Pivot Table for Data Exchange'!$J$286)*100</f>
        <v>0.51038450123452106</v>
      </c>
      <c r="O17" s="66">
        <f>('Pivot Table for Data Exchange'!$J$289)*100</f>
        <v>7.1040218235550429E-2</v>
      </c>
      <c r="P17" s="243">
        <f>('Pivot Table for Data Exchange'!$J$292)*100</f>
        <v>0</v>
      </c>
      <c r="Q17" s="97">
        <f>SUM(B17,C17,D17,H17)</f>
        <v>100</v>
      </c>
      <c r="R17" s="97">
        <f>SUM(J17,K17,L17,P17)</f>
        <v>100</v>
      </c>
      <c r="S17" s="98"/>
      <c r="T17" s="99"/>
      <c r="U17" s="99"/>
      <c r="V17" s="99"/>
      <c r="W17" s="99"/>
      <c r="X17" s="99"/>
      <c r="Y17" s="99"/>
      <c r="Z17" s="99"/>
      <c r="AA17" s="99"/>
      <c r="AB17" s="99"/>
      <c r="AC17" s="99"/>
      <c r="AD17" s="99"/>
      <c r="AE17" s="99"/>
      <c r="AF17" s="98"/>
      <c r="AG17" s="98"/>
      <c r="AH17" s="98"/>
      <c r="AI17" s="98"/>
      <c r="AJ17" s="98"/>
      <c r="AK17" s="98"/>
      <c r="AL17" s="98"/>
      <c r="AM17" s="98"/>
      <c r="AN17" s="98"/>
      <c r="AO17" s="98"/>
    </row>
    <row r="18" spans="1:41" ht="11.25" customHeight="1" x14ac:dyDescent="0.2">
      <c r="A18" s="65"/>
      <c r="B18" s="59"/>
      <c r="C18" s="59"/>
      <c r="D18" s="109"/>
      <c r="E18" s="59"/>
      <c r="F18" s="59"/>
      <c r="G18" s="66"/>
      <c r="H18" s="59"/>
      <c r="I18" s="65"/>
      <c r="J18" s="59"/>
      <c r="K18" s="59"/>
      <c r="L18" s="249"/>
      <c r="M18" s="59"/>
      <c r="N18" s="59"/>
      <c r="O18" s="66"/>
      <c r="P18" s="59"/>
      <c r="Q18" s="97">
        <f t="shared" si="3"/>
        <v>0</v>
      </c>
      <c r="R18" s="97">
        <f t="shared" si="2"/>
        <v>0</v>
      </c>
      <c r="S18" s="98"/>
      <c r="T18" s="99"/>
      <c r="U18" s="99"/>
      <c r="V18" s="99"/>
      <c r="W18" s="99"/>
      <c r="X18" s="99"/>
      <c r="Y18" s="99"/>
      <c r="Z18" s="99"/>
      <c r="AA18" s="99"/>
      <c r="AB18" s="99"/>
      <c r="AC18" s="99"/>
      <c r="AD18" s="99"/>
      <c r="AE18" s="99"/>
      <c r="AF18" s="98"/>
      <c r="AG18" s="98"/>
      <c r="AH18" s="98"/>
      <c r="AI18" s="98"/>
      <c r="AJ18" s="98"/>
      <c r="AK18" s="98"/>
      <c r="AL18" s="98"/>
      <c r="AM18" s="98"/>
      <c r="AN18" s="98"/>
      <c r="AO18" s="98"/>
    </row>
    <row r="19" spans="1:41" ht="15.75" customHeight="1" x14ac:dyDescent="0.2">
      <c r="A19" s="65" t="s">
        <v>148</v>
      </c>
      <c r="B19" s="59">
        <f>('Pivot Table for Data Exchange'!$J$295)*100</f>
        <v>84.513426940949714</v>
      </c>
      <c r="C19" s="59">
        <f>('Pivot Table for Data Exchange'!$J$298)*100</f>
        <v>5.0715245677684555</v>
      </c>
      <c r="D19" s="109">
        <f>SUM(E19:G19)</f>
        <v>10.371748014568102</v>
      </c>
      <c r="E19" s="59">
        <f>('Pivot Table for Data Exchange'!$J$301)*100</f>
        <v>9.73612969601548</v>
      </c>
      <c r="F19" s="59">
        <f>('Pivot Table for Data Exchange'!$J$304)*100</f>
        <v>0.62873225891350815</v>
      </c>
      <c r="G19" s="68">
        <f>('Pivot Table for Data Exchange'!$J$307)*100</f>
        <v>6.8860596391121182E-3</v>
      </c>
      <c r="H19" s="67">
        <f>('Pivot Table for Data Exchange'!$J$310)*100</f>
        <v>4.330047671373892E-2</v>
      </c>
      <c r="I19" s="65" t="s">
        <v>148</v>
      </c>
      <c r="J19" s="59">
        <f>('Pivot Table for Data Exchange'!$J$313)*100</f>
        <v>67.685969931973318</v>
      </c>
      <c r="K19" s="59">
        <f>('Pivot Table for Data Exchange'!$J$316)*100</f>
        <v>7.425633321847136</v>
      </c>
      <c r="L19" s="249">
        <f>SUM(M19:O19)</f>
        <v>24.863617532842138</v>
      </c>
      <c r="M19" s="59">
        <f>('Pivot Table for Data Exchange'!$J$319)*100</f>
        <v>24.190319845439657</v>
      </c>
      <c r="N19" s="59">
        <f>('Pivot Table for Data Exchange'!$J$322)*100</f>
        <v>0.67252333698568612</v>
      </c>
      <c r="O19" s="254">
        <f>('Pivot Table for Data Exchange'!$J$325)*100</f>
        <v>7.7435041679411185E-4</v>
      </c>
      <c r="P19" s="67">
        <f>('Pivot Table for Data Exchange'!$J$328)*100</f>
        <v>2.4779213337411579E-2</v>
      </c>
      <c r="Q19" s="97">
        <f>SUM(B19,C19,D19,H19)</f>
        <v>100</v>
      </c>
      <c r="R19" s="97">
        <f>SUM(J19,K19,L19,P19)</f>
        <v>100</v>
      </c>
      <c r="S19" s="98"/>
      <c r="T19" s="99"/>
      <c r="U19" s="99"/>
      <c r="V19" s="99"/>
      <c r="W19" s="99"/>
      <c r="X19" s="99"/>
      <c r="Y19" s="99"/>
      <c r="Z19" s="99"/>
      <c r="AA19" s="99"/>
      <c r="AB19" s="99"/>
      <c r="AC19" s="99"/>
      <c r="AD19" s="99"/>
      <c r="AE19" s="99"/>
      <c r="AF19" s="98"/>
      <c r="AG19" s="98"/>
      <c r="AH19" s="98"/>
      <c r="AI19" s="98"/>
      <c r="AJ19" s="98"/>
      <c r="AK19" s="98"/>
      <c r="AL19" s="98"/>
      <c r="AM19" s="98"/>
      <c r="AN19" s="98"/>
      <c r="AO19" s="98"/>
    </row>
    <row r="20" spans="1:41" ht="15.75" customHeight="1" x14ac:dyDescent="0.2">
      <c r="A20" s="65" t="s">
        <v>149</v>
      </c>
      <c r="B20" s="59">
        <f>('Pivot Table for Data Exchange'!$J$331)*100</f>
        <v>89.445687133642807</v>
      </c>
      <c r="C20" s="59">
        <f>('Pivot Table for Data Exchange'!$J$334)*100</f>
        <v>0.94800978805398106</v>
      </c>
      <c r="D20" s="109">
        <f>SUM(E20:G20)</f>
        <v>9.6063030783032133</v>
      </c>
      <c r="E20" s="59">
        <f>('Pivot Table for Data Exchange'!$J$337)*100</f>
        <v>9.5377331428522734</v>
      </c>
      <c r="F20" s="67">
        <f>('Pivot Table for Data Exchange'!$J$340)*100</f>
        <v>4.1912865870308694E-2</v>
      </c>
      <c r="G20" s="68">
        <f>('Pivot Table for Data Exchange'!$J$343)*100</f>
        <v>2.6657069580631958E-2</v>
      </c>
      <c r="H20" s="243">
        <f>('Pivot Table for Data Exchange'!$J$346)*100</f>
        <v>0</v>
      </c>
      <c r="I20" s="65" t="s">
        <v>149</v>
      </c>
      <c r="J20" s="59">
        <f>('Pivot Table for Data Exchange'!$J$349)*100</f>
        <v>75.626466460000032</v>
      </c>
      <c r="K20" s="59">
        <f>('Pivot Table for Data Exchange'!$J$352)*100</f>
        <v>5.9977967813049409</v>
      </c>
      <c r="L20" s="249">
        <f>SUM(M20:O20)</f>
        <v>18.37573675869503</v>
      </c>
      <c r="M20" s="59">
        <f>('Pivot Table for Data Exchange'!$J$355)*100</f>
        <v>18.208854103068091</v>
      </c>
      <c r="N20" s="59">
        <f>('Pivot Table for Data Exchange'!$J$358)*100</f>
        <v>8.1931374595759263E-2</v>
      </c>
      <c r="O20" s="245">
        <f>('Pivot Table for Data Exchange'!$J$361)*100</f>
        <v>8.4951281031179882E-2</v>
      </c>
      <c r="P20" s="243">
        <f>('Pivot Table for Data Exchange'!$J$364)*100</f>
        <v>0</v>
      </c>
      <c r="Q20" s="97">
        <f>SUM(B20,C20,D20,H20)</f>
        <v>100</v>
      </c>
      <c r="R20" s="97">
        <f>SUM(J20,K20,L20,P20)</f>
        <v>100</v>
      </c>
      <c r="S20" s="98"/>
      <c r="T20" s="99"/>
      <c r="U20" s="99"/>
      <c r="V20" s="99"/>
      <c r="W20" s="99"/>
      <c r="X20" s="99"/>
      <c r="Y20" s="99"/>
      <c r="Z20" s="99"/>
      <c r="AA20" s="99"/>
      <c r="AB20" s="99"/>
      <c r="AC20" s="99"/>
      <c r="AD20" s="99"/>
      <c r="AE20" s="99"/>
      <c r="AF20" s="98"/>
      <c r="AG20" s="98"/>
      <c r="AH20" s="98"/>
      <c r="AI20" s="98"/>
      <c r="AJ20" s="98"/>
      <c r="AK20" s="98"/>
      <c r="AL20" s="98"/>
      <c r="AM20" s="98"/>
      <c r="AN20" s="98"/>
      <c r="AO20" s="98"/>
    </row>
    <row r="21" spans="1:41" ht="15.75" customHeight="1" x14ac:dyDescent="0.2">
      <c r="A21" s="65" t="s">
        <v>150</v>
      </c>
      <c r="B21" s="59">
        <f>('Pivot Table for Data Exchange'!$J$367)*100</f>
        <v>85.319807493629327</v>
      </c>
      <c r="C21" s="59">
        <f>('Pivot Table for Data Exchange'!$J$370)*100</f>
        <v>0.94350932020875677</v>
      </c>
      <c r="D21" s="109">
        <f>SUM(E21:G21)</f>
        <v>13.648063988971092</v>
      </c>
      <c r="E21" s="59">
        <f>('Pivot Table for Data Exchange'!$J$373)*100</f>
        <v>11.856491012789636</v>
      </c>
      <c r="F21" s="59">
        <f>('Pivot Table for Data Exchange'!$J$376)*100</f>
        <v>1.3255001011482617</v>
      </c>
      <c r="G21" s="66">
        <f>('Pivot Table for Data Exchange'!$J$379)*100</f>
        <v>0.46607287503319572</v>
      </c>
      <c r="H21" s="243">
        <f>('Pivot Table for Data Exchange'!$J$382)*100</f>
        <v>8.861919719082556E-2</v>
      </c>
      <c r="I21" s="65" t="s">
        <v>150</v>
      </c>
      <c r="J21" s="59">
        <f>('Pivot Table for Data Exchange'!$J$385)*100</f>
        <v>66.391546785111856</v>
      </c>
      <c r="K21" s="59">
        <f>('Pivot Table for Data Exchange'!$J$388)*100</f>
        <v>8.7784235299317164</v>
      </c>
      <c r="L21" s="249">
        <f>SUM(M21:O21)</f>
        <v>24.68013170397543</v>
      </c>
      <c r="M21" s="59">
        <f>('Pivot Table for Data Exchange'!$J$391)*100</f>
        <v>19.911755390066222</v>
      </c>
      <c r="N21" s="59">
        <f>('Pivot Table for Data Exchange'!$J$394)*100</f>
        <v>3.0646218666902381</v>
      </c>
      <c r="O21" s="66">
        <f>('Pivot Table for Data Exchange'!$J$397)*100</f>
        <v>1.7037544472189687</v>
      </c>
      <c r="P21" s="59">
        <f>('Pivot Table for Data Exchange'!$J$400)*100</f>
        <v>0.1498979809810031</v>
      </c>
      <c r="Q21" s="97">
        <f>SUM(B21,C21,D21,H21)</f>
        <v>100</v>
      </c>
      <c r="R21" s="97">
        <f>SUM(J21,K21,L21,P21)</f>
        <v>100.00000000000001</v>
      </c>
      <c r="S21" s="98"/>
      <c r="T21" s="99"/>
      <c r="U21" s="99"/>
      <c r="V21" s="99"/>
      <c r="W21" s="99"/>
      <c r="X21" s="99"/>
      <c r="Y21" s="99"/>
      <c r="Z21" s="99"/>
      <c r="AA21" s="99"/>
      <c r="AB21" s="99"/>
      <c r="AC21" s="99"/>
      <c r="AD21" s="99"/>
      <c r="AE21" s="99"/>
      <c r="AF21" s="98"/>
      <c r="AG21" s="98"/>
      <c r="AH21" s="98"/>
      <c r="AI21" s="98"/>
      <c r="AJ21" s="98"/>
      <c r="AK21" s="98"/>
      <c r="AL21" s="98"/>
      <c r="AM21" s="98"/>
      <c r="AN21" s="98"/>
      <c r="AO21" s="98"/>
    </row>
    <row r="22" spans="1:41" ht="15.75" customHeight="1" x14ac:dyDescent="0.2">
      <c r="A22" s="65" t="s">
        <v>151</v>
      </c>
      <c r="B22" s="59">
        <f>('Pivot Table for Data Exchange'!$J$403)*100</f>
        <v>93.615733510800695</v>
      </c>
      <c r="C22" s="59">
        <f>('Pivot Table for Data Exchange'!$J$406)*100</f>
        <v>1.927708701388833</v>
      </c>
      <c r="D22" s="109">
        <f>SUM(E22:G22)</f>
        <v>4.4565577878104703</v>
      </c>
      <c r="E22" s="59">
        <f>('Pivot Table for Data Exchange'!$J$409)*100</f>
        <v>4.2964128800089325</v>
      </c>
      <c r="F22" s="59">
        <f>('Pivot Table for Data Exchange'!$J$412)*100</f>
        <v>0.11373446674794158</v>
      </c>
      <c r="G22" s="68">
        <f>('Pivot Table for Data Exchange'!$J$415)*100</f>
        <v>4.6410441053596201E-2</v>
      </c>
      <c r="H22" s="243">
        <f>('Pivot Table for Data Exchange'!$J$418)*100</f>
        <v>0</v>
      </c>
      <c r="I22" s="65" t="s">
        <v>151</v>
      </c>
      <c r="J22" s="59">
        <f>('Pivot Table for Data Exchange'!$J$421)*100</f>
        <v>67.607280871648484</v>
      </c>
      <c r="K22" s="59">
        <f>('Pivot Table for Data Exchange'!$J$424)*100</f>
        <v>15.102209412261459</v>
      </c>
      <c r="L22" s="249">
        <f>SUM(M22:O22)</f>
        <v>17.290509716090064</v>
      </c>
      <c r="M22" s="59">
        <f>('Pivot Table for Data Exchange'!$J$427)*100</f>
        <v>16.354974619755286</v>
      </c>
      <c r="N22" s="243">
        <f>('Pivot Table for Data Exchange'!$J$430)*100</f>
        <v>0.19937031291592852</v>
      </c>
      <c r="O22" s="66">
        <f>('Pivot Table for Data Exchange'!$J$433)*100</f>
        <v>0.73616478341885205</v>
      </c>
      <c r="P22" s="243">
        <f>('Pivot Table for Data Exchange'!$J$436)*100</f>
        <v>0</v>
      </c>
      <c r="Q22" s="97">
        <f>SUM(B22,C22,D22,H22)</f>
        <v>100</v>
      </c>
      <c r="R22" s="97">
        <f>SUM(J22,K22,L22,P22)</f>
        <v>100</v>
      </c>
      <c r="S22" s="98"/>
      <c r="T22" s="99"/>
      <c r="U22" s="99"/>
      <c r="V22" s="99"/>
      <c r="W22" s="99"/>
      <c r="X22" s="99"/>
      <c r="Y22" s="99"/>
      <c r="Z22" s="99"/>
      <c r="AA22" s="99"/>
      <c r="AB22" s="99"/>
      <c r="AC22" s="99"/>
      <c r="AD22" s="99"/>
      <c r="AE22" s="99"/>
      <c r="AF22" s="98"/>
      <c r="AG22" s="98"/>
      <c r="AH22" s="98"/>
      <c r="AI22" s="98"/>
      <c r="AJ22" s="98"/>
      <c r="AK22" s="98"/>
      <c r="AL22" s="98"/>
      <c r="AM22" s="98"/>
      <c r="AN22" s="98"/>
      <c r="AO22" s="98"/>
    </row>
    <row r="23" spans="1:41" ht="9.75" customHeight="1" x14ac:dyDescent="0.2">
      <c r="A23" s="65"/>
      <c r="B23" s="59"/>
      <c r="C23" s="59"/>
      <c r="D23" s="109"/>
      <c r="E23" s="59"/>
      <c r="F23" s="59"/>
      <c r="G23" s="66"/>
      <c r="H23" s="59"/>
      <c r="I23" s="65"/>
      <c r="J23" s="59"/>
      <c r="K23" s="59"/>
      <c r="L23" s="249"/>
      <c r="M23" s="59"/>
      <c r="N23" s="59"/>
      <c r="O23" s="66"/>
      <c r="P23" s="59"/>
      <c r="Q23" s="97">
        <f t="shared" si="3"/>
        <v>0</v>
      </c>
      <c r="R23" s="97">
        <f t="shared" si="2"/>
        <v>0</v>
      </c>
      <c r="S23" s="98"/>
      <c r="T23" s="99"/>
      <c r="U23" s="99"/>
      <c r="V23" s="99"/>
      <c r="W23" s="99"/>
      <c r="X23" s="99"/>
      <c r="Y23" s="99"/>
      <c r="Z23" s="99"/>
      <c r="AA23" s="99"/>
      <c r="AB23" s="99"/>
      <c r="AC23" s="99"/>
      <c r="AD23" s="99"/>
      <c r="AE23" s="99"/>
      <c r="AF23" s="98"/>
      <c r="AG23" s="98"/>
      <c r="AH23" s="98"/>
      <c r="AI23" s="98"/>
      <c r="AJ23" s="98"/>
      <c r="AK23" s="98"/>
      <c r="AL23" s="98"/>
      <c r="AM23" s="98"/>
      <c r="AN23" s="98"/>
      <c r="AO23" s="98"/>
    </row>
    <row r="24" spans="1:41" ht="15.75" customHeight="1" x14ac:dyDescent="0.2">
      <c r="A24" s="65" t="s">
        <v>152</v>
      </c>
      <c r="B24" s="59">
        <f>('Pivot Table for Data Exchange'!$J$439)*100</f>
        <v>81.424816302508845</v>
      </c>
      <c r="C24" s="59">
        <f>('Pivot Table for Data Exchange'!$J$442)*100</f>
        <v>3.0079520234737833</v>
      </c>
      <c r="D24" s="109">
        <f>SUM(E24:G24)</f>
        <v>14.886065818966175</v>
      </c>
      <c r="E24" s="59">
        <f>('Pivot Table for Data Exchange'!$J$445)*100</f>
        <v>10.114461977388229</v>
      </c>
      <c r="F24" s="59">
        <f>('Pivot Table for Data Exchange'!$J$448)*100</f>
        <v>0.30677148106802593</v>
      </c>
      <c r="G24" s="66">
        <f>('Pivot Table for Data Exchange'!$J$451)*100</f>
        <v>4.4648323605099201</v>
      </c>
      <c r="H24" s="59">
        <f>('Pivot Table for Data Exchange'!$J$454)*100</f>
        <v>0.68116585505120597</v>
      </c>
      <c r="I24" s="65" t="s">
        <v>152</v>
      </c>
      <c r="J24" s="59">
        <f>('Pivot Table for Data Exchange'!$J$457)*100</f>
        <v>39.167225185772281</v>
      </c>
      <c r="K24" s="59">
        <f>('Pivot Table for Data Exchange'!$J$460)*100</f>
        <v>2.7444441806570374</v>
      </c>
      <c r="L24" s="249">
        <f>SUM(M24:O24)</f>
        <v>55.045299399721316</v>
      </c>
      <c r="M24" s="59">
        <f>('Pivot Table for Data Exchange'!$J$463)*100</f>
        <v>15.523604813186772</v>
      </c>
      <c r="N24" s="59">
        <f>('Pivot Table for Data Exchange'!$J$466)*100</f>
        <v>0.35446940076226446</v>
      </c>
      <c r="O24" s="66">
        <f>('Pivot Table for Data Exchange'!$J$469)*100</f>
        <v>39.167225185772281</v>
      </c>
      <c r="P24" s="59">
        <f>('Pivot Table for Data Exchange'!$J$472)*100</f>
        <v>3.0430312338493621</v>
      </c>
      <c r="Q24" s="97">
        <f>SUM(B24,C24,D24,H24)</f>
        <v>100</v>
      </c>
      <c r="R24" s="97">
        <f>SUM(J24,K24,L24,P24)</f>
        <v>100</v>
      </c>
      <c r="S24" s="98"/>
      <c r="T24" s="99"/>
      <c r="U24" s="99"/>
      <c r="V24" s="99"/>
      <c r="W24" s="99"/>
      <c r="X24" s="99"/>
      <c r="Y24" s="99"/>
      <c r="Z24" s="99"/>
      <c r="AA24" s="99"/>
      <c r="AB24" s="99"/>
      <c r="AC24" s="99"/>
      <c r="AD24" s="99"/>
      <c r="AE24" s="99"/>
      <c r="AF24" s="98"/>
      <c r="AG24" s="98"/>
      <c r="AH24" s="98"/>
      <c r="AI24" s="98"/>
      <c r="AJ24" s="98"/>
      <c r="AK24" s="98"/>
      <c r="AL24" s="98"/>
      <c r="AM24" s="98"/>
      <c r="AN24" s="98"/>
      <c r="AO24" s="98"/>
    </row>
    <row r="25" spans="1:41" ht="15.75" customHeight="1" x14ac:dyDescent="0.2">
      <c r="A25" s="65" t="s">
        <v>153</v>
      </c>
      <c r="B25" s="59">
        <f>('Pivot Table for Data Exchange'!$J$475)*100</f>
        <v>87.029754012382455</v>
      </c>
      <c r="C25" s="59">
        <f>('Pivot Table for Data Exchange'!$J$478)*100</f>
        <v>1.5712326129085852</v>
      </c>
      <c r="D25" s="109">
        <f>SUM(E25:G25)</f>
        <v>11.399013374708964</v>
      </c>
      <c r="E25" s="59">
        <f>('Pivot Table for Data Exchange'!$J$481)*100</f>
        <v>11.00731973016449</v>
      </c>
      <c r="F25" s="59">
        <f>('Pivot Table for Data Exchange'!$J$484)*100</f>
        <v>0.21696632982873632</v>
      </c>
      <c r="G25" s="66">
        <f>('Pivot Table for Data Exchange'!$J$487)*100</f>
        <v>0.17472731471573938</v>
      </c>
      <c r="H25" s="243">
        <f>('Pivot Table for Data Exchange'!$J$490)*100</f>
        <v>0</v>
      </c>
      <c r="I25" s="65" t="s">
        <v>153</v>
      </c>
      <c r="J25" s="59">
        <f>('Pivot Table for Data Exchange'!$J$493)*100</f>
        <v>70.585070657073899</v>
      </c>
      <c r="K25" s="59">
        <f>('Pivot Table for Data Exchange'!$J$496)*100</f>
        <v>4.0543622084060313</v>
      </c>
      <c r="L25" s="249">
        <f>SUM(M25:O25)</f>
        <v>25.360567134520071</v>
      </c>
      <c r="M25" s="59">
        <f>('Pivot Table for Data Exchange'!$J$499)*100</f>
        <v>24.398655556226245</v>
      </c>
      <c r="N25" s="59">
        <f>('Pivot Table for Data Exchange'!$J$502)*100</f>
        <v>0.2998458373694432</v>
      </c>
      <c r="O25" s="66">
        <f>('Pivot Table for Data Exchange'!$J$505)*100</f>
        <v>0.66206574092438175</v>
      </c>
      <c r="P25" s="243">
        <f>('Pivot Table for Data Exchange'!$J$508)*100</f>
        <v>0</v>
      </c>
      <c r="Q25" s="97">
        <f>SUM(B25,C25,D25,H25)</f>
        <v>100</v>
      </c>
      <c r="R25" s="97">
        <f>SUM(J25,K25,L25,P25)</f>
        <v>100</v>
      </c>
      <c r="S25" s="98"/>
      <c r="T25" s="99"/>
      <c r="U25" s="99"/>
      <c r="V25" s="99"/>
      <c r="W25" s="99"/>
      <c r="X25" s="99"/>
      <c r="Y25" s="99"/>
      <c r="Z25" s="99"/>
      <c r="AA25" s="99"/>
      <c r="AB25" s="99"/>
      <c r="AC25" s="99"/>
      <c r="AD25" s="99"/>
      <c r="AE25" s="99"/>
      <c r="AF25" s="98"/>
      <c r="AG25" s="98"/>
      <c r="AH25" s="98"/>
      <c r="AI25" s="98"/>
      <c r="AJ25" s="98"/>
      <c r="AK25" s="98"/>
      <c r="AL25" s="98"/>
      <c r="AM25" s="98"/>
      <c r="AN25" s="98"/>
      <c r="AO25" s="98"/>
    </row>
    <row r="26" spans="1:41" ht="15.75" customHeight="1" x14ac:dyDescent="0.2">
      <c r="A26" s="65" t="s">
        <v>154</v>
      </c>
      <c r="B26" s="243">
        <f>('Pivot Table for Data Exchange'!$J$511)*100</f>
        <v>93.757322308708908</v>
      </c>
      <c r="C26" s="243">
        <f>('Pivot Table for Data Exchange'!$J$514)*100</f>
        <v>2.1655123828390876</v>
      </c>
      <c r="D26" s="249">
        <f>SUM(E26:G26)</f>
        <v>4.0771653084520061</v>
      </c>
      <c r="E26" s="243">
        <f>('Pivot Table for Data Exchange'!$J$517)*100</f>
        <v>3.2282621650038799</v>
      </c>
      <c r="F26" s="243">
        <f>('Pivot Table for Data Exchange'!$J$520)*100</f>
        <v>0.84890314344812612</v>
      </c>
      <c r="G26" s="245">
        <f>('Pivot Table for Data Exchange'!$J$523)*100</f>
        <v>0</v>
      </c>
      <c r="H26" s="243">
        <f>('Pivot Table for Data Exchange'!$J$526)*100</f>
        <v>0</v>
      </c>
      <c r="I26" s="65" t="s">
        <v>154</v>
      </c>
      <c r="J26" s="243">
        <f>('Pivot Table for Data Exchange'!$J$529)*100</f>
        <v>80.732818538932506</v>
      </c>
      <c r="K26" s="243">
        <f>('Pivot Table for Data Exchange'!$J$532)*100</f>
        <v>10.708997892788995</v>
      </c>
      <c r="L26" s="249">
        <f>SUM(M26:O26)</f>
        <v>8.5581835682785012</v>
      </c>
      <c r="M26" s="243">
        <f>('Pivot Table for Data Exchange'!$J$535)*100</f>
        <v>6.2472641886106546</v>
      </c>
      <c r="N26" s="243">
        <f>('Pivot Table for Data Exchange'!$J$538)*100</f>
        <v>2.3109193796678458</v>
      </c>
      <c r="O26" s="245">
        <f>('Pivot Table for Data Exchange'!$J$541)*100</f>
        <v>0</v>
      </c>
      <c r="P26" s="243">
        <f>('Pivot Table for Data Exchange'!$J$544)*100</f>
        <v>0</v>
      </c>
      <c r="Q26" s="97">
        <f>SUM(B26,C26,D26,H26)</f>
        <v>100</v>
      </c>
      <c r="R26" s="97">
        <f>SUM(J26,K26,L26,P26)</f>
        <v>100</v>
      </c>
      <c r="S26" s="98"/>
      <c r="T26" s="99"/>
      <c r="U26" s="99"/>
      <c r="V26" s="99"/>
      <c r="W26" s="99"/>
      <c r="X26" s="99"/>
      <c r="Y26" s="99"/>
      <c r="Z26" s="99"/>
      <c r="AA26" s="99"/>
      <c r="AB26" s="99"/>
      <c r="AC26" s="99"/>
      <c r="AD26" s="99"/>
      <c r="AE26" s="99"/>
      <c r="AF26" s="98"/>
      <c r="AG26" s="98"/>
      <c r="AH26" s="98"/>
      <c r="AI26" s="98"/>
      <c r="AJ26" s="98"/>
      <c r="AK26" s="98"/>
      <c r="AL26" s="98"/>
      <c r="AM26" s="98"/>
      <c r="AN26" s="98"/>
      <c r="AO26" s="98"/>
    </row>
    <row r="27" spans="1:41" ht="15.75" customHeight="1" x14ac:dyDescent="0.2">
      <c r="A27" s="242" t="s">
        <v>155</v>
      </c>
      <c r="B27" s="246">
        <f>('Pivot Table for Data Exchange'!$J$547)*100</f>
        <v>85.649816437160524</v>
      </c>
      <c r="C27" s="246">
        <f>('Pivot Table for Data Exchange'!$J$550)*100</f>
        <v>3.7446553555380047</v>
      </c>
      <c r="D27" s="250">
        <f>SUM(E27:G27)</f>
        <v>10.605528207301465</v>
      </c>
      <c r="E27" s="246">
        <f>('Pivot Table for Data Exchange'!$J$553)*100</f>
        <v>10.128404315171451</v>
      </c>
      <c r="F27" s="246">
        <f>('Pivot Table for Data Exchange'!$J$556)*100</f>
        <v>0.29425850510037005</v>
      </c>
      <c r="G27" s="247">
        <f>('Pivot Table for Data Exchange'!$J$559)*100</f>
        <v>0.18286538702964306</v>
      </c>
      <c r="H27" s="246">
        <f>('Pivot Table for Data Exchange'!$J$562)*100</f>
        <v>0</v>
      </c>
      <c r="I27" s="242" t="s">
        <v>155</v>
      </c>
      <c r="J27" s="246">
        <f>('Pivot Table for Data Exchange'!$J$565)*100</f>
        <v>53.109833618926537</v>
      </c>
      <c r="K27" s="246">
        <f>('Pivot Table for Data Exchange'!$J$568)*100</f>
        <v>17.146647504283898</v>
      </c>
      <c r="L27" s="250">
        <f>SUM(M27:O27)</f>
        <v>29.743518876789562</v>
      </c>
      <c r="M27" s="246">
        <f>('Pivot Table for Data Exchange'!$J$571)*100</f>
        <v>29.059200707534131</v>
      </c>
      <c r="N27" s="246">
        <f>('Pivot Table for Data Exchange'!$J$574)*100</f>
        <v>0.45547509811508485</v>
      </c>
      <c r="O27" s="247">
        <f>('Pivot Table for Data Exchange'!$J$577)*100</f>
        <v>0.22884307114034602</v>
      </c>
      <c r="P27" s="246">
        <f>('Pivot Table for Data Exchange'!$J$580)*100</f>
        <v>0</v>
      </c>
      <c r="Q27" s="248">
        <f t="shared" ref="Q27:Q90" si="4">SUM(B27,C27,D27,H27)</f>
        <v>99.999999999999986</v>
      </c>
      <c r="R27" s="248">
        <f t="shared" ref="R27:R90" si="5">SUM(J27,K27,L27,P27)</f>
        <v>100</v>
      </c>
      <c r="S27" s="98"/>
      <c r="T27" s="99"/>
      <c r="U27" s="99"/>
      <c r="V27" s="99"/>
      <c r="W27" s="99"/>
      <c r="X27" s="99"/>
      <c r="Y27" s="99"/>
      <c r="Z27" s="99"/>
      <c r="AA27" s="99"/>
      <c r="AB27" s="99"/>
      <c r="AC27" s="99"/>
      <c r="AD27" s="99"/>
      <c r="AE27" s="99"/>
      <c r="AF27" s="98"/>
      <c r="AG27" s="98"/>
      <c r="AH27" s="98"/>
      <c r="AI27" s="98"/>
      <c r="AJ27" s="98"/>
      <c r="AK27" s="98"/>
      <c r="AL27" s="98"/>
      <c r="AM27" s="98"/>
      <c r="AN27" s="98"/>
      <c r="AO27" s="98"/>
    </row>
    <row r="28" spans="1:41" s="103" customFormat="1" ht="39" customHeight="1" x14ac:dyDescent="0.25">
      <c r="A28" s="680" t="s">
        <v>921</v>
      </c>
      <c r="B28" s="681"/>
      <c r="C28" s="681"/>
      <c r="D28" s="681"/>
      <c r="E28" s="681"/>
      <c r="F28" s="681"/>
      <c r="G28" s="681"/>
      <c r="H28" s="681"/>
      <c r="I28" s="680" t="s">
        <v>921</v>
      </c>
      <c r="J28" s="681"/>
      <c r="K28" s="681"/>
      <c r="L28" s="681"/>
      <c r="M28" s="681"/>
      <c r="N28" s="681"/>
      <c r="O28" s="681"/>
      <c r="P28" s="681"/>
      <c r="Q28" s="248">
        <f>SUM(B28,C28,D28,H28)</f>
        <v>0</v>
      </c>
      <c r="R28" s="248">
        <f>SUM(J28,K28,L28,P28)</f>
        <v>0</v>
      </c>
    </row>
    <row r="29" spans="1:41" s="103" customFormat="1" ht="18" customHeight="1" x14ac:dyDescent="0.2">
      <c r="A29" s="24" t="s">
        <v>922</v>
      </c>
      <c r="B29" s="69"/>
      <c r="C29" s="69"/>
      <c r="D29" s="70"/>
      <c r="E29" s="69"/>
      <c r="F29" s="70"/>
      <c r="G29" s="70"/>
      <c r="H29" s="69"/>
      <c r="I29" s="24" t="s">
        <v>922</v>
      </c>
      <c r="J29" s="69"/>
      <c r="K29" s="69"/>
      <c r="L29" s="70"/>
      <c r="M29" s="69"/>
      <c r="N29" s="70"/>
      <c r="O29" s="70"/>
      <c r="P29" s="69"/>
      <c r="Q29" s="248">
        <f t="shared" si="4"/>
        <v>0</v>
      </c>
      <c r="R29" s="248">
        <f t="shared" si="5"/>
        <v>0</v>
      </c>
      <c r="S29" s="102"/>
      <c r="T29" s="98"/>
      <c r="U29" s="102"/>
      <c r="V29" s="102"/>
      <c r="W29" s="102"/>
      <c r="X29" s="102"/>
      <c r="Y29" s="102"/>
      <c r="Z29" s="102"/>
      <c r="AA29" s="102"/>
      <c r="AB29" s="102"/>
      <c r="AC29" s="102"/>
      <c r="AD29" s="102"/>
      <c r="AE29" s="102"/>
      <c r="AF29" s="102"/>
      <c r="AG29" s="102"/>
      <c r="AH29" s="102"/>
      <c r="AI29" s="102"/>
      <c r="AJ29" s="102"/>
      <c r="AK29" s="102"/>
      <c r="AL29" s="102"/>
      <c r="AM29" s="102"/>
      <c r="AN29" s="102"/>
      <c r="AO29" s="102"/>
    </row>
    <row r="30" spans="1:41" s="103" customFormat="1" ht="24.75" customHeight="1" x14ac:dyDescent="0.2">
      <c r="A30" s="666" t="s">
        <v>923</v>
      </c>
      <c r="B30" s="683"/>
      <c r="C30" s="683"/>
      <c r="D30" s="683"/>
      <c r="E30" s="683"/>
      <c r="F30" s="683"/>
      <c r="G30" s="683"/>
      <c r="H30" s="683"/>
      <c r="I30" s="666" t="s">
        <v>923</v>
      </c>
      <c r="J30" s="683"/>
      <c r="K30" s="683"/>
      <c r="L30" s="683"/>
      <c r="M30" s="683"/>
      <c r="N30" s="683"/>
      <c r="O30" s="683"/>
      <c r="P30" s="683"/>
      <c r="Q30" s="248">
        <f t="shared" si="4"/>
        <v>0</v>
      </c>
      <c r="R30" s="248">
        <f t="shared" si="5"/>
        <v>0</v>
      </c>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row>
    <row r="31" spans="1:41" s="103" customFormat="1" ht="13.5" customHeight="1" x14ac:dyDescent="0.25">
      <c r="A31" s="30"/>
      <c r="B31" s="110"/>
      <c r="C31" s="110"/>
      <c r="D31" s="110"/>
      <c r="E31" s="110"/>
      <c r="F31" s="110"/>
      <c r="G31" s="110"/>
      <c r="I31" s="30"/>
      <c r="J31" s="110"/>
      <c r="K31" s="110"/>
      <c r="L31" s="110"/>
      <c r="M31" s="110"/>
      <c r="N31" s="110"/>
      <c r="O31" s="110"/>
      <c r="P31" s="110"/>
      <c r="Q31" s="248">
        <f t="shared" si="4"/>
        <v>0</v>
      </c>
      <c r="R31" s="248">
        <f t="shared" si="5"/>
        <v>0</v>
      </c>
    </row>
    <row r="32" spans="1:41" x14ac:dyDescent="0.2">
      <c r="H32" s="27" t="s">
        <v>914</v>
      </c>
      <c r="I32" s="28"/>
      <c r="P32" s="27" t="s">
        <v>914</v>
      </c>
      <c r="Q32" s="248">
        <f>SUM(B32,C32,D32,H32)</f>
        <v>0</v>
      </c>
      <c r="R32" s="248">
        <f t="shared" si="5"/>
        <v>0</v>
      </c>
    </row>
    <row r="33" spans="1:41" ht="18" x14ac:dyDescent="0.25">
      <c r="A33" s="16" t="s">
        <v>202</v>
      </c>
      <c r="B33" s="34"/>
      <c r="C33" s="34"/>
      <c r="D33" s="34"/>
      <c r="E33" s="34"/>
      <c r="F33" s="34"/>
      <c r="G33" s="34"/>
      <c r="H33" s="35"/>
      <c r="I33" s="16" t="s">
        <v>217</v>
      </c>
      <c r="J33" s="19"/>
      <c r="K33" s="19"/>
      <c r="L33" s="34"/>
      <c r="M33" s="19"/>
      <c r="N33" s="19"/>
      <c r="O33" s="19"/>
      <c r="P33" s="19"/>
      <c r="Q33" s="248">
        <f t="shared" si="4"/>
        <v>0</v>
      </c>
      <c r="R33" s="248">
        <f t="shared" si="5"/>
        <v>0</v>
      </c>
    </row>
    <row r="34" spans="1:41" x14ac:dyDescent="0.2">
      <c r="A34" s="18"/>
      <c r="B34" s="19"/>
      <c r="C34" s="19"/>
      <c r="D34" s="19"/>
      <c r="E34" s="19"/>
      <c r="F34" s="19"/>
      <c r="G34" s="19"/>
      <c r="H34" s="36"/>
      <c r="I34" s="18"/>
      <c r="J34" s="19"/>
      <c r="K34" s="19"/>
      <c r="L34" s="19"/>
      <c r="M34" s="19"/>
      <c r="N34" s="19"/>
      <c r="O34" s="19"/>
      <c r="P34" s="19"/>
      <c r="Q34" s="248">
        <f t="shared" si="4"/>
        <v>0</v>
      </c>
      <c r="R34" s="248">
        <f t="shared" si="5"/>
        <v>0</v>
      </c>
    </row>
    <row r="35" spans="1:41" ht="15.75" x14ac:dyDescent="0.25">
      <c r="A35" s="37" t="s">
        <v>162</v>
      </c>
      <c r="B35" s="19"/>
      <c r="C35" s="19"/>
      <c r="D35" s="19"/>
      <c r="E35" s="19"/>
      <c r="F35" s="19"/>
      <c r="G35" s="19"/>
      <c r="H35" s="36"/>
      <c r="I35" s="37" t="s">
        <v>163</v>
      </c>
      <c r="J35" s="19"/>
      <c r="K35" s="19"/>
      <c r="L35" s="19"/>
      <c r="M35" s="19"/>
      <c r="N35" s="19"/>
      <c r="O35" s="19"/>
      <c r="P35" s="19"/>
      <c r="Q35" s="248">
        <f t="shared" si="4"/>
        <v>0</v>
      </c>
      <c r="R35" s="248">
        <f t="shared" si="5"/>
        <v>0</v>
      </c>
    </row>
    <row r="36" spans="1:41" ht="15.75" x14ac:dyDescent="0.25">
      <c r="A36" s="37" t="s">
        <v>867</v>
      </c>
      <c r="B36" s="19"/>
      <c r="C36" s="19"/>
      <c r="D36" s="19"/>
      <c r="E36" s="19"/>
      <c r="F36" s="19"/>
      <c r="G36" s="19"/>
      <c r="H36" s="36"/>
      <c r="I36" s="37" t="s">
        <v>867</v>
      </c>
      <c r="J36" s="19"/>
      <c r="K36" s="19"/>
      <c r="L36" s="19"/>
      <c r="M36" s="19"/>
      <c r="N36" s="19"/>
      <c r="O36" s="19"/>
      <c r="P36" s="19"/>
      <c r="Q36" s="248">
        <f t="shared" si="4"/>
        <v>0</v>
      </c>
      <c r="R36" s="248">
        <f t="shared" si="5"/>
        <v>0</v>
      </c>
    </row>
    <row r="37" spans="1:41" x14ac:dyDescent="0.2">
      <c r="A37" s="39"/>
      <c r="B37" s="40"/>
      <c r="C37" s="40"/>
      <c r="D37" s="40"/>
      <c r="E37" s="40"/>
      <c r="F37" s="40"/>
      <c r="G37" s="40"/>
      <c r="H37" s="40"/>
      <c r="I37" s="41"/>
      <c r="L37" s="42"/>
      <c r="P37" s="39"/>
      <c r="Q37" s="248">
        <f t="shared" si="4"/>
        <v>0</v>
      </c>
      <c r="R37" s="248">
        <f t="shared" si="5"/>
        <v>0</v>
      </c>
    </row>
    <row r="38" spans="1:41" s="57" customFormat="1" x14ac:dyDescent="0.2">
      <c r="A38" s="43"/>
      <c r="B38" s="44" t="s">
        <v>164</v>
      </c>
      <c r="C38" s="44"/>
      <c r="D38" s="44"/>
      <c r="E38" s="44"/>
      <c r="F38" s="44"/>
      <c r="G38" s="44"/>
      <c r="H38" s="45"/>
      <c r="I38" s="43"/>
      <c r="J38" s="44" t="s">
        <v>164</v>
      </c>
      <c r="K38" s="44"/>
      <c r="L38" s="44"/>
      <c r="M38" s="44"/>
      <c r="N38" s="44"/>
      <c r="O38" s="44"/>
      <c r="P38" s="45"/>
      <c r="Q38" s="248">
        <f t="shared" si="4"/>
        <v>0</v>
      </c>
      <c r="R38" s="248">
        <f t="shared" si="5"/>
        <v>0</v>
      </c>
    </row>
    <row r="39" spans="1:41" s="57" customFormat="1" x14ac:dyDescent="0.2">
      <c r="A39" s="43"/>
      <c r="B39" s="44" t="s">
        <v>165</v>
      </c>
      <c r="C39" s="44"/>
      <c r="D39" s="670" t="s">
        <v>166</v>
      </c>
      <c r="E39" s="668"/>
      <c r="F39" s="668"/>
      <c r="G39" s="668"/>
      <c r="H39" s="49" t="s">
        <v>39</v>
      </c>
      <c r="I39" s="43"/>
      <c r="J39" s="44" t="s">
        <v>165</v>
      </c>
      <c r="K39" s="44"/>
      <c r="L39" s="670" t="s">
        <v>166</v>
      </c>
      <c r="M39" s="668"/>
      <c r="N39" s="668"/>
      <c r="O39" s="668"/>
      <c r="P39" s="49" t="s">
        <v>39</v>
      </c>
      <c r="Q39" s="248">
        <f t="shared" si="4"/>
        <v>0</v>
      </c>
      <c r="R39" s="248">
        <f t="shared" si="5"/>
        <v>0</v>
      </c>
    </row>
    <row r="40" spans="1:41" s="57" customFormat="1" ht="40.5" customHeight="1" x14ac:dyDescent="0.2">
      <c r="A40" s="43"/>
      <c r="B40" s="50" t="s">
        <v>167</v>
      </c>
      <c r="C40" s="51" t="s">
        <v>168</v>
      </c>
      <c r="D40" s="52" t="s">
        <v>169</v>
      </c>
      <c r="E40" s="53" t="s">
        <v>7</v>
      </c>
      <c r="F40" s="50" t="s">
        <v>170</v>
      </c>
      <c r="G40" s="54" t="s">
        <v>171</v>
      </c>
      <c r="H40" s="55" t="s">
        <v>172</v>
      </c>
      <c r="I40" s="43"/>
      <c r="J40" s="50" t="s">
        <v>167</v>
      </c>
      <c r="K40" s="51" t="s">
        <v>168</v>
      </c>
      <c r="L40" s="52" t="s">
        <v>169</v>
      </c>
      <c r="M40" s="53" t="s">
        <v>7</v>
      </c>
      <c r="N40" s="50" t="s">
        <v>170</v>
      </c>
      <c r="O40" s="54" t="s">
        <v>171</v>
      </c>
      <c r="P40" s="55" t="s">
        <v>172</v>
      </c>
      <c r="Q40" s="248">
        <f t="shared" si="4"/>
        <v>0</v>
      </c>
      <c r="R40" s="248">
        <f t="shared" si="5"/>
        <v>0</v>
      </c>
      <c r="T40" s="56"/>
    </row>
    <row r="41" spans="1:41" ht="15.75" customHeight="1" x14ac:dyDescent="0.2">
      <c r="A41" s="58" t="s">
        <v>141</v>
      </c>
      <c r="B41" s="82">
        <f>('Pivot Table for Data Exchange'!$C$7)*100</f>
        <v>95.319481306023334</v>
      </c>
      <c r="C41" s="67">
        <f>('Pivot Table for Data Exchange'!$C$10)*100</f>
        <v>1.1210125800905253E-2</v>
      </c>
      <c r="D41" s="249">
        <f>SUM(E41:G41)</f>
        <v>4.6693085681757633</v>
      </c>
      <c r="E41" s="243">
        <f>('Pivot Table for Data Exchange'!$C$13)*100</f>
        <v>4.0372467348688783</v>
      </c>
      <c r="F41" s="67">
        <f>('Pivot Table for Data Exchange'!$C$16)*100</f>
        <v>2.8243693576306746E-2</v>
      </c>
      <c r="G41" s="60">
        <f>('Pivot Table for Data Exchange'!$C$19)*100</f>
        <v>0.60381813973057852</v>
      </c>
      <c r="H41" s="243">
        <f>('Pivot Table for Data Exchange'!$C$22)*100</f>
        <v>0</v>
      </c>
      <c r="I41" s="251" t="s">
        <v>141</v>
      </c>
      <c r="J41" s="243">
        <f>('Pivot Table for Data Exchange'!$C$25)*100</f>
        <v>84.600012370996666</v>
      </c>
      <c r="K41" s="243">
        <f>('Pivot Table for Data Exchange'!$C$28)*100</f>
        <v>2.7734822928214915</v>
      </c>
      <c r="L41" s="249">
        <f>SUM(M41:O41)</f>
        <v>12.626505336181836</v>
      </c>
      <c r="M41" s="243">
        <f>('Pivot Table for Data Exchange'!$C$31)*100</f>
        <v>7.9383734042603811</v>
      </c>
      <c r="N41" s="243">
        <f>('Pivot Table for Data Exchange'!$C$34)*100</f>
        <v>0.16129876432775528</v>
      </c>
      <c r="O41" s="60">
        <f>('Pivot Table for Data Exchange'!$C$37)*100</f>
        <v>4.5268331675936979</v>
      </c>
      <c r="P41" s="243">
        <f>('Pivot Table for Data Exchange'!$C$40)*100</f>
        <v>0</v>
      </c>
      <c r="Q41" s="248">
        <f t="shared" si="4"/>
        <v>100</v>
      </c>
      <c r="R41" s="248">
        <f t="shared" si="5"/>
        <v>100</v>
      </c>
      <c r="S41" s="98"/>
      <c r="T41" s="98"/>
      <c r="U41" s="98"/>
      <c r="V41" s="98"/>
      <c r="W41" s="98"/>
      <c r="X41" s="98"/>
      <c r="Y41" s="98"/>
      <c r="Z41" s="98"/>
      <c r="AA41" s="98"/>
      <c r="AB41" s="98"/>
      <c r="AC41" s="98"/>
      <c r="AD41" s="98"/>
      <c r="AE41" s="98"/>
      <c r="AF41" s="98"/>
      <c r="AG41" s="98"/>
      <c r="AH41" s="98"/>
      <c r="AI41" s="98"/>
      <c r="AJ41" s="98"/>
      <c r="AK41" s="98"/>
      <c r="AL41" s="98"/>
      <c r="AM41" s="98"/>
      <c r="AN41" s="98"/>
      <c r="AO41" s="98"/>
    </row>
    <row r="42" spans="1:41" ht="15.75" customHeight="1" x14ac:dyDescent="0.2">
      <c r="A42" s="65" t="s">
        <v>142</v>
      </c>
      <c r="B42" s="243">
        <f>('Pivot Table for Data Exchange'!$C$43)*100</f>
        <v>93.001120017414692</v>
      </c>
      <c r="C42" s="243">
        <f>('Pivot Table for Data Exchange'!$C$46)*100</f>
        <v>1.5002615714651863</v>
      </c>
      <c r="D42" s="249">
        <f t="shared" ref="D42:D44" si="6">SUM(E42:G42)</f>
        <v>3.5837046243728428</v>
      </c>
      <c r="E42" s="243">
        <f>('Pivot Table for Data Exchange'!$C$49)*100</f>
        <v>3.420617449098895</v>
      </c>
      <c r="F42" s="243">
        <f>('Pivot Table for Data Exchange'!$C$52)*100</f>
        <v>0.15308075009567548</v>
      </c>
      <c r="G42" s="68">
        <f>('Pivot Table for Data Exchange'!$C$55)*100</f>
        <v>1.0006425178272363E-2</v>
      </c>
      <c r="H42" s="243">
        <f>('Pivot Table for Data Exchange'!$C$58)*100</f>
        <v>1.9149137867472799</v>
      </c>
      <c r="I42" s="87" t="s">
        <v>142</v>
      </c>
      <c r="J42" s="243">
        <f>('Pivot Table for Data Exchange'!$C$61)*100</f>
        <v>75.502855884676663</v>
      </c>
      <c r="K42" s="243">
        <f>('Pivot Table for Data Exchange'!$C$64)*100</f>
        <v>4.9294771334948004</v>
      </c>
      <c r="L42" s="249">
        <f t="shared" ref="L42:L44" si="7">SUM(M42:O42)</f>
        <v>19.559895867062128</v>
      </c>
      <c r="M42" s="243">
        <f>('Pivot Table for Data Exchange'!$C$67)*100</f>
        <v>18.63901876724216</v>
      </c>
      <c r="N42" s="243">
        <f>('Pivot Table for Data Exchange'!$C$70)*100</f>
        <v>0</v>
      </c>
      <c r="O42" s="245">
        <f>('Pivot Table for Data Exchange'!$C$73)*100</f>
        <v>0.92087709981996912</v>
      </c>
      <c r="P42" s="67">
        <f>('Pivot Table for Data Exchange'!$C$76)*100</f>
        <v>7.7711147664132419E-3</v>
      </c>
      <c r="Q42" s="248">
        <f t="shared" si="4"/>
        <v>100</v>
      </c>
      <c r="R42" s="248">
        <f t="shared" si="5"/>
        <v>100</v>
      </c>
      <c r="S42" s="98"/>
      <c r="T42" s="98"/>
      <c r="U42" s="98"/>
      <c r="V42" s="98"/>
      <c r="W42" s="98"/>
      <c r="X42" s="98"/>
      <c r="Y42" s="98"/>
      <c r="Z42" s="98"/>
      <c r="AA42" s="98"/>
      <c r="AB42" s="98"/>
      <c r="AC42" s="98"/>
      <c r="AD42" s="98"/>
      <c r="AE42" s="98"/>
      <c r="AF42" s="98"/>
      <c r="AG42" s="98"/>
      <c r="AH42" s="98"/>
      <c r="AI42" s="98"/>
      <c r="AJ42" s="98"/>
      <c r="AK42" s="98"/>
      <c r="AL42" s="98"/>
      <c r="AM42" s="98"/>
      <c r="AN42" s="98"/>
      <c r="AO42" s="98"/>
    </row>
    <row r="43" spans="1:41" ht="15.75" customHeight="1" x14ac:dyDescent="0.2">
      <c r="A43" s="65" t="s">
        <v>143</v>
      </c>
      <c r="B43" s="243">
        <f>('Pivot Table for Data Exchange'!$C$79)*100</f>
        <v>97.369197619193443</v>
      </c>
      <c r="C43" s="243">
        <f>('Pivot Table for Data Exchange'!$C$82)*100</f>
        <v>0</v>
      </c>
      <c r="D43" s="249">
        <f t="shared" si="6"/>
        <v>2.6308023808065566</v>
      </c>
      <c r="E43" s="243">
        <f>('Pivot Table for Data Exchange'!$C$85)*100</f>
        <v>2.6308023808065566</v>
      </c>
      <c r="F43" s="243">
        <f>('Pivot Table for Data Exchange'!$C$88)*100</f>
        <v>0</v>
      </c>
      <c r="G43" s="245">
        <f>('Pivot Table for Data Exchange'!$C$91)*100</f>
        <v>0</v>
      </c>
      <c r="H43" s="243">
        <f>('Pivot Table for Data Exchange'!$C$94)*100</f>
        <v>0</v>
      </c>
      <c r="I43" s="87" t="s">
        <v>143</v>
      </c>
      <c r="J43" s="243">
        <f>('Pivot Table for Data Exchange'!$C$97)*100</f>
        <v>94.45403877855405</v>
      </c>
      <c r="K43" s="243">
        <f>('Pivot Table for Data Exchange'!$C$100)*100</f>
        <v>0</v>
      </c>
      <c r="L43" s="249">
        <f t="shared" si="7"/>
        <v>5.5459612214459533</v>
      </c>
      <c r="M43" s="243">
        <f>('Pivot Table for Data Exchange'!$C$103)*100</f>
        <v>5.5459612214459533</v>
      </c>
      <c r="N43" s="243">
        <f>('Pivot Table for Data Exchange'!$C$106)*100</f>
        <v>0</v>
      </c>
      <c r="O43" s="245">
        <f>('Pivot Table for Data Exchange'!$C$109)*100</f>
        <v>0</v>
      </c>
      <c r="P43" s="243">
        <f>('Pivot Table for Data Exchange'!$C$112)*100</f>
        <v>0</v>
      </c>
      <c r="Q43" s="248">
        <f t="shared" si="4"/>
        <v>100</v>
      </c>
      <c r="R43" s="248">
        <f t="shared" si="5"/>
        <v>100</v>
      </c>
      <c r="S43" s="98"/>
      <c r="T43" s="104"/>
      <c r="U43" s="98"/>
      <c r="V43" s="98"/>
      <c r="W43" s="98"/>
      <c r="X43" s="98"/>
      <c r="Y43" s="98"/>
      <c r="Z43" s="98"/>
      <c r="AA43" s="98"/>
      <c r="AB43" s="98"/>
      <c r="AC43" s="98"/>
      <c r="AD43" s="98"/>
      <c r="AE43" s="98"/>
      <c r="AF43" s="98"/>
      <c r="AG43" s="98"/>
      <c r="AH43" s="98"/>
      <c r="AI43" s="98"/>
      <c r="AJ43" s="98"/>
      <c r="AK43" s="98"/>
      <c r="AL43" s="98"/>
      <c r="AM43" s="98"/>
      <c r="AN43" s="98"/>
      <c r="AO43" s="98"/>
    </row>
    <row r="44" spans="1:41" ht="15.75" customHeight="1" x14ac:dyDescent="0.2">
      <c r="A44" s="65" t="s">
        <v>174</v>
      </c>
      <c r="B44" s="243">
        <f>('Pivot Table for Data Exchange'!$C$115)*100</f>
        <v>69.041694286179151</v>
      </c>
      <c r="C44" s="243">
        <f>('Pivot Table for Data Exchange'!$C$118)*100</f>
        <v>8.071613523106981</v>
      </c>
      <c r="D44" s="249">
        <f t="shared" si="6"/>
        <v>22.767531734843033</v>
      </c>
      <c r="E44" s="243">
        <f>('Pivot Table for Data Exchange'!$C$121)*100</f>
        <v>21.292246259005445</v>
      </c>
      <c r="F44" s="243">
        <f>('Pivot Table for Data Exchange'!$C$124)*100</f>
        <v>0</v>
      </c>
      <c r="G44" s="245">
        <f>('Pivot Table for Data Exchange'!$C$127)*100</f>
        <v>1.475285475837588</v>
      </c>
      <c r="H44" s="243">
        <f>('Pivot Table for Data Exchange'!$C$130)*100</f>
        <v>0.11916045587083697</v>
      </c>
      <c r="I44" s="87" t="s">
        <v>174</v>
      </c>
      <c r="J44" s="243">
        <f>('Pivot Table for Data Exchange'!$C$133)*100</f>
        <v>71.69245581980698</v>
      </c>
      <c r="K44" s="243">
        <f>('Pivot Table for Data Exchange'!$C$136)*100</f>
        <v>6.5538691311039177</v>
      </c>
      <c r="L44" s="249">
        <f t="shared" si="7"/>
        <v>21.753675049089104</v>
      </c>
      <c r="M44" s="243">
        <f>('Pivot Table for Data Exchange'!$C$139)*100</f>
        <v>21.26050961691546</v>
      </c>
      <c r="N44" s="243">
        <f>('Pivot Table for Data Exchange'!$C$142)*100</f>
        <v>0</v>
      </c>
      <c r="O44" s="245">
        <f>('Pivot Table for Data Exchange'!$C$145)*100</f>
        <v>0.49316543217364273</v>
      </c>
      <c r="P44" s="243">
        <f>('Pivot Table for Data Exchange'!$C$148)*100</f>
        <v>0</v>
      </c>
      <c r="Q44" s="248">
        <f t="shared" si="4"/>
        <v>100</v>
      </c>
      <c r="R44" s="248">
        <f t="shared" si="5"/>
        <v>100</v>
      </c>
      <c r="S44" s="98"/>
      <c r="U44" s="98"/>
      <c r="V44" s="98"/>
      <c r="W44" s="98"/>
      <c r="X44" s="98"/>
      <c r="Y44" s="98"/>
      <c r="Z44" s="98"/>
      <c r="AA44" s="98"/>
      <c r="AB44" s="98"/>
      <c r="AC44" s="98"/>
      <c r="AD44" s="98"/>
      <c r="AE44" s="98"/>
      <c r="AF44" s="98"/>
      <c r="AG44" s="98"/>
      <c r="AH44" s="98"/>
      <c r="AI44" s="98"/>
      <c r="AJ44" s="98"/>
      <c r="AK44" s="98"/>
      <c r="AL44" s="98"/>
      <c r="AM44" s="98"/>
      <c r="AN44" s="98"/>
      <c r="AO44" s="98"/>
    </row>
    <row r="45" spans="1:41" ht="10.5" customHeight="1" x14ac:dyDescent="0.2">
      <c r="A45" s="65"/>
      <c r="B45" s="243"/>
      <c r="C45" s="243"/>
      <c r="D45" s="249"/>
      <c r="E45" s="243"/>
      <c r="F45" s="243"/>
      <c r="G45" s="245"/>
      <c r="H45" s="243"/>
      <c r="I45" s="87"/>
      <c r="J45" s="243"/>
      <c r="K45" s="243"/>
      <c r="L45" s="249"/>
      <c r="M45" s="243"/>
      <c r="N45" s="243"/>
      <c r="O45" s="245"/>
      <c r="P45" s="243"/>
      <c r="Q45" s="248">
        <f t="shared" si="4"/>
        <v>0</v>
      </c>
      <c r="R45" s="248">
        <f t="shared" si="5"/>
        <v>0</v>
      </c>
      <c r="S45" s="98"/>
      <c r="U45" s="98"/>
      <c r="V45" s="98"/>
      <c r="W45" s="98"/>
      <c r="X45" s="98"/>
      <c r="Y45" s="98"/>
      <c r="Z45" s="98"/>
      <c r="AA45" s="98"/>
      <c r="AB45" s="98"/>
      <c r="AC45" s="98"/>
      <c r="AD45" s="98"/>
      <c r="AE45" s="98"/>
      <c r="AF45" s="98"/>
      <c r="AG45" s="98"/>
      <c r="AH45" s="98"/>
      <c r="AI45" s="98"/>
      <c r="AJ45" s="98"/>
      <c r="AK45" s="98"/>
      <c r="AL45" s="98"/>
      <c r="AM45" s="98"/>
      <c r="AN45" s="98"/>
      <c r="AO45" s="98"/>
    </row>
    <row r="46" spans="1:41" ht="15.75" customHeight="1" x14ac:dyDescent="0.2">
      <c r="A46" s="65" t="s">
        <v>145</v>
      </c>
      <c r="B46" s="243">
        <f>('Pivot Table for Data Exchange'!$C$151)*100</f>
        <v>95.813476841164587</v>
      </c>
      <c r="C46" s="243">
        <f>('Pivot Table for Data Exchange'!$C$154)*100</f>
        <v>1.7136814862025502</v>
      </c>
      <c r="D46" s="249">
        <f t="shared" ref="D46:D47" si="8">SUM(E46:G46)</f>
        <v>2.4722009109637453</v>
      </c>
      <c r="E46" s="243">
        <f>('Pivot Table for Data Exchange'!$C$157)*100</f>
        <v>2.2854544822845062</v>
      </c>
      <c r="F46" s="243">
        <f>('Pivot Table for Data Exchange'!$C$160)*100</f>
        <v>0</v>
      </c>
      <c r="G46" s="245">
        <f>('Pivot Table for Data Exchange'!$C$163)*100</f>
        <v>0.18674642867923927</v>
      </c>
      <c r="H46" s="243">
        <f>('Pivot Table for Data Exchange'!$C$166)*100</f>
        <v>6.4076166912434371E-4</v>
      </c>
      <c r="I46" s="87" t="s">
        <v>145</v>
      </c>
      <c r="J46" s="243">
        <f>('Pivot Table for Data Exchange'!$C$169)*100</f>
        <v>0</v>
      </c>
      <c r="K46" s="243">
        <f>('Pivot Table for Data Exchange'!$C$172)*100</f>
        <v>0</v>
      </c>
      <c r="L46" s="249">
        <f t="shared" ref="L46:L47" si="9">SUM(M46:O46)</f>
        <v>0</v>
      </c>
      <c r="M46" s="243">
        <f>('Pivot Table for Data Exchange'!$C$175)*100</f>
        <v>0</v>
      </c>
      <c r="N46" s="243">
        <f>('Pivot Table for Data Exchange'!$C$178)*100</f>
        <v>0</v>
      </c>
      <c r="O46" s="245">
        <f>('Pivot Table for Data Exchange'!$C$181)*100</f>
        <v>0</v>
      </c>
      <c r="P46" s="243">
        <f>('Pivot Table for Data Exchange'!$C$184)*100</f>
        <v>0</v>
      </c>
      <c r="Q46" s="248">
        <f t="shared" si="4"/>
        <v>100</v>
      </c>
      <c r="R46" s="248">
        <f t="shared" si="5"/>
        <v>0</v>
      </c>
      <c r="S46" s="98"/>
      <c r="T46" s="98"/>
      <c r="U46" s="98"/>
      <c r="V46" s="98"/>
      <c r="W46" s="98"/>
      <c r="X46" s="98"/>
      <c r="Y46" s="98"/>
      <c r="Z46" s="98"/>
      <c r="AA46" s="98"/>
      <c r="AB46" s="98"/>
      <c r="AC46" s="98"/>
      <c r="AD46" s="98"/>
      <c r="AE46" s="98"/>
      <c r="AF46" s="98"/>
      <c r="AG46" s="98"/>
      <c r="AH46" s="98"/>
      <c r="AI46" s="98"/>
      <c r="AJ46" s="98"/>
      <c r="AK46" s="98"/>
      <c r="AL46" s="98"/>
      <c r="AM46" s="98"/>
      <c r="AN46" s="98"/>
      <c r="AO46" s="98"/>
    </row>
    <row r="47" spans="1:41" ht="15.75" customHeight="1" x14ac:dyDescent="0.2">
      <c r="A47" s="65" t="s">
        <v>146</v>
      </c>
      <c r="B47" s="243">
        <f>('Pivot Table for Data Exchange'!$C$187)*100</f>
        <v>92.46518926087154</v>
      </c>
      <c r="C47" s="243">
        <f>('Pivot Table for Data Exchange'!$C$190)*100</f>
        <v>1.4650162882547475</v>
      </c>
      <c r="D47" s="249">
        <f t="shared" si="8"/>
        <v>6.0697944508737178</v>
      </c>
      <c r="E47" s="243">
        <f>('Pivot Table for Data Exchange'!$C$193)*100</f>
        <v>5.8247499104248952</v>
      </c>
      <c r="F47" s="243">
        <f>('Pivot Table for Data Exchange'!$C$196)*100</f>
        <v>0.24504454044882276</v>
      </c>
      <c r="G47" s="245">
        <f>('Pivot Table for Data Exchange'!$C$199)*100</f>
        <v>0</v>
      </c>
      <c r="H47" s="243">
        <f>('Pivot Table for Data Exchange'!$C$202)*100</f>
        <v>0</v>
      </c>
      <c r="I47" s="87" t="s">
        <v>146</v>
      </c>
      <c r="J47" s="243">
        <f>('Pivot Table for Data Exchange'!$C$205)*100</f>
        <v>76.386884720218049</v>
      </c>
      <c r="K47" s="243">
        <f>('Pivot Table for Data Exchange'!$C$208)*100</f>
        <v>6.2189353856020517</v>
      </c>
      <c r="L47" s="249">
        <f t="shared" si="9"/>
        <v>17.394179894179896</v>
      </c>
      <c r="M47" s="243">
        <f>('Pivot Table for Data Exchange'!$C$211)*100</f>
        <v>16.602533269199938</v>
      </c>
      <c r="N47" s="243">
        <f>('Pivot Table for Data Exchange'!$C$214)*100</f>
        <v>0.7916466249799583</v>
      </c>
      <c r="O47" s="245">
        <f>('Pivot Table for Data Exchange'!$C$217)*100</f>
        <v>0</v>
      </c>
      <c r="P47" s="243">
        <f>('Pivot Table for Data Exchange'!$C$220)*100</f>
        <v>0</v>
      </c>
      <c r="Q47" s="248">
        <f t="shared" si="4"/>
        <v>100</v>
      </c>
      <c r="R47" s="248">
        <f t="shared" si="5"/>
        <v>100</v>
      </c>
      <c r="S47" s="98"/>
      <c r="T47" s="98"/>
      <c r="U47" s="98"/>
      <c r="V47" s="98"/>
      <c r="W47" s="98"/>
      <c r="X47" s="98"/>
      <c r="Y47" s="98"/>
      <c r="Z47" s="98"/>
      <c r="AA47" s="98"/>
      <c r="AB47" s="98"/>
      <c r="AC47" s="98"/>
      <c r="AD47" s="98"/>
      <c r="AE47" s="98"/>
      <c r="AF47" s="98"/>
      <c r="AG47" s="98"/>
      <c r="AH47" s="98"/>
      <c r="AI47" s="98"/>
      <c r="AJ47" s="98"/>
      <c r="AK47" s="98"/>
      <c r="AL47" s="98"/>
      <c r="AM47" s="98"/>
      <c r="AN47" s="98"/>
      <c r="AO47" s="98"/>
    </row>
    <row r="48" spans="1:41" ht="15.75" customHeight="1" x14ac:dyDescent="0.2">
      <c r="A48" s="244" t="s">
        <v>147</v>
      </c>
      <c r="B48" s="243">
        <f>('Pivot Table for Data Exchange'!$C$223)*100</f>
        <v>0</v>
      </c>
      <c r="C48" s="243">
        <f>('Pivot Table for Data Exchange'!$C$226)*100</f>
        <v>0</v>
      </c>
      <c r="D48" s="249">
        <f>SUM(E48:G48)</f>
        <v>0</v>
      </c>
      <c r="E48" s="243">
        <f>('Pivot Table for Data Exchange'!$C$229)*100</f>
        <v>0</v>
      </c>
      <c r="F48" s="243">
        <f>('Pivot Table for Data Exchange'!$C$232)*100</f>
        <v>0</v>
      </c>
      <c r="G48" s="245">
        <f>('Pivot Table for Data Exchange'!$C$235)*100</f>
        <v>0</v>
      </c>
      <c r="H48" s="243">
        <f>('Pivot Table for Data Exchange'!$C$238)*100</f>
        <v>0</v>
      </c>
      <c r="I48" s="87" t="s">
        <v>147</v>
      </c>
      <c r="J48" s="243">
        <f>('Pivot Table for Data Exchange'!$C$241)*100</f>
        <v>0</v>
      </c>
      <c r="K48" s="243">
        <f>('Pivot Table for Data Exchange'!$C$244)*100</f>
        <v>0</v>
      </c>
      <c r="L48" s="249">
        <f>SUM(M48:O48)</f>
        <v>0</v>
      </c>
      <c r="M48" s="243">
        <f>('Pivot Table for Data Exchange'!$C$247)*100</f>
        <v>0</v>
      </c>
      <c r="N48" s="243">
        <f>('Pivot Table for Data Exchange'!$C$250)*100</f>
        <v>0</v>
      </c>
      <c r="O48" s="245">
        <f>('Pivot Table for Data Exchange'!$C$253)*100</f>
        <v>0</v>
      </c>
      <c r="P48" s="243">
        <f>('Pivot Table for Data Exchange'!$C$256)*100</f>
        <v>0</v>
      </c>
      <c r="Q48" s="248">
        <f t="shared" si="4"/>
        <v>0</v>
      </c>
      <c r="R48" s="248">
        <f t="shared" si="5"/>
        <v>0</v>
      </c>
      <c r="S48" s="98"/>
      <c r="T48" s="104"/>
      <c r="U48" s="98"/>
      <c r="V48" s="98"/>
      <c r="W48" s="98"/>
      <c r="X48" s="98"/>
      <c r="Y48" s="98"/>
      <c r="Z48" s="98"/>
      <c r="AA48" s="98"/>
      <c r="AB48" s="98"/>
      <c r="AC48" s="98"/>
      <c r="AD48" s="98"/>
      <c r="AE48" s="98"/>
      <c r="AF48" s="98"/>
      <c r="AG48" s="98"/>
      <c r="AH48" s="98"/>
      <c r="AI48" s="98"/>
      <c r="AJ48" s="98"/>
      <c r="AK48" s="98"/>
      <c r="AL48" s="98"/>
      <c r="AM48" s="98"/>
      <c r="AN48" s="98"/>
      <c r="AO48" s="98"/>
    </row>
    <row r="49" spans="1:41" ht="15.75" customHeight="1" x14ac:dyDescent="0.2">
      <c r="A49" s="65" t="s">
        <v>177</v>
      </c>
      <c r="B49" s="243">
        <f>('Pivot Table for Data Exchange'!$C$259)*100</f>
        <v>95.520475603200211</v>
      </c>
      <c r="C49" s="243">
        <f>('Pivot Table for Data Exchange'!$C$262)*100</f>
        <v>2.499193624893274</v>
      </c>
      <c r="D49" s="249">
        <f>SUM(E49:G49)</f>
        <v>1.9803307719065237</v>
      </c>
      <c r="E49" s="243">
        <f>('Pivot Table for Data Exchange'!$C$265)*100</f>
        <v>1.9032982322992757</v>
      </c>
      <c r="F49" s="243">
        <f>('Pivot Table for Data Exchange'!$C$268)*100</f>
        <v>7.7032539607247888E-2</v>
      </c>
      <c r="G49" s="245">
        <f>('Pivot Table for Data Exchange'!$C$271)*100</f>
        <v>0</v>
      </c>
      <c r="H49" s="243">
        <f>('Pivot Table for Data Exchange'!$C$274)*100</f>
        <v>0</v>
      </c>
      <c r="I49" s="87" t="s">
        <v>177</v>
      </c>
      <c r="J49" s="243">
        <f>('Pivot Table for Data Exchange'!$C$277)*100</f>
        <v>74.124476948015229</v>
      </c>
      <c r="K49" s="243">
        <f>('Pivot Table for Data Exchange'!$C$280)*100</f>
        <v>21.040826327892336</v>
      </c>
      <c r="L49" s="249">
        <f>SUM(M49:O49)</f>
        <v>4.834696724092435</v>
      </c>
      <c r="M49" s="243">
        <f>('Pivot Table for Data Exchange'!$C$283)*100</f>
        <v>4.1649388673175762</v>
      </c>
      <c r="N49" s="243">
        <f>('Pivot Table for Data Exchange'!$C$286)*100</f>
        <v>0.66975785677485833</v>
      </c>
      <c r="O49" s="245">
        <f>('Pivot Table for Data Exchange'!$C$289)*100</f>
        <v>0</v>
      </c>
      <c r="P49" s="243">
        <f>('Pivot Table for Data Exchange'!$C$292)*100</f>
        <v>0</v>
      </c>
      <c r="Q49" s="248">
        <f t="shared" si="4"/>
        <v>100.00000000000001</v>
      </c>
      <c r="R49" s="248">
        <f t="shared" si="5"/>
        <v>100</v>
      </c>
      <c r="S49" s="98"/>
      <c r="U49" s="98"/>
      <c r="V49" s="98"/>
      <c r="W49" s="98"/>
      <c r="X49" s="98"/>
      <c r="Y49" s="98"/>
      <c r="Z49" s="98"/>
      <c r="AA49" s="98"/>
      <c r="AB49" s="98"/>
      <c r="AC49" s="98"/>
      <c r="AD49" s="98"/>
      <c r="AE49" s="98"/>
      <c r="AF49" s="98"/>
      <c r="AG49" s="98"/>
      <c r="AH49" s="98"/>
      <c r="AI49" s="98"/>
      <c r="AJ49" s="98"/>
      <c r="AK49" s="98"/>
      <c r="AL49" s="98"/>
      <c r="AM49" s="98"/>
      <c r="AN49" s="98"/>
      <c r="AO49" s="98"/>
    </row>
    <row r="50" spans="1:41" ht="12" customHeight="1" x14ac:dyDescent="0.2">
      <c r="A50" s="65"/>
      <c r="B50" s="243"/>
      <c r="C50" s="243"/>
      <c r="D50" s="249"/>
      <c r="E50" s="243"/>
      <c r="F50" s="243"/>
      <c r="G50" s="245"/>
      <c r="H50" s="243"/>
      <c r="I50" s="87"/>
      <c r="J50" s="243"/>
      <c r="K50" s="243"/>
      <c r="L50" s="249"/>
      <c r="M50" s="243"/>
      <c r="N50" s="243"/>
      <c r="O50" s="245"/>
      <c r="P50" s="243"/>
      <c r="Q50" s="248">
        <f t="shared" si="4"/>
        <v>0</v>
      </c>
      <c r="R50" s="248">
        <f t="shared" si="5"/>
        <v>0</v>
      </c>
      <c r="S50" s="98"/>
      <c r="U50" s="98"/>
      <c r="V50" s="98"/>
      <c r="W50" s="98"/>
      <c r="X50" s="98"/>
      <c r="Y50" s="98"/>
      <c r="Z50" s="98"/>
      <c r="AA50" s="98"/>
      <c r="AB50" s="98"/>
      <c r="AC50" s="98"/>
      <c r="AD50" s="98"/>
      <c r="AE50" s="98"/>
      <c r="AF50" s="98"/>
      <c r="AG50" s="98"/>
      <c r="AH50" s="98"/>
      <c r="AI50" s="98"/>
      <c r="AJ50" s="98"/>
      <c r="AK50" s="98"/>
      <c r="AL50" s="98"/>
      <c r="AM50" s="98"/>
      <c r="AN50" s="98"/>
      <c r="AO50" s="98"/>
    </row>
    <row r="51" spans="1:41" ht="15.75" customHeight="1" x14ac:dyDescent="0.2">
      <c r="A51" s="65" t="s">
        <v>148</v>
      </c>
      <c r="B51" s="243">
        <f>('Pivot Table for Data Exchange'!$C$295)*100</f>
        <v>85.57176247078381</v>
      </c>
      <c r="C51" s="243">
        <f>('Pivot Table for Data Exchange'!$C$298)*100</f>
        <v>6.3636931768470255</v>
      </c>
      <c r="D51" s="249">
        <f>SUM(E51:G51)</f>
        <v>8.0645443523691682</v>
      </c>
      <c r="E51" s="243">
        <f>('Pivot Table for Data Exchange'!$C$301)*100</f>
        <v>7.9696776532053439</v>
      </c>
      <c r="F51" s="243">
        <f>('Pivot Table for Data Exchange'!$C$304)*100</f>
        <v>9.0742060069743904E-2</v>
      </c>
      <c r="G51" s="254">
        <f>('Pivot Table for Data Exchange'!$C$307)*100</f>
        <v>4.1246390940792681E-3</v>
      </c>
      <c r="H51" s="243">
        <f>('Pivot Table for Data Exchange'!$C$310)*100</f>
        <v>0</v>
      </c>
      <c r="I51" s="87" t="s">
        <v>148</v>
      </c>
      <c r="J51" s="243">
        <f>('Pivot Table for Data Exchange'!$C$313)*100</f>
        <v>67.360424269295052</v>
      </c>
      <c r="K51" s="243">
        <f>('Pivot Table for Data Exchange'!$C$316)*100</f>
        <v>6.6863340268067253</v>
      </c>
      <c r="L51" s="249">
        <f>SUM(M51:O51)</f>
        <v>25.937041710719281</v>
      </c>
      <c r="M51" s="243">
        <f>('Pivot Table for Data Exchange'!$C$319)*100</f>
        <v>25.471505064629447</v>
      </c>
      <c r="N51" s="243">
        <f>('Pivot Table for Data Exchange'!$C$322)*100</f>
        <v>0.46553664608983319</v>
      </c>
      <c r="O51" s="245">
        <f>('Pivot Table for Data Exchange'!$C$325)*100</f>
        <v>0</v>
      </c>
      <c r="P51" s="67">
        <f>('Pivot Table for Data Exchange'!$C$328)*100</f>
        <v>1.6199993178950239E-2</v>
      </c>
      <c r="Q51" s="248">
        <f t="shared" si="4"/>
        <v>100</v>
      </c>
      <c r="R51" s="248">
        <f t="shared" si="5"/>
        <v>100</v>
      </c>
      <c r="S51" s="98"/>
      <c r="T51" s="98"/>
      <c r="U51" s="98"/>
      <c r="V51" s="98"/>
      <c r="W51" s="98"/>
      <c r="X51" s="98"/>
      <c r="Y51" s="98"/>
      <c r="Z51" s="98"/>
      <c r="AA51" s="98"/>
      <c r="AB51" s="98"/>
      <c r="AC51" s="98"/>
      <c r="AD51" s="98"/>
      <c r="AE51" s="98"/>
      <c r="AF51" s="98"/>
      <c r="AG51" s="98"/>
      <c r="AH51" s="98"/>
      <c r="AI51" s="98"/>
      <c r="AJ51" s="98"/>
      <c r="AK51" s="98"/>
      <c r="AL51" s="98"/>
      <c r="AM51" s="98"/>
      <c r="AN51" s="98"/>
      <c r="AO51" s="98"/>
    </row>
    <row r="52" spans="1:41" ht="15.75" customHeight="1" x14ac:dyDescent="0.2">
      <c r="A52" s="65" t="s">
        <v>149</v>
      </c>
      <c r="B52" s="243">
        <f>('Pivot Table for Data Exchange'!$C$331)*100</f>
        <v>90.449780054391667</v>
      </c>
      <c r="C52" s="243">
        <f>('Pivot Table for Data Exchange'!$C$334)*100</f>
        <v>0.23654931545636954</v>
      </c>
      <c r="D52" s="249">
        <f>SUM(E52:G52)</f>
        <v>9.3136706301519645</v>
      </c>
      <c r="E52" s="243">
        <f>('Pivot Table for Data Exchange'!$C$337)*100</f>
        <v>9.2662139939590631</v>
      </c>
      <c r="F52" s="61">
        <f>('Pivot Table for Data Exchange'!$C$340)*100</f>
        <v>7.338655081376512E-4</v>
      </c>
      <c r="G52" s="68">
        <f>('Pivot Table for Data Exchange'!$C$343)*100</f>
        <v>4.6722770684763791E-2</v>
      </c>
      <c r="H52" s="243">
        <f>('Pivot Table for Data Exchange'!$C$346)*100</f>
        <v>0</v>
      </c>
      <c r="I52" s="87" t="s">
        <v>149</v>
      </c>
      <c r="J52" s="243">
        <f>('Pivot Table for Data Exchange'!$C$349)*100</f>
        <v>82.730198271605545</v>
      </c>
      <c r="K52" s="243">
        <f>('Pivot Table for Data Exchange'!$C$352)*100</f>
        <v>5.2762428882994694</v>
      </c>
      <c r="L52" s="249">
        <f>SUM(M52:O52)</f>
        <v>11.99355884009498</v>
      </c>
      <c r="M52" s="243">
        <f>('Pivot Table for Data Exchange'!$C$355)*100</f>
        <v>11.807469859788156</v>
      </c>
      <c r="N52" s="67">
        <f>('Pivot Table for Data Exchange'!$C$358)*100</f>
        <v>4.6150067116092229E-2</v>
      </c>
      <c r="O52" s="245">
        <f>('Pivot Table for Data Exchange'!$C$361)*100</f>
        <v>0.13993891319073129</v>
      </c>
      <c r="P52" s="243">
        <f>('Pivot Table for Data Exchange'!$C$364)*100</f>
        <v>0</v>
      </c>
      <c r="Q52" s="248">
        <f t="shared" si="4"/>
        <v>100</v>
      </c>
      <c r="R52" s="248">
        <f t="shared" si="5"/>
        <v>99.999999999999986</v>
      </c>
      <c r="S52" s="98"/>
      <c r="T52" s="98"/>
      <c r="U52" s="98"/>
      <c r="V52" s="98"/>
      <c r="W52" s="98"/>
      <c r="X52" s="98"/>
      <c r="Y52" s="98"/>
      <c r="Z52" s="98"/>
      <c r="AA52" s="98"/>
      <c r="AB52" s="98"/>
      <c r="AC52" s="98"/>
      <c r="AD52" s="98"/>
      <c r="AE52" s="98"/>
      <c r="AF52" s="98"/>
      <c r="AG52" s="98"/>
      <c r="AH52" s="98"/>
      <c r="AI52" s="98"/>
      <c r="AJ52" s="98"/>
      <c r="AK52" s="98"/>
      <c r="AL52" s="98"/>
      <c r="AM52" s="98"/>
      <c r="AN52" s="98"/>
      <c r="AO52" s="98"/>
    </row>
    <row r="53" spans="1:41" ht="15.75" customHeight="1" x14ac:dyDescent="0.2">
      <c r="A53" s="65" t="s">
        <v>150</v>
      </c>
      <c r="B53" s="243">
        <f>('Pivot Table for Data Exchange'!$C$367)*100</f>
        <v>88.498873658127778</v>
      </c>
      <c r="C53" s="243">
        <f>('Pivot Table for Data Exchange'!$C$370)*100</f>
        <v>0.96935315017074442</v>
      </c>
      <c r="D53" s="249">
        <f>SUM(E53:G53)</f>
        <v>10.338465505609918</v>
      </c>
      <c r="E53" s="243">
        <f>('Pivot Table for Data Exchange'!$C$373)*100</f>
        <v>10.089589804540415</v>
      </c>
      <c r="F53" s="67">
        <f>('Pivot Table for Data Exchange'!$C$376)*100</f>
        <v>2.0974201731869799E-2</v>
      </c>
      <c r="G53" s="245">
        <f>('Pivot Table for Data Exchange'!$C$379)*100</f>
        <v>0.2279014993376329</v>
      </c>
      <c r="H53" s="243">
        <f>('Pivot Table for Data Exchange'!$C$382)*100</f>
        <v>0.19330768609156193</v>
      </c>
      <c r="I53" s="87" t="s">
        <v>150</v>
      </c>
      <c r="J53" s="243">
        <f>('Pivot Table for Data Exchange'!$C$385)*100</f>
        <v>65.94524395761961</v>
      </c>
      <c r="K53" s="243">
        <f>('Pivot Table for Data Exchange'!$C$388)*100</f>
        <v>12.472013774218002</v>
      </c>
      <c r="L53" s="249">
        <f>SUM(M53:O53)</f>
        <v>21.343573892450628</v>
      </c>
      <c r="M53" s="243">
        <f>('Pivot Table for Data Exchange'!$C$391)*100</f>
        <v>19.795737279121838</v>
      </c>
      <c r="N53" s="243">
        <f>('Pivot Table for Data Exchange'!$C$394)*100</f>
        <v>0.15748679285198006</v>
      </c>
      <c r="O53" s="245">
        <f>('Pivot Table for Data Exchange'!$C$397)*100</f>
        <v>1.3903498204768088</v>
      </c>
      <c r="P53" s="243">
        <f>('Pivot Table for Data Exchange'!$C$400)*100</f>
        <v>0.23916837571177565</v>
      </c>
      <c r="Q53" s="248">
        <f t="shared" si="4"/>
        <v>100</v>
      </c>
      <c r="R53" s="248">
        <f t="shared" si="5"/>
        <v>100.00000000000001</v>
      </c>
      <c r="S53" s="98"/>
      <c r="T53" s="104"/>
      <c r="U53" s="98"/>
      <c r="V53" s="98"/>
      <c r="W53" s="98"/>
      <c r="X53" s="98"/>
      <c r="Y53" s="98"/>
      <c r="Z53" s="98"/>
      <c r="AA53" s="98"/>
      <c r="AB53" s="98"/>
      <c r="AC53" s="98"/>
      <c r="AD53" s="98"/>
      <c r="AE53" s="98"/>
      <c r="AF53" s="98"/>
      <c r="AG53" s="98"/>
      <c r="AH53" s="98"/>
      <c r="AI53" s="98"/>
      <c r="AJ53" s="98"/>
      <c r="AK53" s="98"/>
      <c r="AL53" s="98"/>
      <c r="AM53" s="98"/>
      <c r="AN53" s="98"/>
      <c r="AO53" s="98"/>
    </row>
    <row r="54" spans="1:41" ht="15.75" customHeight="1" x14ac:dyDescent="0.2">
      <c r="A54" s="65" t="s">
        <v>151</v>
      </c>
      <c r="B54" s="243">
        <f>('Pivot Table for Data Exchange'!$C$403)*100</f>
        <v>93.210101199353687</v>
      </c>
      <c r="C54" s="243">
        <f>('Pivot Table for Data Exchange'!$C$406)*100</f>
        <v>1.887031775784612</v>
      </c>
      <c r="D54" s="249">
        <f>SUM(E54:G54)</f>
        <v>4.9028670248616972</v>
      </c>
      <c r="E54" s="243">
        <f>('Pivot Table for Data Exchange'!$C$409)*100</f>
        <v>4.5718364528246198</v>
      </c>
      <c r="F54" s="243">
        <f>('Pivot Table for Data Exchange'!$C$412)*100</f>
        <v>0.23635566262902771</v>
      </c>
      <c r="G54" s="245">
        <f>('Pivot Table for Data Exchange'!$C$415)*100</f>
        <v>9.4674909408049679E-2</v>
      </c>
      <c r="H54" s="243">
        <f>('Pivot Table for Data Exchange'!$C$418)*100</f>
        <v>0</v>
      </c>
      <c r="I54" s="87" t="s">
        <v>151</v>
      </c>
      <c r="J54" s="243">
        <f>('Pivot Table for Data Exchange'!$C$421)*100</f>
        <v>67.588844489017532</v>
      </c>
      <c r="K54" s="243">
        <f>('Pivot Table for Data Exchange'!$C$424)*100</f>
        <v>13.517249263418259</v>
      </c>
      <c r="L54" s="249">
        <f>SUM(M54:O54)</f>
        <v>18.893906247564214</v>
      </c>
      <c r="M54" s="243">
        <f>('Pivot Table for Data Exchange'!$C$427)*100</f>
        <v>17.596379187603603</v>
      </c>
      <c r="N54" s="243">
        <f>('Pivot Table for Data Exchange'!$C$430)*100</f>
        <v>0.2587779238527772</v>
      </c>
      <c r="O54" s="245">
        <f>('Pivot Table for Data Exchange'!$C$433)*100</f>
        <v>1.0387491361078345</v>
      </c>
      <c r="P54" s="243">
        <f>('Pivot Table for Data Exchange'!$C$436)*100</f>
        <v>0</v>
      </c>
      <c r="Q54" s="248">
        <f t="shared" si="4"/>
        <v>99.999999999999986</v>
      </c>
      <c r="R54" s="248">
        <f t="shared" si="5"/>
        <v>100.00000000000001</v>
      </c>
      <c r="S54" s="98"/>
      <c r="T54" s="98"/>
      <c r="U54" s="98"/>
      <c r="V54" s="98"/>
      <c r="W54" s="98"/>
      <c r="X54" s="98"/>
      <c r="Y54" s="98"/>
      <c r="Z54" s="98"/>
      <c r="AA54" s="98"/>
      <c r="AB54" s="98"/>
      <c r="AC54" s="98"/>
      <c r="AD54" s="98"/>
      <c r="AE54" s="98"/>
      <c r="AF54" s="98"/>
      <c r="AG54" s="98"/>
      <c r="AH54" s="98"/>
      <c r="AI54" s="98"/>
      <c r="AJ54" s="98"/>
      <c r="AK54" s="98"/>
      <c r="AL54" s="98"/>
      <c r="AM54" s="98"/>
      <c r="AN54" s="98"/>
      <c r="AO54" s="98"/>
    </row>
    <row r="55" spans="1:41" ht="14.25" customHeight="1" x14ac:dyDescent="0.2">
      <c r="A55" s="65"/>
      <c r="B55" s="243"/>
      <c r="C55" s="243"/>
      <c r="D55" s="249"/>
      <c r="E55" s="243"/>
      <c r="F55" s="243"/>
      <c r="G55" s="245"/>
      <c r="H55" s="243"/>
      <c r="I55" s="87"/>
      <c r="J55" s="243"/>
      <c r="K55" s="243"/>
      <c r="L55" s="249"/>
      <c r="M55" s="243"/>
      <c r="N55" s="243"/>
      <c r="O55" s="245"/>
      <c r="P55" s="243"/>
      <c r="Q55" s="248">
        <f t="shared" si="4"/>
        <v>0</v>
      </c>
      <c r="R55" s="248">
        <f t="shared" si="5"/>
        <v>0</v>
      </c>
      <c r="S55" s="98"/>
      <c r="T55" s="98"/>
      <c r="U55" s="98"/>
      <c r="V55" s="98"/>
      <c r="W55" s="98"/>
      <c r="X55" s="98"/>
      <c r="Y55" s="98"/>
      <c r="Z55" s="98"/>
      <c r="AA55" s="98"/>
      <c r="AB55" s="98"/>
      <c r="AC55" s="98"/>
      <c r="AD55" s="98"/>
      <c r="AE55" s="98"/>
      <c r="AF55" s="98"/>
      <c r="AG55" s="98"/>
      <c r="AH55" s="98"/>
      <c r="AI55" s="98"/>
      <c r="AJ55" s="98"/>
      <c r="AK55" s="98"/>
      <c r="AL55" s="98"/>
      <c r="AM55" s="98"/>
      <c r="AN55" s="98"/>
      <c r="AO55" s="98"/>
    </row>
    <row r="56" spans="1:41" ht="15.75" customHeight="1" x14ac:dyDescent="0.2">
      <c r="A56" s="65" t="s">
        <v>152</v>
      </c>
      <c r="B56" s="243">
        <f>('Pivot Table for Data Exchange'!$C$439)*100</f>
        <v>88.713598672974243</v>
      </c>
      <c r="C56" s="243">
        <f>('Pivot Table for Data Exchange'!$C$442)*100</f>
        <v>2.119172888737773</v>
      </c>
      <c r="D56" s="249">
        <f>SUM(E56:G56)</f>
        <v>8.4988020998138794</v>
      </c>
      <c r="E56" s="243">
        <f>('Pivot Table for Data Exchange'!$C$445)*100</f>
        <v>6.497159040657853</v>
      </c>
      <c r="F56" s="243">
        <f>('Pivot Table for Data Exchange'!$C$448)*100</f>
        <v>0</v>
      </c>
      <c r="G56" s="245">
        <f>('Pivot Table for Data Exchange'!$C$451)*100</f>
        <v>2.0016430591560259</v>
      </c>
      <c r="H56" s="243">
        <f>('Pivot Table for Data Exchange'!$C$454)*100</f>
        <v>0.66842633847411692</v>
      </c>
      <c r="I56" s="87" t="s">
        <v>152</v>
      </c>
      <c r="J56" s="243">
        <f>('Pivot Table for Data Exchange'!$C$457)*100</f>
        <v>42.485949636199074</v>
      </c>
      <c r="K56" s="243">
        <f>('Pivot Table for Data Exchange'!$C$460)*100</f>
        <v>1.2962820036064355</v>
      </c>
      <c r="L56" s="249">
        <f>SUM(M56:O56)</f>
        <v>53.01232081839423</v>
      </c>
      <c r="M56" s="243">
        <f>('Pivot Table for Data Exchange'!$C$463)*100</f>
        <v>10.436911937020692</v>
      </c>
      <c r="N56" s="243">
        <f>('Pivot Table for Data Exchange'!$C$466)*100</f>
        <v>8.9459245174463062E-2</v>
      </c>
      <c r="O56" s="245">
        <f>('Pivot Table for Data Exchange'!$C$469)*100</f>
        <v>42.485949636199074</v>
      </c>
      <c r="P56" s="243">
        <f>('Pivot Table for Data Exchange'!$C$472)*100</f>
        <v>3.2054475418002708</v>
      </c>
      <c r="Q56" s="248">
        <f t="shared" si="4"/>
        <v>100.00000000000003</v>
      </c>
      <c r="R56" s="248">
        <f t="shared" si="5"/>
        <v>100.00000000000001</v>
      </c>
      <c r="S56" s="98"/>
      <c r="T56" s="98"/>
      <c r="U56" s="98"/>
      <c r="V56" s="98"/>
      <c r="W56" s="98"/>
      <c r="X56" s="98"/>
      <c r="Y56" s="98"/>
      <c r="Z56" s="98"/>
      <c r="AA56" s="98"/>
      <c r="AB56" s="98"/>
      <c r="AC56" s="98"/>
      <c r="AD56" s="98"/>
      <c r="AE56" s="98"/>
      <c r="AF56" s="98"/>
      <c r="AG56" s="98"/>
      <c r="AH56" s="98"/>
      <c r="AI56" s="98"/>
      <c r="AJ56" s="98"/>
      <c r="AK56" s="98"/>
      <c r="AL56" s="98"/>
      <c r="AM56" s="98"/>
      <c r="AN56" s="98"/>
      <c r="AO56" s="98"/>
    </row>
    <row r="57" spans="1:41" ht="15.75" customHeight="1" x14ac:dyDescent="0.2">
      <c r="A57" s="65" t="s">
        <v>153</v>
      </c>
      <c r="B57" s="243">
        <f>('Pivot Table for Data Exchange'!$C$475)*100</f>
        <v>89.629587772752458</v>
      </c>
      <c r="C57" s="243">
        <f>('Pivot Table for Data Exchange'!$C$478)*100</f>
        <v>0.58604808335701764</v>
      </c>
      <c r="D57" s="249">
        <f>SUM(E57:G57)</f>
        <v>9.7843641438905156</v>
      </c>
      <c r="E57" s="243">
        <f>('Pivot Table for Data Exchange'!$C$481)*100</f>
        <v>9.5792613015433243</v>
      </c>
      <c r="F57" s="67">
        <f>('Pivot Table for Data Exchange'!$C$484)*100</f>
        <v>2.019697929278123E-2</v>
      </c>
      <c r="G57" s="245">
        <f>('Pivot Table for Data Exchange'!$C$487)*100</f>
        <v>0.18490586305440987</v>
      </c>
      <c r="H57" s="243">
        <f>('Pivot Table for Data Exchange'!$C$490)*100</f>
        <v>0</v>
      </c>
      <c r="I57" s="87" t="s">
        <v>153</v>
      </c>
      <c r="J57" s="243">
        <f>('Pivot Table for Data Exchange'!$C$493)*100</f>
        <v>85.291989757439183</v>
      </c>
      <c r="K57" s="243">
        <f>('Pivot Table for Data Exchange'!$C$496)*100</f>
        <v>2.2522795117170742</v>
      </c>
      <c r="L57" s="249">
        <f>SUM(M57:O57)</f>
        <v>12.455730730843747</v>
      </c>
      <c r="M57" s="243">
        <f>('Pivot Table for Data Exchange'!$C$499)*100</f>
        <v>11.920751121126862</v>
      </c>
      <c r="N57" s="243">
        <f>('Pivot Table for Data Exchange'!$C$502)*100</f>
        <v>0.16953515573840824</v>
      </c>
      <c r="O57" s="245">
        <f>('Pivot Table for Data Exchange'!$C$505)*100</f>
        <v>0.36544445397847619</v>
      </c>
      <c r="P57" s="243">
        <f>('Pivot Table for Data Exchange'!$C$508)*100</f>
        <v>0</v>
      </c>
      <c r="Q57" s="248">
        <f t="shared" si="4"/>
        <v>99.999999999999986</v>
      </c>
      <c r="R57" s="248">
        <f t="shared" si="5"/>
        <v>100</v>
      </c>
      <c r="S57" s="98"/>
      <c r="T57" s="98"/>
      <c r="U57" s="98"/>
      <c r="V57" s="98"/>
      <c r="W57" s="98"/>
      <c r="X57" s="98"/>
      <c r="Y57" s="98"/>
      <c r="Z57" s="98"/>
      <c r="AA57" s="98"/>
      <c r="AB57" s="98"/>
      <c r="AC57" s="98"/>
      <c r="AD57" s="98"/>
      <c r="AE57" s="98"/>
      <c r="AF57" s="98"/>
      <c r="AG57" s="98"/>
      <c r="AH57" s="98"/>
      <c r="AI57" s="98"/>
      <c r="AJ57" s="98"/>
      <c r="AK57" s="98"/>
      <c r="AL57" s="98"/>
      <c r="AM57" s="98"/>
      <c r="AN57" s="98"/>
      <c r="AO57" s="98"/>
    </row>
    <row r="58" spans="1:41" ht="15.75" customHeight="1" x14ac:dyDescent="0.2">
      <c r="A58" s="65" t="s">
        <v>154</v>
      </c>
      <c r="B58" s="243">
        <f>('Pivot Table for Data Exchange'!$C$511)*100</f>
        <v>92.448817113822457</v>
      </c>
      <c r="C58" s="243">
        <f>('Pivot Table for Data Exchange'!$C$514)*100</f>
        <v>2.5259932899662338</v>
      </c>
      <c r="D58" s="249">
        <f>SUM(E58:G58)</f>
        <v>5.0251895962113124</v>
      </c>
      <c r="E58" s="243">
        <f>('Pivot Table for Data Exchange'!$C$517)*100</f>
        <v>3.4659589846489101</v>
      </c>
      <c r="F58" s="243">
        <f>('Pivot Table for Data Exchange'!$C$520)*100</f>
        <v>1.5592306115624022</v>
      </c>
      <c r="G58" s="245">
        <f>('Pivot Table for Data Exchange'!$C$523)*100</f>
        <v>0</v>
      </c>
      <c r="H58" s="243">
        <f>('Pivot Table for Data Exchange'!$C$526)*100</f>
        <v>0</v>
      </c>
      <c r="I58" s="87" t="s">
        <v>154</v>
      </c>
      <c r="J58" s="243">
        <f>('Pivot Table for Data Exchange'!$C$529)*100</f>
        <v>78.97220415148513</v>
      </c>
      <c r="K58" s="243">
        <f>('Pivot Table for Data Exchange'!$C$532)*100</f>
        <v>11.557141080617859</v>
      </c>
      <c r="L58" s="249">
        <f>SUM(M58:O58)</f>
        <v>9.4706547678970097</v>
      </c>
      <c r="M58" s="243">
        <f>('Pivot Table for Data Exchange'!$C$535)*100</f>
        <v>6.1443231989631863</v>
      </c>
      <c r="N58" s="243">
        <f>('Pivot Table for Data Exchange'!$C$538)*100</f>
        <v>3.3263315689338229</v>
      </c>
      <c r="O58" s="245">
        <f>('Pivot Table for Data Exchange'!$C$541)*100</f>
        <v>0</v>
      </c>
      <c r="P58" s="243">
        <f>('Pivot Table for Data Exchange'!$C$544)*100</f>
        <v>0</v>
      </c>
      <c r="Q58" s="248">
        <f t="shared" si="4"/>
        <v>100</v>
      </c>
      <c r="R58" s="248">
        <f t="shared" si="5"/>
        <v>100</v>
      </c>
      <c r="S58" s="98"/>
      <c r="T58" s="98"/>
      <c r="U58" s="98"/>
      <c r="V58" s="98"/>
      <c r="W58" s="98"/>
      <c r="X58" s="98"/>
      <c r="Y58" s="98"/>
      <c r="Z58" s="98"/>
      <c r="AA58" s="98"/>
      <c r="AB58" s="98"/>
      <c r="AC58" s="98"/>
      <c r="AD58" s="98"/>
      <c r="AE58" s="98"/>
      <c r="AF58" s="98"/>
      <c r="AG58" s="98"/>
      <c r="AH58" s="98"/>
      <c r="AI58" s="98"/>
      <c r="AJ58" s="98"/>
      <c r="AK58" s="98"/>
      <c r="AL58" s="98"/>
      <c r="AM58" s="98"/>
      <c r="AN58" s="98"/>
      <c r="AO58" s="98"/>
    </row>
    <row r="59" spans="1:41" ht="15.75" customHeight="1" x14ac:dyDescent="0.2">
      <c r="A59" s="39" t="s">
        <v>155</v>
      </c>
      <c r="B59" s="246">
        <f>('Pivot Table for Data Exchange'!$C$547)*100</f>
        <v>92.19762754670235</v>
      </c>
      <c r="C59" s="246">
        <f>('Pivot Table for Data Exchange'!$C$550)*100</f>
        <v>0.12403026458291828</v>
      </c>
      <c r="D59" s="250">
        <f>SUM(E59:G59)</f>
        <v>7.6783421887147441</v>
      </c>
      <c r="E59" s="246">
        <f>('Pivot Table for Data Exchange'!$C$553)*100</f>
        <v>7.2881261992962632</v>
      </c>
      <c r="F59" s="246">
        <f>('Pivot Table for Data Exchange'!$C$556)*100</f>
        <v>0</v>
      </c>
      <c r="G59" s="247">
        <f>('Pivot Table for Data Exchange'!$C$559)*100</f>
        <v>0.39021598941848079</v>
      </c>
      <c r="H59" s="246">
        <f>('Pivot Table for Data Exchange'!$C$562)*100</f>
        <v>0</v>
      </c>
      <c r="I59" s="252" t="s">
        <v>155</v>
      </c>
      <c r="J59" s="246">
        <f>('Pivot Table for Data Exchange'!$C$565)*100</f>
        <v>65.173328024757268</v>
      </c>
      <c r="K59" s="246">
        <f>('Pivot Table for Data Exchange'!$C$568)*100</f>
        <v>7.6235375023752852</v>
      </c>
      <c r="L59" s="250">
        <f>SUM(M59:O59)</f>
        <v>27.203134472867443</v>
      </c>
      <c r="M59" s="246">
        <f>('Pivot Table for Data Exchange'!$C$571)*100</f>
        <v>26.107335788549761</v>
      </c>
      <c r="N59" s="246">
        <f>('Pivot Table for Data Exchange'!$C$574)*100</f>
        <v>0.72118212337010124</v>
      </c>
      <c r="O59" s="247">
        <f>('Pivot Table for Data Exchange'!$C$577)*100</f>
        <v>0.37461656094758083</v>
      </c>
      <c r="P59" s="246">
        <f>('Pivot Table for Data Exchange'!$C$580)*100</f>
        <v>0</v>
      </c>
      <c r="Q59" s="248">
        <f t="shared" si="4"/>
        <v>100</v>
      </c>
      <c r="R59" s="248">
        <f t="shared" si="5"/>
        <v>100</v>
      </c>
      <c r="S59" s="98"/>
      <c r="T59" s="98"/>
      <c r="U59" s="98"/>
      <c r="V59" s="98"/>
      <c r="W59" s="98"/>
      <c r="X59" s="98"/>
      <c r="Y59" s="98"/>
      <c r="Z59" s="98"/>
      <c r="AA59" s="98"/>
      <c r="AB59" s="98"/>
      <c r="AC59" s="98"/>
      <c r="AD59" s="98"/>
      <c r="AE59" s="98"/>
      <c r="AF59" s="98"/>
      <c r="AG59" s="98"/>
      <c r="AH59" s="98"/>
      <c r="AI59" s="98"/>
      <c r="AJ59" s="98"/>
      <c r="AK59" s="98"/>
      <c r="AL59" s="98"/>
      <c r="AM59" s="98"/>
      <c r="AN59" s="98"/>
      <c r="AO59" s="98"/>
    </row>
    <row r="60" spans="1:41" s="103" customFormat="1" ht="18" customHeight="1" x14ac:dyDescent="0.2">
      <c r="A60" s="24" t="s">
        <v>175</v>
      </c>
      <c r="B60" s="69"/>
      <c r="C60" s="69"/>
      <c r="D60" s="70"/>
      <c r="E60" s="69"/>
      <c r="F60" s="70"/>
      <c r="G60" s="70"/>
      <c r="H60" s="69"/>
      <c r="I60" s="24" t="s">
        <v>175</v>
      </c>
      <c r="J60" s="69"/>
      <c r="K60" s="69"/>
      <c r="L60" s="70"/>
      <c r="M60" s="69"/>
      <c r="N60" s="70"/>
      <c r="O60" s="70"/>
      <c r="P60" s="69"/>
      <c r="Q60" s="248">
        <f t="shared" si="4"/>
        <v>0</v>
      </c>
      <c r="R60" s="248">
        <f t="shared" si="5"/>
        <v>0</v>
      </c>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row>
    <row r="61" spans="1:41" s="103" customFormat="1" ht="24" customHeight="1" x14ac:dyDescent="0.2">
      <c r="A61" s="666" t="s">
        <v>178</v>
      </c>
      <c r="B61" s="683"/>
      <c r="C61" s="683"/>
      <c r="D61" s="683"/>
      <c r="E61" s="683"/>
      <c r="F61" s="683"/>
      <c r="G61" s="683"/>
      <c r="H61" s="683"/>
      <c r="I61" s="666" t="s">
        <v>178</v>
      </c>
      <c r="J61" s="683"/>
      <c r="K61" s="683"/>
      <c r="L61" s="683"/>
      <c r="M61" s="683"/>
      <c r="N61" s="683"/>
      <c r="O61" s="683"/>
      <c r="P61" s="683"/>
      <c r="Q61" s="248">
        <f t="shared" si="4"/>
        <v>0</v>
      </c>
      <c r="R61" s="248">
        <f t="shared" si="5"/>
        <v>0</v>
      </c>
    </row>
    <row r="62" spans="1:41" s="103" customFormat="1" ht="13.5" customHeight="1" x14ac:dyDescent="0.25">
      <c r="A62" s="680"/>
      <c r="B62" s="681"/>
      <c r="C62" s="681"/>
      <c r="D62" s="681"/>
      <c r="E62" s="681"/>
      <c r="F62" s="681"/>
      <c r="G62" s="681"/>
      <c r="H62" s="681"/>
      <c r="I62" s="680"/>
      <c r="J62" s="681"/>
      <c r="K62" s="681"/>
      <c r="L62" s="681"/>
      <c r="M62" s="681"/>
      <c r="N62" s="681"/>
      <c r="O62" s="681"/>
      <c r="P62" s="681"/>
      <c r="Q62" s="248">
        <f t="shared" si="4"/>
        <v>0</v>
      </c>
      <c r="R62" s="248">
        <f t="shared" si="5"/>
        <v>0</v>
      </c>
    </row>
    <row r="63" spans="1:41" s="103" customFormat="1" ht="13.5" customHeight="1" x14ac:dyDescent="0.2">
      <c r="A63" s="25"/>
      <c r="B63" s="25"/>
      <c r="C63" s="25"/>
      <c r="D63" s="25"/>
      <c r="E63" s="25"/>
      <c r="F63" s="25"/>
      <c r="G63" s="25"/>
      <c r="H63" s="27" t="s">
        <v>914</v>
      </c>
      <c r="I63" s="25"/>
      <c r="J63" s="25"/>
      <c r="K63" s="25"/>
      <c r="L63" s="25"/>
      <c r="M63" s="25"/>
      <c r="N63" s="25"/>
      <c r="O63" s="25"/>
      <c r="P63" s="27" t="s">
        <v>914</v>
      </c>
      <c r="Q63" s="248">
        <f t="shared" si="4"/>
        <v>0</v>
      </c>
      <c r="R63" s="248">
        <f t="shared" si="5"/>
        <v>0</v>
      </c>
    </row>
    <row r="64" spans="1:41" ht="18" x14ac:dyDescent="0.25">
      <c r="A64" s="16" t="s">
        <v>203</v>
      </c>
      <c r="B64" s="34"/>
      <c r="C64" s="34"/>
      <c r="D64" s="34"/>
      <c r="E64" s="34"/>
      <c r="F64" s="34"/>
      <c r="G64" s="34"/>
      <c r="H64" s="35"/>
      <c r="I64" s="16" t="s">
        <v>218</v>
      </c>
      <c r="J64" s="19"/>
      <c r="K64" s="19"/>
      <c r="L64" s="34"/>
      <c r="M64" s="19"/>
      <c r="N64" s="19"/>
      <c r="O64" s="19"/>
      <c r="P64" s="19"/>
      <c r="Q64" s="248">
        <f t="shared" si="4"/>
        <v>0</v>
      </c>
      <c r="R64" s="248">
        <f t="shared" si="5"/>
        <v>0</v>
      </c>
    </row>
    <row r="65" spans="1:41" x14ac:dyDescent="0.2">
      <c r="A65" s="18"/>
      <c r="B65" s="19"/>
      <c r="C65" s="19"/>
      <c r="D65" s="19"/>
      <c r="E65" s="19"/>
      <c r="F65" s="19"/>
      <c r="G65" s="19"/>
      <c r="H65" s="36"/>
      <c r="I65" s="18"/>
      <c r="J65" s="19"/>
      <c r="K65" s="19"/>
      <c r="L65" s="19"/>
      <c r="M65" s="19"/>
      <c r="N65" s="19"/>
      <c r="O65" s="19"/>
      <c r="P65" s="19"/>
      <c r="Q65" s="248">
        <f t="shared" si="4"/>
        <v>0</v>
      </c>
      <c r="R65" s="248">
        <f t="shared" si="5"/>
        <v>0</v>
      </c>
    </row>
    <row r="66" spans="1:41" ht="15.75" x14ac:dyDescent="0.25">
      <c r="A66" s="37" t="s">
        <v>162</v>
      </c>
      <c r="B66" s="19"/>
      <c r="C66" s="19"/>
      <c r="D66" s="19"/>
      <c r="E66" s="19"/>
      <c r="F66" s="19"/>
      <c r="G66" s="19"/>
      <c r="H66" s="36"/>
      <c r="I66" s="37" t="s">
        <v>163</v>
      </c>
      <c r="J66" s="19"/>
      <c r="K66" s="19"/>
      <c r="L66" s="19"/>
      <c r="M66" s="19"/>
      <c r="N66" s="19"/>
      <c r="O66" s="19"/>
      <c r="P66" s="19"/>
      <c r="Q66" s="248">
        <f t="shared" si="4"/>
        <v>0</v>
      </c>
      <c r="R66" s="248">
        <f t="shared" si="5"/>
        <v>0</v>
      </c>
    </row>
    <row r="67" spans="1:41" ht="15.75" x14ac:dyDescent="0.25">
      <c r="A67" s="37" t="s">
        <v>868</v>
      </c>
      <c r="B67" s="19"/>
      <c r="C67" s="19"/>
      <c r="D67" s="19"/>
      <c r="E67" s="19"/>
      <c r="F67" s="19"/>
      <c r="G67" s="19"/>
      <c r="H67" s="36"/>
      <c r="I67" s="37" t="s">
        <v>868</v>
      </c>
      <c r="J67" s="19"/>
      <c r="K67" s="19"/>
      <c r="L67" s="19"/>
      <c r="M67" s="19"/>
      <c r="N67" s="19"/>
      <c r="O67" s="19"/>
      <c r="P67" s="19"/>
      <c r="Q67" s="248">
        <f t="shared" si="4"/>
        <v>0</v>
      </c>
      <c r="R67" s="248">
        <f t="shared" si="5"/>
        <v>0</v>
      </c>
    </row>
    <row r="68" spans="1:41" x14ac:dyDescent="0.2">
      <c r="A68" s="39"/>
      <c r="B68" s="40"/>
      <c r="C68" s="40"/>
      <c r="D68" s="40"/>
      <c r="E68" s="40"/>
      <c r="F68" s="40"/>
      <c r="G68" s="40"/>
      <c r="H68" s="40"/>
      <c r="I68" s="41"/>
      <c r="L68" s="42"/>
      <c r="P68" s="39"/>
      <c r="Q68" s="248">
        <f t="shared" si="4"/>
        <v>0</v>
      </c>
      <c r="R68" s="248">
        <f t="shared" si="5"/>
        <v>0</v>
      </c>
    </row>
    <row r="69" spans="1:41" s="57" customFormat="1" x14ac:dyDescent="0.2">
      <c r="A69" s="43"/>
      <c r="B69" s="44" t="s">
        <v>164</v>
      </c>
      <c r="C69" s="44"/>
      <c r="D69" s="44"/>
      <c r="E69" s="44"/>
      <c r="F69" s="44"/>
      <c r="G69" s="44"/>
      <c r="H69" s="45"/>
      <c r="I69" s="43"/>
      <c r="J69" s="44" t="s">
        <v>164</v>
      </c>
      <c r="K69" s="44"/>
      <c r="L69" s="44"/>
      <c r="M69" s="44"/>
      <c r="N69" s="44"/>
      <c r="O69" s="44"/>
      <c r="P69" s="45"/>
      <c r="Q69" s="248">
        <f t="shared" si="4"/>
        <v>0</v>
      </c>
      <c r="R69" s="248">
        <f t="shared" si="5"/>
        <v>0</v>
      </c>
    </row>
    <row r="70" spans="1:41" s="57" customFormat="1" x14ac:dyDescent="0.2">
      <c r="A70" s="43"/>
      <c r="B70" s="44" t="s">
        <v>165</v>
      </c>
      <c r="C70" s="44"/>
      <c r="D70" s="670" t="s">
        <v>166</v>
      </c>
      <c r="E70" s="668"/>
      <c r="F70" s="668"/>
      <c r="G70" s="668"/>
      <c r="H70" s="49" t="s">
        <v>39</v>
      </c>
      <c r="I70" s="43"/>
      <c r="J70" s="44" t="s">
        <v>165</v>
      </c>
      <c r="K70" s="44"/>
      <c r="L70" s="670" t="s">
        <v>166</v>
      </c>
      <c r="M70" s="668"/>
      <c r="N70" s="668"/>
      <c r="O70" s="668"/>
      <c r="P70" s="49" t="s">
        <v>39</v>
      </c>
      <c r="Q70" s="248">
        <f t="shared" si="4"/>
        <v>0</v>
      </c>
      <c r="R70" s="248">
        <f t="shared" si="5"/>
        <v>0</v>
      </c>
    </row>
    <row r="71" spans="1:41" s="57" customFormat="1" ht="40.5" customHeight="1" x14ac:dyDescent="0.2">
      <c r="A71" s="43"/>
      <c r="B71" s="50" t="s">
        <v>167</v>
      </c>
      <c r="C71" s="51" t="s">
        <v>168</v>
      </c>
      <c r="D71" s="52" t="s">
        <v>169</v>
      </c>
      <c r="E71" s="53" t="s">
        <v>7</v>
      </c>
      <c r="F71" s="50" t="s">
        <v>170</v>
      </c>
      <c r="G71" s="54" t="s">
        <v>171</v>
      </c>
      <c r="H71" s="55" t="s">
        <v>172</v>
      </c>
      <c r="I71" s="43"/>
      <c r="J71" s="50" t="s">
        <v>167</v>
      </c>
      <c r="K71" s="51" t="s">
        <v>168</v>
      </c>
      <c r="L71" s="52" t="s">
        <v>169</v>
      </c>
      <c r="M71" s="53" t="s">
        <v>7</v>
      </c>
      <c r="N71" s="50" t="s">
        <v>170</v>
      </c>
      <c r="O71" s="54" t="s">
        <v>171</v>
      </c>
      <c r="P71" s="55" t="s">
        <v>172</v>
      </c>
      <c r="Q71" s="248">
        <f t="shared" si="4"/>
        <v>0</v>
      </c>
      <c r="R71" s="248">
        <f t="shared" si="5"/>
        <v>0</v>
      </c>
      <c r="T71" s="56"/>
    </row>
    <row r="72" spans="1:41" ht="15.75" customHeight="1" x14ac:dyDescent="0.2">
      <c r="A72" s="62" t="s">
        <v>141</v>
      </c>
      <c r="B72" s="82">
        <f>('Pivot Table for Data Exchange'!$D$7)*100</f>
        <v>90.23324582271043</v>
      </c>
      <c r="C72" s="243">
        <f>('Pivot Table for Data Exchange'!$D$10)*100</f>
        <v>0.12249907592573286</v>
      </c>
      <c r="D72" s="249">
        <f>SUM(E72:G72)</f>
        <v>9.6442551013638393</v>
      </c>
      <c r="E72" s="243">
        <f>('Pivot Table for Data Exchange'!$D$13)*100</f>
        <v>9.6084768412772128</v>
      </c>
      <c r="F72" s="67">
        <f>('Pivot Table for Data Exchange'!$D$16)*100</f>
        <v>3.5778260086626039E-2</v>
      </c>
      <c r="G72" s="60">
        <f>('Pivot Table for Data Exchange'!$D$19)*100</f>
        <v>0</v>
      </c>
      <c r="H72" s="243">
        <f>('Pivot Table for Data Exchange'!$D$22)*100</f>
        <v>0</v>
      </c>
      <c r="I72" s="251" t="s">
        <v>141</v>
      </c>
      <c r="J72" s="243">
        <f>('Pivot Table for Data Exchange'!$D$25)*100</f>
        <v>81.058539357772091</v>
      </c>
      <c r="K72" s="243">
        <f>('Pivot Table for Data Exchange'!$D$28)*100</f>
        <v>1.0215970446149474</v>
      </c>
      <c r="L72" s="249">
        <f>SUM(M72:O72)</f>
        <v>17.919863597612956</v>
      </c>
      <c r="M72" s="243">
        <f>('Pivot Table for Data Exchange'!$D$31)*100</f>
        <v>17.672634271099742</v>
      </c>
      <c r="N72" s="243">
        <f>('Pivot Table for Data Exchange'!$D$34)*100</f>
        <v>0.24722932651321397</v>
      </c>
      <c r="O72" s="60">
        <f>('Pivot Table for Data Exchange'!$D$37)*100</f>
        <v>0</v>
      </c>
      <c r="P72" s="243">
        <f>('Pivot Table for Data Exchange'!$D$40)*100</f>
        <v>0</v>
      </c>
      <c r="Q72" s="248">
        <f t="shared" si="4"/>
        <v>100</v>
      </c>
      <c r="R72" s="248">
        <f t="shared" si="5"/>
        <v>100</v>
      </c>
      <c r="S72" s="98"/>
      <c r="T72" s="98"/>
      <c r="U72" s="98"/>
      <c r="V72" s="98"/>
      <c r="W72" s="98"/>
      <c r="X72" s="98"/>
      <c r="Y72" s="98"/>
      <c r="Z72" s="98"/>
      <c r="AA72" s="98"/>
      <c r="AB72" s="98"/>
      <c r="AC72" s="98"/>
      <c r="AD72" s="98"/>
      <c r="AE72" s="98"/>
      <c r="AF72" s="98"/>
      <c r="AG72" s="98"/>
      <c r="AH72" s="98"/>
      <c r="AI72" s="98"/>
      <c r="AJ72" s="98"/>
      <c r="AK72" s="98"/>
      <c r="AL72" s="98"/>
      <c r="AM72" s="98"/>
      <c r="AN72" s="98"/>
      <c r="AO72" s="98"/>
    </row>
    <row r="73" spans="1:41" ht="15.75" customHeight="1" x14ac:dyDescent="0.2">
      <c r="A73" s="65" t="s">
        <v>142</v>
      </c>
      <c r="B73" s="243">
        <f>('Pivot Table for Data Exchange'!$D$43)*100</f>
        <v>0</v>
      </c>
      <c r="C73" s="243">
        <f>('Pivot Table for Data Exchange'!$D$46)*100</f>
        <v>0</v>
      </c>
      <c r="D73" s="249">
        <f t="shared" ref="D73:D75" si="10">SUM(E73:G73)</f>
        <v>0</v>
      </c>
      <c r="E73" s="243">
        <f>('Pivot Table for Data Exchange'!$D$49)*100</f>
        <v>0</v>
      </c>
      <c r="F73" s="243">
        <f>('Pivot Table for Data Exchange'!$D$52)*100</f>
        <v>0</v>
      </c>
      <c r="G73" s="245">
        <f>('Pivot Table for Data Exchange'!$D$55)*100</f>
        <v>0</v>
      </c>
      <c r="H73" s="243">
        <f>('Pivot Table for Data Exchange'!$D$58)*100</f>
        <v>0</v>
      </c>
      <c r="I73" s="87" t="s">
        <v>142</v>
      </c>
      <c r="J73" s="243">
        <f>('Pivot Table for Data Exchange'!$D$61)*100</f>
        <v>0</v>
      </c>
      <c r="K73" s="243">
        <f>('Pivot Table for Data Exchange'!$D$64)*100</f>
        <v>0</v>
      </c>
      <c r="L73" s="249">
        <f t="shared" ref="L73:L75" si="11">SUM(M73:O73)</f>
        <v>0</v>
      </c>
      <c r="M73" s="243">
        <f>('Pivot Table for Data Exchange'!$D$67)*100</f>
        <v>0</v>
      </c>
      <c r="N73" s="243">
        <f>('Pivot Table for Data Exchange'!$D$70)*100</f>
        <v>0</v>
      </c>
      <c r="O73" s="245">
        <f>('Pivot Table for Data Exchange'!$D$73)*100</f>
        <v>0</v>
      </c>
      <c r="P73" s="243">
        <f>('Pivot Table for Data Exchange'!$D$76)*100</f>
        <v>0</v>
      </c>
      <c r="Q73" s="248">
        <f t="shared" si="4"/>
        <v>0</v>
      </c>
      <c r="R73" s="248">
        <f t="shared" si="5"/>
        <v>0</v>
      </c>
      <c r="S73" s="98"/>
      <c r="T73" s="98"/>
      <c r="U73" s="98"/>
      <c r="V73" s="98"/>
      <c r="W73" s="98"/>
      <c r="X73" s="98"/>
      <c r="Y73" s="98"/>
      <c r="Z73" s="98"/>
      <c r="AA73" s="98"/>
      <c r="AB73" s="98"/>
      <c r="AC73" s="98"/>
      <c r="AD73" s="98"/>
      <c r="AE73" s="98"/>
      <c r="AF73" s="98"/>
      <c r="AG73" s="98"/>
      <c r="AH73" s="98"/>
      <c r="AI73" s="98"/>
      <c r="AJ73" s="98"/>
      <c r="AK73" s="98"/>
      <c r="AL73" s="98"/>
      <c r="AM73" s="98"/>
      <c r="AN73" s="98"/>
      <c r="AO73" s="98"/>
    </row>
    <row r="74" spans="1:41" ht="15.75" customHeight="1" x14ac:dyDescent="0.2">
      <c r="A74" s="65" t="s">
        <v>143</v>
      </c>
      <c r="B74" s="243">
        <f>('Pivot Table for Data Exchange'!$D$79)*100</f>
        <v>0</v>
      </c>
      <c r="C74" s="243">
        <f>('Pivot Table for Data Exchange'!$D$82)*100</f>
        <v>0</v>
      </c>
      <c r="D74" s="249">
        <f t="shared" si="10"/>
        <v>0</v>
      </c>
      <c r="E74" s="243">
        <f>('Pivot Table for Data Exchange'!$D$85)*100</f>
        <v>0</v>
      </c>
      <c r="F74" s="243">
        <f>('Pivot Table for Data Exchange'!$D$88)*100</f>
        <v>0</v>
      </c>
      <c r="G74" s="245">
        <f>('Pivot Table for Data Exchange'!$D$91)*100</f>
        <v>0</v>
      </c>
      <c r="H74" s="243">
        <f>('Pivot Table for Data Exchange'!$D$94)*100</f>
        <v>0</v>
      </c>
      <c r="I74" s="87" t="s">
        <v>143</v>
      </c>
      <c r="J74" s="243">
        <f>('Pivot Table for Data Exchange'!$D$97)*100</f>
        <v>0</v>
      </c>
      <c r="K74" s="243">
        <f>('Pivot Table for Data Exchange'!$D$100)*100</f>
        <v>0</v>
      </c>
      <c r="L74" s="249">
        <f t="shared" si="11"/>
        <v>0</v>
      </c>
      <c r="M74" s="243">
        <f>('Pivot Table for Data Exchange'!$D$103)*100</f>
        <v>0</v>
      </c>
      <c r="N74" s="243">
        <f>('Pivot Table for Data Exchange'!$D$106)*100</f>
        <v>0</v>
      </c>
      <c r="O74" s="245">
        <f>('Pivot Table for Data Exchange'!$D$109)*100</f>
        <v>0</v>
      </c>
      <c r="P74" s="243">
        <f>('Pivot Table for Data Exchange'!$D$112)*100</f>
        <v>0</v>
      </c>
      <c r="Q74" s="248">
        <f t="shared" si="4"/>
        <v>0</v>
      </c>
      <c r="R74" s="248">
        <f t="shared" si="5"/>
        <v>0</v>
      </c>
      <c r="S74" s="98"/>
      <c r="T74" s="104"/>
      <c r="U74" s="98"/>
      <c r="V74" s="98"/>
      <c r="W74" s="98"/>
      <c r="X74" s="98"/>
      <c r="Y74" s="98"/>
      <c r="Z74" s="98"/>
      <c r="AA74" s="98"/>
      <c r="AB74" s="98"/>
      <c r="AC74" s="98"/>
      <c r="AD74" s="98"/>
      <c r="AE74" s="98"/>
      <c r="AF74" s="98"/>
      <c r="AG74" s="98"/>
      <c r="AH74" s="98"/>
      <c r="AI74" s="98"/>
      <c r="AJ74" s="98"/>
      <c r="AK74" s="98"/>
      <c r="AL74" s="98"/>
      <c r="AM74" s="98"/>
      <c r="AN74" s="98"/>
      <c r="AO74" s="98"/>
    </row>
    <row r="75" spans="1:41" ht="15.75" customHeight="1" x14ac:dyDescent="0.2">
      <c r="A75" s="65" t="s">
        <v>174</v>
      </c>
      <c r="B75" s="243">
        <f>('Pivot Table for Data Exchange'!$D$115)*100</f>
        <v>73.788150225760162</v>
      </c>
      <c r="C75" s="243">
        <f>('Pivot Table for Data Exchange'!$D$118)*100</f>
        <v>14.32203046343658</v>
      </c>
      <c r="D75" s="249">
        <f t="shared" si="10"/>
        <v>11.889819310803253</v>
      </c>
      <c r="E75" s="243">
        <f>('Pivot Table for Data Exchange'!$D$121)*100</f>
        <v>11.641928972689911</v>
      </c>
      <c r="F75" s="243">
        <f>('Pivot Table for Data Exchange'!$D$124)*100</f>
        <v>0</v>
      </c>
      <c r="G75" s="245">
        <f>('Pivot Table for Data Exchange'!$D$127)*100</f>
        <v>0.24789033811334216</v>
      </c>
      <c r="H75" s="243">
        <f>('Pivot Table for Data Exchange'!$D$130)*100</f>
        <v>0</v>
      </c>
      <c r="I75" s="87" t="s">
        <v>174</v>
      </c>
      <c r="J75" s="243">
        <f>('Pivot Table for Data Exchange'!$D$133)*100</f>
        <v>59.136078895066547</v>
      </c>
      <c r="K75" s="243">
        <f>('Pivot Table for Data Exchange'!$D$136)*100</f>
        <v>14.646909356210219</v>
      </c>
      <c r="L75" s="249">
        <f t="shared" si="11"/>
        <v>26.217011748723237</v>
      </c>
      <c r="M75" s="243">
        <f>('Pivot Table for Data Exchange'!$D$139)*100</f>
        <v>24.965407934790811</v>
      </c>
      <c r="N75" s="243">
        <f>('Pivot Table for Data Exchange'!$D$142)*100</f>
        <v>0</v>
      </c>
      <c r="O75" s="245">
        <f>('Pivot Table for Data Exchange'!$D$145)*100</f>
        <v>1.2516038139324259</v>
      </c>
      <c r="P75" s="243">
        <f>('Pivot Table for Data Exchange'!$D$148)*100</f>
        <v>0</v>
      </c>
      <c r="Q75" s="248">
        <f t="shared" si="4"/>
        <v>99.999999999999986</v>
      </c>
      <c r="R75" s="248">
        <f t="shared" si="5"/>
        <v>100</v>
      </c>
      <c r="S75" s="98"/>
      <c r="U75" s="98"/>
      <c r="V75" s="98"/>
      <c r="W75" s="98"/>
      <c r="X75" s="98"/>
      <c r="Y75" s="98"/>
      <c r="Z75" s="98"/>
      <c r="AA75" s="98"/>
      <c r="AB75" s="98"/>
      <c r="AC75" s="98"/>
      <c r="AD75" s="98"/>
      <c r="AE75" s="98"/>
      <c r="AF75" s="98"/>
      <c r="AG75" s="98"/>
      <c r="AH75" s="98"/>
      <c r="AI75" s="98"/>
      <c r="AJ75" s="98"/>
      <c r="AK75" s="98"/>
      <c r="AL75" s="98"/>
      <c r="AM75" s="98"/>
      <c r="AN75" s="98"/>
      <c r="AO75" s="98"/>
    </row>
    <row r="76" spans="1:41" ht="9" customHeight="1" x14ac:dyDescent="0.2">
      <c r="A76" s="65"/>
      <c r="B76" s="243"/>
      <c r="C76" s="243"/>
      <c r="D76" s="249"/>
      <c r="E76" s="243"/>
      <c r="F76" s="243"/>
      <c r="G76" s="245"/>
      <c r="H76" s="243"/>
      <c r="I76" s="87"/>
      <c r="J76" s="243"/>
      <c r="K76" s="243"/>
      <c r="L76" s="249"/>
      <c r="M76" s="243"/>
      <c r="N76" s="243"/>
      <c r="O76" s="245"/>
      <c r="P76" s="243"/>
      <c r="Q76" s="248">
        <f t="shared" si="4"/>
        <v>0</v>
      </c>
      <c r="R76" s="248">
        <f t="shared" si="5"/>
        <v>0</v>
      </c>
      <c r="S76" s="98"/>
      <c r="U76" s="98"/>
      <c r="V76" s="98"/>
      <c r="W76" s="98"/>
      <c r="X76" s="98"/>
      <c r="Y76" s="98"/>
      <c r="Z76" s="98"/>
      <c r="AA76" s="98"/>
      <c r="AB76" s="98"/>
      <c r="AC76" s="98"/>
      <c r="AD76" s="98"/>
      <c r="AE76" s="98"/>
      <c r="AF76" s="98"/>
      <c r="AG76" s="98"/>
      <c r="AH76" s="98"/>
      <c r="AI76" s="98"/>
      <c r="AJ76" s="98"/>
      <c r="AK76" s="98"/>
      <c r="AL76" s="98"/>
      <c r="AM76" s="98"/>
      <c r="AN76" s="98"/>
      <c r="AO76" s="98"/>
    </row>
    <row r="77" spans="1:41" ht="15.75" customHeight="1" x14ac:dyDescent="0.2">
      <c r="A77" s="65" t="s">
        <v>145</v>
      </c>
      <c r="B77" s="243">
        <f>('Pivot Table for Data Exchange'!$D$151)*100</f>
        <v>96.618293672510418</v>
      </c>
      <c r="C77" s="243">
        <f>('Pivot Table for Data Exchange'!$D$154)*100</f>
        <v>2.6608291974108811</v>
      </c>
      <c r="D77" s="249">
        <f t="shared" ref="D77:D78" si="12">SUM(E77:G77)</f>
        <v>0.72087713007869259</v>
      </c>
      <c r="E77" s="243">
        <f>('Pivot Table for Data Exchange'!$D$157)*100</f>
        <v>0.38638636749636729</v>
      </c>
      <c r="F77" s="243">
        <f>('Pivot Table for Data Exchange'!$D$160)*100</f>
        <v>0.21206431280783528</v>
      </c>
      <c r="G77" s="245">
        <f>('Pivot Table for Data Exchange'!$D$163)*100</f>
        <v>0.12242644977449001</v>
      </c>
      <c r="H77" s="243">
        <f>('Pivot Table for Data Exchange'!$D$166)*100</f>
        <v>0</v>
      </c>
      <c r="I77" s="87" t="s">
        <v>145</v>
      </c>
      <c r="J77" s="243">
        <f>('Pivot Table for Data Exchange'!$D$169)*100</f>
        <v>0</v>
      </c>
      <c r="K77" s="243">
        <f>('Pivot Table for Data Exchange'!$D$172)*100</f>
        <v>0</v>
      </c>
      <c r="L77" s="249">
        <f t="shared" ref="L77:L78" si="13">SUM(M77:O77)</f>
        <v>0</v>
      </c>
      <c r="M77" s="243">
        <f>('Pivot Table for Data Exchange'!$D$175)*100</f>
        <v>0</v>
      </c>
      <c r="N77" s="243">
        <f>('Pivot Table for Data Exchange'!$D$178)*100</f>
        <v>0</v>
      </c>
      <c r="O77" s="245">
        <f>('Pivot Table for Data Exchange'!$D$181)*100</f>
        <v>0</v>
      </c>
      <c r="P77" s="243">
        <f>('Pivot Table for Data Exchange'!$D$184)*100</f>
        <v>0</v>
      </c>
      <c r="Q77" s="248">
        <f t="shared" si="4"/>
        <v>99.999999999999986</v>
      </c>
      <c r="R77" s="248">
        <f t="shared" si="5"/>
        <v>0</v>
      </c>
      <c r="S77" s="98"/>
      <c r="T77" s="98"/>
      <c r="U77" s="98"/>
      <c r="V77" s="98"/>
      <c r="W77" s="98"/>
      <c r="X77" s="98"/>
      <c r="Y77" s="98"/>
      <c r="Z77" s="98"/>
      <c r="AA77" s="98"/>
      <c r="AB77" s="98"/>
      <c r="AC77" s="98"/>
      <c r="AD77" s="98"/>
      <c r="AE77" s="98"/>
      <c r="AF77" s="98"/>
      <c r="AG77" s="98"/>
      <c r="AH77" s="98"/>
      <c r="AI77" s="98"/>
      <c r="AJ77" s="98"/>
      <c r="AK77" s="98"/>
      <c r="AL77" s="98"/>
      <c r="AM77" s="98"/>
      <c r="AN77" s="98"/>
      <c r="AO77" s="98"/>
    </row>
    <row r="78" spans="1:41" ht="15.75" customHeight="1" x14ac:dyDescent="0.2">
      <c r="A78" s="65" t="s">
        <v>146</v>
      </c>
      <c r="B78" s="243">
        <f>('Pivot Table for Data Exchange'!$D$187)*100</f>
        <v>0</v>
      </c>
      <c r="C78" s="243">
        <f>('Pivot Table for Data Exchange'!$D$190)*100</f>
        <v>0</v>
      </c>
      <c r="D78" s="249">
        <f t="shared" si="12"/>
        <v>0</v>
      </c>
      <c r="E78" s="243">
        <f>('Pivot Table for Data Exchange'!$D$193)*100</f>
        <v>0</v>
      </c>
      <c r="F78" s="243">
        <f>('Pivot Table for Data Exchange'!$D$196)*100</f>
        <v>0</v>
      </c>
      <c r="G78" s="245">
        <f>('Pivot Table for Data Exchange'!$D$199)*100</f>
        <v>0</v>
      </c>
      <c r="H78" s="243">
        <f>('Pivot Table for Data Exchange'!$D$202)*100</f>
        <v>0</v>
      </c>
      <c r="I78" s="87" t="s">
        <v>146</v>
      </c>
      <c r="J78" s="243">
        <f>('Pivot Table for Data Exchange'!$D$205)*100</f>
        <v>0</v>
      </c>
      <c r="K78" s="243">
        <f>('Pivot Table for Data Exchange'!$D$208)*100</f>
        <v>0</v>
      </c>
      <c r="L78" s="249">
        <f t="shared" si="13"/>
        <v>0</v>
      </c>
      <c r="M78" s="243">
        <f>('Pivot Table for Data Exchange'!$D$211)*100</f>
        <v>0</v>
      </c>
      <c r="N78" s="243">
        <f>('Pivot Table for Data Exchange'!$D$214)*100</f>
        <v>0</v>
      </c>
      <c r="O78" s="245">
        <f>('Pivot Table for Data Exchange'!$D$217)*100</f>
        <v>0</v>
      </c>
      <c r="P78" s="243">
        <f>('Pivot Table for Data Exchange'!$D$220)*100</f>
        <v>0</v>
      </c>
      <c r="Q78" s="248">
        <f t="shared" si="4"/>
        <v>0</v>
      </c>
      <c r="R78" s="248">
        <f t="shared" si="5"/>
        <v>0</v>
      </c>
      <c r="S78" s="98"/>
      <c r="T78" s="98"/>
      <c r="U78" s="98"/>
      <c r="V78" s="98"/>
      <c r="W78" s="98"/>
      <c r="X78" s="98"/>
      <c r="Y78" s="98"/>
      <c r="Z78" s="98"/>
      <c r="AA78" s="98"/>
      <c r="AB78" s="98"/>
      <c r="AC78" s="98"/>
      <c r="AD78" s="98"/>
      <c r="AE78" s="98"/>
      <c r="AF78" s="98"/>
      <c r="AG78" s="98"/>
      <c r="AH78" s="98"/>
      <c r="AI78" s="98"/>
      <c r="AJ78" s="98"/>
      <c r="AK78" s="98"/>
      <c r="AL78" s="98"/>
      <c r="AM78" s="98"/>
      <c r="AN78" s="98"/>
      <c r="AO78" s="98"/>
    </row>
    <row r="79" spans="1:41" ht="15.75" customHeight="1" x14ac:dyDescent="0.2">
      <c r="A79" s="244" t="s">
        <v>147</v>
      </c>
      <c r="B79" s="243">
        <f>('Pivot Table for Data Exchange'!$D$223)*100</f>
        <v>0</v>
      </c>
      <c r="C79" s="243">
        <f>('Pivot Table for Data Exchange'!$D$226)*100</f>
        <v>0</v>
      </c>
      <c r="D79" s="249">
        <f>SUM(E79:G79)</f>
        <v>0</v>
      </c>
      <c r="E79" s="243">
        <f>('Pivot Table for Data Exchange'!$D$229)*100</f>
        <v>0</v>
      </c>
      <c r="F79" s="243">
        <f>('Pivot Table for Data Exchange'!$D$232)*100</f>
        <v>0</v>
      </c>
      <c r="G79" s="245">
        <f>('Pivot Table for Data Exchange'!$D$235)*100</f>
        <v>0</v>
      </c>
      <c r="H79" s="243">
        <f>('Pivot Table for Data Exchange'!$D$238)*100</f>
        <v>0</v>
      </c>
      <c r="I79" s="87" t="s">
        <v>147</v>
      </c>
      <c r="J79" s="243">
        <f>('Pivot Table for Data Exchange'!$D$241)*100</f>
        <v>0</v>
      </c>
      <c r="K79" s="243">
        <f>('Pivot Table for Data Exchange'!$D$244)*100</f>
        <v>0</v>
      </c>
      <c r="L79" s="249">
        <f>SUM(M79:O79)</f>
        <v>0</v>
      </c>
      <c r="M79" s="243">
        <f>('Pivot Table for Data Exchange'!$D$247)*100</f>
        <v>0</v>
      </c>
      <c r="N79" s="243">
        <f>('Pivot Table for Data Exchange'!$D$250)*100</f>
        <v>0</v>
      </c>
      <c r="O79" s="245">
        <f>('Pivot Table for Data Exchange'!$D$253)*100</f>
        <v>0</v>
      </c>
      <c r="P79" s="243">
        <f>('Pivot Table for Data Exchange'!$D$256)*100</f>
        <v>0</v>
      </c>
      <c r="Q79" s="248">
        <f t="shared" si="4"/>
        <v>0</v>
      </c>
      <c r="R79" s="248">
        <f t="shared" si="5"/>
        <v>0</v>
      </c>
      <c r="S79" s="98"/>
      <c r="T79" s="104"/>
      <c r="U79" s="98"/>
      <c r="V79" s="98"/>
      <c r="W79" s="98"/>
      <c r="X79" s="98"/>
      <c r="Y79" s="98"/>
      <c r="Z79" s="98"/>
      <c r="AA79" s="98"/>
      <c r="AB79" s="98"/>
      <c r="AC79" s="98"/>
      <c r="AD79" s="98"/>
      <c r="AE79" s="98"/>
      <c r="AF79" s="98"/>
      <c r="AG79" s="98"/>
      <c r="AH79" s="98"/>
      <c r="AI79" s="98"/>
      <c r="AJ79" s="98"/>
      <c r="AK79" s="98"/>
      <c r="AL79" s="98"/>
      <c r="AM79" s="98"/>
      <c r="AN79" s="98"/>
      <c r="AO79" s="98"/>
    </row>
    <row r="80" spans="1:41" ht="15.75" customHeight="1" x14ac:dyDescent="0.2">
      <c r="A80" s="65" t="s">
        <v>177</v>
      </c>
      <c r="B80" s="243">
        <f>('Pivot Table for Data Exchange'!$D$259)*100</f>
        <v>92.028439474963548</v>
      </c>
      <c r="C80" s="243">
        <f>('Pivot Table for Data Exchange'!$D$262)*100</f>
        <v>1.6133932912007778</v>
      </c>
      <c r="D80" s="249">
        <f>SUM(E80:G80)</f>
        <v>6.3581672338356832</v>
      </c>
      <c r="E80" s="243">
        <f>('Pivot Table for Data Exchange'!$D$265)*100</f>
        <v>6.3581672338356832</v>
      </c>
      <c r="F80" s="243">
        <f>('Pivot Table for Data Exchange'!$D$268)*100</f>
        <v>0</v>
      </c>
      <c r="G80" s="245">
        <f>('Pivot Table for Data Exchange'!$D$271)*100</f>
        <v>0</v>
      </c>
      <c r="H80" s="243">
        <f>('Pivot Table for Data Exchange'!$D$274)*100</f>
        <v>0</v>
      </c>
      <c r="I80" s="87" t="s">
        <v>177</v>
      </c>
      <c r="J80" s="243">
        <f>('Pivot Table for Data Exchange'!$D$277)*100</f>
        <v>79.486681268988917</v>
      </c>
      <c r="K80" s="243">
        <f>('Pivot Table for Data Exchange'!$D$280)*100</f>
        <v>2.6796438917543983</v>
      </c>
      <c r="L80" s="249">
        <f>SUM(M80:O80)</f>
        <v>17.833674839256695</v>
      </c>
      <c r="M80" s="243">
        <f>('Pivot Table for Data Exchange'!$D$283)*100</f>
        <v>17.833674839256695</v>
      </c>
      <c r="N80" s="243">
        <f>('Pivot Table for Data Exchange'!$D$286)*100</f>
        <v>0</v>
      </c>
      <c r="O80" s="245">
        <f>('Pivot Table for Data Exchange'!$D$289)*100</f>
        <v>0</v>
      </c>
      <c r="P80" s="243">
        <f>('Pivot Table for Data Exchange'!$D$292)*100</f>
        <v>0</v>
      </c>
      <c r="Q80" s="248">
        <f t="shared" si="4"/>
        <v>100.00000000000001</v>
      </c>
      <c r="R80" s="248">
        <f t="shared" si="5"/>
        <v>100</v>
      </c>
      <c r="S80" s="98"/>
      <c r="U80" s="98"/>
      <c r="V80" s="98"/>
      <c r="W80" s="98"/>
      <c r="X80" s="98"/>
      <c r="Y80" s="98"/>
      <c r="Z80" s="98"/>
      <c r="AA80" s="98"/>
      <c r="AB80" s="98"/>
      <c r="AC80" s="98"/>
      <c r="AD80" s="98"/>
      <c r="AE80" s="98"/>
      <c r="AF80" s="98"/>
      <c r="AG80" s="98"/>
      <c r="AH80" s="98"/>
      <c r="AI80" s="98"/>
      <c r="AJ80" s="98"/>
      <c r="AK80" s="98"/>
      <c r="AL80" s="98"/>
      <c r="AM80" s="98"/>
      <c r="AN80" s="98"/>
      <c r="AO80" s="98"/>
    </row>
    <row r="81" spans="1:41" ht="8.25" customHeight="1" x14ac:dyDescent="0.2">
      <c r="A81" s="65"/>
      <c r="B81" s="243"/>
      <c r="C81" s="243"/>
      <c r="D81" s="249"/>
      <c r="E81" s="243"/>
      <c r="F81" s="243"/>
      <c r="G81" s="245"/>
      <c r="H81" s="243"/>
      <c r="I81" s="87"/>
      <c r="J81" s="243"/>
      <c r="K81" s="243"/>
      <c r="L81" s="249"/>
      <c r="M81" s="243"/>
      <c r="N81" s="243"/>
      <c r="O81" s="245"/>
      <c r="P81" s="243"/>
      <c r="Q81" s="248">
        <f t="shared" si="4"/>
        <v>0</v>
      </c>
      <c r="R81" s="248">
        <f t="shared" si="5"/>
        <v>0</v>
      </c>
      <c r="S81" s="98"/>
      <c r="U81" s="98"/>
      <c r="V81" s="98"/>
      <c r="W81" s="98"/>
      <c r="X81" s="98"/>
      <c r="Y81" s="98"/>
      <c r="Z81" s="98"/>
      <c r="AA81" s="98"/>
      <c r="AB81" s="98"/>
      <c r="AC81" s="98"/>
      <c r="AD81" s="98"/>
      <c r="AE81" s="98"/>
      <c r="AF81" s="98"/>
      <c r="AG81" s="98"/>
      <c r="AH81" s="98"/>
      <c r="AI81" s="98"/>
      <c r="AJ81" s="98"/>
      <c r="AK81" s="98"/>
      <c r="AL81" s="98"/>
      <c r="AM81" s="98"/>
      <c r="AN81" s="98"/>
      <c r="AO81" s="98"/>
    </row>
    <row r="82" spans="1:41" ht="15.75" customHeight="1" x14ac:dyDescent="0.2">
      <c r="A82" s="65" t="s">
        <v>148</v>
      </c>
      <c r="B82" s="243">
        <f>('Pivot Table for Data Exchange'!$D$295)*100</f>
        <v>87.713718389725599</v>
      </c>
      <c r="C82" s="243">
        <f>('Pivot Table for Data Exchange'!$D$298)*100</f>
        <v>5.274981941531931</v>
      </c>
      <c r="D82" s="249">
        <f>SUM(E82:G82)</f>
        <v>7.0112996687424625</v>
      </c>
      <c r="E82" s="243">
        <f>('Pivot Table for Data Exchange'!$D$301)*100</f>
        <v>5.4126081519266078</v>
      </c>
      <c r="F82" s="243">
        <f>('Pivot Table for Data Exchange'!$D$304)*100</f>
        <v>1.5986915168158546</v>
      </c>
      <c r="G82" s="245">
        <f>('Pivot Table for Data Exchange'!$D$307)*100</f>
        <v>0</v>
      </c>
      <c r="H82" s="243">
        <f>('Pivot Table for Data Exchange'!$D$310)*100</f>
        <v>0</v>
      </c>
      <c r="I82" s="87" t="s">
        <v>148</v>
      </c>
      <c r="J82" s="243">
        <f>('Pivot Table for Data Exchange'!$D$313)*100</f>
        <v>77.147657596718233</v>
      </c>
      <c r="K82" s="243">
        <f>('Pivot Table for Data Exchange'!$D$316)*100</f>
        <v>11.464356630081388</v>
      </c>
      <c r="L82" s="249">
        <f>SUM(M82:O82)</f>
        <v>11.387985773200375</v>
      </c>
      <c r="M82" s="243">
        <f>('Pivot Table for Data Exchange'!$D$319)*100</f>
        <v>10.088590193981977</v>
      </c>
      <c r="N82" s="243">
        <f>('Pivot Table for Data Exchange'!$D$322)*100</f>
        <v>1.2993955792183989</v>
      </c>
      <c r="O82" s="245">
        <f>('Pivot Table for Data Exchange'!$D$325)*100</f>
        <v>0</v>
      </c>
      <c r="P82" s="243">
        <f>('Pivot Table for Data Exchange'!$D$328)*100</f>
        <v>0</v>
      </c>
      <c r="Q82" s="248">
        <f t="shared" si="4"/>
        <v>100</v>
      </c>
      <c r="R82" s="248">
        <f t="shared" si="5"/>
        <v>99.999999999999986</v>
      </c>
      <c r="S82" s="98"/>
      <c r="T82" s="98"/>
      <c r="U82" s="98"/>
      <c r="V82" s="98"/>
      <c r="W82" s="98"/>
      <c r="X82" s="98"/>
      <c r="Y82" s="98"/>
      <c r="Z82" s="98"/>
      <c r="AA82" s="98"/>
      <c r="AB82" s="98"/>
      <c r="AC82" s="98"/>
      <c r="AD82" s="98"/>
      <c r="AE82" s="98"/>
      <c r="AF82" s="98"/>
      <c r="AG82" s="98"/>
      <c r="AH82" s="98"/>
      <c r="AI82" s="98"/>
      <c r="AJ82" s="98"/>
      <c r="AK82" s="98"/>
      <c r="AL82" s="98"/>
      <c r="AM82" s="98"/>
      <c r="AN82" s="98"/>
      <c r="AO82" s="98"/>
    </row>
    <row r="83" spans="1:41" ht="15.75" customHeight="1" x14ac:dyDescent="0.2">
      <c r="A83" s="65" t="s">
        <v>149</v>
      </c>
      <c r="B83" s="243">
        <f>('Pivot Table for Data Exchange'!$D$331)*100</f>
        <v>89.690775313037619</v>
      </c>
      <c r="C83" s="243">
        <f>('Pivot Table for Data Exchange'!$D$334)*100</f>
        <v>0.85931894744056569</v>
      </c>
      <c r="D83" s="249">
        <f>SUM(E83:G83)</f>
        <v>9.4499057395218173</v>
      </c>
      <c r="E83" s="243">
        <f>('Pivot Table for Data Exchange'!$D$337)*100</f>
        <v>9.4347234259627974</v>
      </c>
      <c r="F83" s="67">
        <f>('Pivot Table for Data Exchange'!$D$340)*100</f>
        <v>1.5182313559020593E-2</v>
      </c>
      <c r="G83" s="245">
        <f>('Pivot Table for Data Exchange'!$D$343)*100</f>
        <v>0</v>
      </c>
      <c r="H83" s="243">
        <f>('Pivot Table for Data Exchange'!$D$346)*100</f>
        <v>0</v>
      </c>
      <c r="I83" s="87" t="s">
        <v>149</v>
      </c>
      <c r="J83" s="243">
        <f>('Pivot Table for Data Exchange'!$D$349)*100</f>
        <v>66.628885811961624</v>
      </c>
      <c r="K83" s="243">
        <f>('Pivot Table for Data Exchange'!$D$352)*100</f>
        <v>5.4269645023342443</v>
      </c>
      <c r="L83" s="249">
        <f>SUM(M83:O83)</f>
        <v>27.944149685704133</v>
      </c>
      <c r="M83" s="243">
        <f>('Pivot Table for Data Exchange'!$D$355)*100</f>
        <v>27.944149685704133</v>
      </c>
      <c r="N83" s="243">
        <f>('Pivot Table for Data Exchange'!$D$358)*100</f>
        <v>0</v>
      </c>
      <c r="O83" s="245">
        <f>('Pivot Table for Data Exchange'!$D$361)*100</f>
        <v>0</v>
      </c>
      <c r="P83" s="243">
        <f>('Pivot Table for Data Exchange'!$D$364)*100</f>
        <v>0</v>
      </c>
      <c r="Q83" s="248">
        <f t="shared" si="4"/>
        <v>100</v>
      </c>
      <c r="R83" s="248">
        <f t="shared" si="5"/>
        <v>100</v>
      </c>
      <c r="S83" s="98"/>
      <c r="T83" s="98"/>
      <c r="U83" s="98"/>
      <c r="V83" s="98"/>
      <c r="W83" s="98"/>
      <c r="X83" s="98"/>
      <c r="Y83" s="98"/>
      <c r="Z83" s="98"/>
      <c r="AA83" s="98"/>
      <c r="AB83" s="98"/>
      <c r="AC83" s="98"/>
      <c r="AD83" s="98"/>
      <c r="AE83" s="98"/>
      <c r="AF83" s="98"/>
      <c r="AG83" s="98"/>
      <c r="AH83" s="98"/>
      <c r="AI83" s="98"/>
      <c r="AJ83" s="98"/>
      <c r="AK83" s="98"/>
      <c r="AL83" s="98"/>
      <c r="AM83" s="98"/>
      <c r="AN83" s="98"/>
      <c r="AO83" s="98"/>
    </row>
    <row r="84" spans="1:41" ht="15.75" customHeight="1" x14ac:dyDescent="0.2">
      <c r="A84" s="65" t="s">
        <v>150</v>
      </c>
      <c r="B84" s="243">
        <f>('Pivot Table for Data Exchange'!$D$367)*100</f>
        <v>0</v>
      </c>
      <c r="C84" s="243">
        <f>('Pivot Table for Data Exchange'!$D$370)*100</f>
        <v>0</v>
      </c>
      <c r="D84" s="249">
        <f>SUM(E84:G84)</f>
        <v>0</v>
      </c>
      <c r="E84" s="243">
        <f>('Pivot Table for Data Exchange'!$D$373)*100</f>
        <v>0</v>
      </c>
      <c r="F84" s="243">
        <f>('Pivot Table for Data Exchange'!$D$376)*100</f>
        <v>0</v>
      </c>
      <c r="G84" s="245">
        <f>('Pivot Table for Data Exchange'!$D$379)*100</f>
        <v>0</v>
      </c>
      <c r="H84" s="243">
        <f>('Pivot Table for Data Exchange'!$D$382)*100</f>
        <v>0</v>
      </c>
      <c r="I84" s="87" t="s">
        <v>150</v>
      </c>
      <c r="J84" s="243">
        <f>('Pivot Table for Data Exchange'!$D$385)*100</f>
        <v>0</v>
      </c>
      <c r="K84" s="243">
        <f>('Pivot Table for Data Exchange'!$D$388)*100</f>
        <v>0</v>
      </c>
      <c r="L84" s="249">
        <f>SUM(M84:O84)</f>
        <v>0</v>
      </c>
      <c r="M84" s="243">
        <f>('Pivot Table for Data Exchange'!$D$391)*100</f>
        <v>0</v>
      </c>
      <c r="N84" s="243">
        <f>('Pivot Table for Data Exchange'!$D$394)*100</f>
        <v>0</v>
      </c>
      <c r="O84" s="245">
        <f>('Pivot Table for Data Exchange'!$D$397)*100</f>
        <v>0</v>
      </c>
      <c r="P84" s="243">
        <f>('Pivot Table for Data Exchange'!$D$400)*100</f>
        <v>0</v>
      </c>
      <c r="Q84" s="248">
        <f t="shared" si="4"/>
        <v>0</v>
      </c>
      <c r="R84" s="248">
        <f t="shared" si="5"/>
        <v>0</v>
      </c>
      <c r="S84" s="98"/>
      <c r="T84" s="104"/>
      <c r="U84" s="98"/>
      <c r="V84" s="98"/>
      <c r="W84" s="98"/>
      <c r="X84" s="98"/>
      <c r="Y84" s="98"/>
      <c r="Z84" s="98"/>
      <c r="AA84" s="98"/>
      <c r="AB84" s="98"/>
      <c r="AC84" s="98"/>
      <c r="AD84" s="98"/>
      <c r="AE84" s="98"/>
      <c r="AF84" s="98"/>
      <c r="AG84" s="98"/>
      <c r="AH84" s="98"/>
      <c r="AI84" s="98"/>
      <c r="AJ84" s="98"/>
      <c r="AK84" s="98"/>
      <c r="AL84" s="98"/>
      <c r="AM84" s="98"/>
      <c r="AN84" s="98"/>
      <c r="AO84" s="98"/>
    </row>
    <row r="85" spans="1:41" ht="15.75" customHeight="1" x14ac:dyDescent="0.2">
      <c r="A85" s="65" t="s">
        <v>151</v>
      </c>
      <c r="B85" s="243">
        <f>('Pivot Table for Data Exchange'!$D$403)*100</f>
        <v>0</v>
      </c>
      <c r="C85" s="243">
        <f>('Pivot Table for Data Exchange'!$D$406)*100</f>
        <v>0</v>
      </c>
      <c r="D85" s="249">
        <f>SUM(E85:G85)</f>
        <v>0</v>
      </c>
      <c r="E85" s="243">
        <f>('Pivot Table for Data Exchange'!$D$409)*100</f>
        <v>0</v>
      </c>
      <c r="F85" s="243">
        <f>('Pivot Table for Data Exchange'!$D$412)*100</f>
        <v>0</v>
      </c>
      <c r="G85" s="245">
        <f>('Pivot Table for Data Exchange'!$D$415)*100</f>
        <v>0</v>
      </c>
      <c r="H85" s="243">
        <f>('Pivot Table for Data Exchange'!$D$418)*100</f>
        <v>0</v>
      </c>
      <c r="I85" s="87" t="s">
        <v>151</v>
      </c>
      <c r="J85" s="243">
        <f>('Pivot Table for Data Exchange'!$D$421)*100</f>
        <v>0</v>
      </c>
      <c r="K85" s="243">
        <f>('Pivot Table for Data Exchange'!$D$424)*100</f>
        <v>0</v>
      </c>
      <c r="L85" s="249">
        <f>SUM(M85:O85)</f>
        <v>0</v>
      </c>
      <c r="M85" s="243">
        <f>('Pivot Table for Data Exchange'!$D$427)*100</f>
        <v>0</v>
      </c>
      <c r="N85" s="243">
        <f>('Pivot Table for Data Exchange'!$D$430)*100</f>
        <v>0</v>
      </c>
      <c r="O85" s="245">
        <f>('Pivot Table for Data Exchange'!$D$433)*100</f>
        <v>0</v>
      </c>
      <c r="P85" s="243">
        <f>('Pivot Table for Data Exchange'!$D$436)*100</f>
        <v>0</v>
      </c>
      <c r="Q85" s="248">
        <f t="shared" si="4"/>
        <v>0</v>
      </c>
      <c r="R85" s="248">
        <f t="shared" si="5"/>
        <v>0</v>
      </c>
      <c r="S85" s="98"/>
      <c r="T85" s="98"/>
      <c r="U85" s="98"/>
      <c r="V85" s="98"/>
      <c r="W85" s="98"/>
      <c r="X85" s="98"/>
      <c r="Y85" s="98"/>
      <c r="Z85" s="98"/>
      <c r="AA85" s="98"/>
      <c r="AB85" s="98"/>
      <c r="AC85" s="98"/>
      <c r="AD85" s="98"/>
      <c r="AE85" s="98"/>
      <c r="AF85" s="98"/>
      <c r="AG85" s="98"/>
      <c r="AH85" s="98"/>
      <c r="AI85" s="98"/>
      <c r="AJ85" s="98"/>
      <c r="AK85" s="98"/>
      <c r="AL85" s="98"/>
      <c r="AM85" s="98"/>
      <c r="AN85" s="98"/>
      <c r="AO85" s="98"/>
    </row>
    <row r="86" spans="1:41" ht="8.25" customHeight="1" x14ac:dyDescent="0.2">
      <c r="A86" s="65"/>
      <c r="B86" s="243"/>
      <c r="C86" s="243"/>
      <c r="D86" s="249"/>
      <c r="E86" s="243"/>
      <c r="F86" s="243"/>
      <c r="G86" s="245"/>
      <c r="H86" s="243"/>
      <c r="I86" s="87"/>
      <c r="J86" s="243"/>
      <c r="K86" s="243"/>
      <c r="L86" s="249"/>
      <c r="M86" s="243"/>
      <c r="N86" s="243"/>
      <c r="O86" s="245"/>
      <c r="P86" s="243"/>
      <c r="Q86" s="248">
        <f t="shared" si="4"/>
        <v>0</v>
      </c>
      <c r="R86" s="248">
        <f t="shared" si="5"/>
        <v>0</v>
      </c>
      <c r="S86" s="98"/>
      <c r="T86" s="98"/>
      <c r="U86" s="98"/>
      <c r="V86" s="98"/>
      <c r="W86" s="98"/>
      <c r="X86" s="98"/>
      <c r="Y86" s="98"/>
      <c r="Z86" s="98"/>
      <c r="AA86" s="98"/>
      <c r="AB86" s="98"/>
      <c r="AC86" s="98"/>
      <c r="AD86" s="98"/>
      <c r="AE86" s="98"/>
      <c r="AF86" s="98"/>
      <c r="AG86" s="98"/>
      <c r="AH86" s="98"/>
      <c r="AI86" s="98"/>
      <c r="AJ86" s="98"/>
      <c r="AK86" s="98"/>
      <c r="AL86" s="98"/>
      <c r="AM86" s="98"/>
      <c r="AN86" s="98"/>
      <c r="AO86" s="98"/>
    </row>
    <row r="87" spans="1:41" ht="15.75" customHeight="1" x14ac:dyDescent="0.2">
      <c r="A87" s="65" t="s">
        <v>152</v>
      </c>
      <c r="B87" s="243">
        <f>('Pivot Table for Data Exchange'!$D$439)*100</f>
        <v>78.294534526452708</v>
      </c>
      <c r="C87" s="243">
        <f>('Pivot Table for Data Exchange'!$D$442)*100</f>
        <v>12.655027024602481</v>
      </c>
      <c r="D87" s="249">
        <f>SUM(E87:G87)</f>
        <v>8.8267285653412273</v>
      </c>
      <c r="E87" s="243">
        <f>('Pivot Table for Data Exchange'!$D$445)*100</f>
        <v>8.3064208661329033</v>
      </c>
      <c r="F87" s="243">
        <f>('Pivot Table for Data Exchange'!$D$448)*100</f>
        <v>0</v>
      </c>
      <c r="G87" s="245">
        <f>('Pivot Table for Data Exchange'!$D$451)*100</f>
        <v>0.52030769920832487</v>
      </c>
      <c r="H87" s="243">
        <f>('Pivot Table for Data Exchange'!$D$454)*100</f>
        <v>0.22370988360357935</v>
      </c>
      <c r="I87" s="87" t="s">
        <v>152</v>
      </c>
      <c r="J87" s="243">
        <f>('Pivot Table for Data Exchange'!$D$457)*100</f>
        <v>33.040895274937824</v>
      </c>
      <c r="K87" s="243">
        <f>('Pivot Table for Data Exchange'!$D$460)*100</f>
        <v>16.906143501888181</v>
      </c>
      <c r="L87" s="249">
        <f>SUM(M87:O87)</f>
        <v>47.69964078474716</v>
      </c>
      <c r="M87" s="243">
        <f>('Pivot Table for Data Exchange'!$D$463)*100</f>
        <v>14.658745509809339</v>
      </c>
      <c r="N87" s="243">
        <f>('Pivot Table for Data Exchange'!$D$466)*100</f>
        <v>0</v>
      </c>
      <c r="O87" s="245">
        <f>('Pivot Table for Data Exchange'!$D$469)*100</f>
        <v>33.040895274937824</v>
      </c>
      <c r="P87" s="243">
        <f>('Pivot Table for Data Exchange'!$D$472)*100</f>
        <v>2.3533204384268211</v>
      </c>
      <c r="Q87" s="248">
        <f t="shared" si="4"/>
        <v>99.999999999999986</v>
      </c>
      <c r="R87" s="248">
        <f t="shared" si="5"/>
        <v>99.999999999999986</v>
      </c>
      <c r="S87" s="98"/>
      <c r="T87" s="98"/>
      <c r="U87" s="98"/>
      <c r="V87" s="98"/>
      <c r="W87" s="98"/>
      <c r="X87" s="98"/>
      <c r="Y87" s="98"/>
      <c r="Z87" s="98"/>
      <c r="AA87" s="98"/>
      <c r="AB87" s="98"/>
      <c r="AC87" s="98"/>
      <c r="AD87" s="98"/>
      <c r="AE87" s="98"/>
      <c r="AF87" s="98"/>
      <c r="AG87" s="98"/>
      <c r="AH87" s="98"/>
      <c r="AI87" s="98"/>
      <c r="AJ87" s="98"/>
      <c r="AK87" s="98"/>
      <c r="AL87" s="98"/>
      <c r="AM87" s="98"/>
      <c r="AN87" s="98"/>
      <c r="AO87" s="98"/>
    </row>
    <row r="88" spans="1:41" ht="15.75" customHeight="1" x14ac:dyDescent="0.2">
      <c r="A88" s="65" t="s">
        <v>153</v>
      </c>
      <c r="B88" s="243">
        <f>('Pivot Table for Data Exchange'!$D$475)*100</f>
        <v>88.666723805571351</v>
      </c>
      <c r="C88" s="243">
        <f>('Pivot Table for Data Exchange'!$D$478)*100</f>
        <v>0.48598142083404755</v>
      </c>
      <c r="D88" s="249">
        <f>SUM(E88:G88)</f>
        <v>10.84729477359461</v>
      </c>
      <c r="E88" s="243">
        <f>('Pivot Table for Data Exchange'!$D$481)*100</f>
        <v>10.418752988515081</v>
      </c>
      <c r="F88" s="243">
        <f>('Pivot Table for Data Exchange'!$D$484)*100</f>
        <v>0.40079934320332727</v>
      </c>
      <c r="G88" s="68">
        <f>('Pivot Table for Data Exchange'!$D$487)*100</f>
        <v>2.7742441876201045E-2</v>
      </c>
      <c r="H88" s="243">
        <f>('Pivot Table for Data Exchange'!$D$490)*100</f>
        <v>0</v>
      </c>
      <c r="I88" s="87" t="s">
        <v>153</v>
      </c>
      <c r="J88" s="243">
        <f>('Pivot Table for Data Exchange'!$D$493)*100</f>
        <v>68.221394125383611</v>
      </c>
      <c r="K88" s="243">
        <f>('Pivot Table for Data Exchange'!$D$496)*100</f>
        <v>2.2406839105655414</v>
      </c>
      <c r="L88" s="249">
        <f>SUM(M88:O88)</f>
        <v>29.537921964050856</v>
      </c>
      <c r="M88" s="243">
        <f>('Pivot Table for Data Exchange'!$D$499)*100</f>
        <v>29.309951775537048</v>
      </c>
      <c r="N88" s="243">
        <f>('Pivot Table for Data Exchange'!$D$502)*100</f>
        <v>0.2253397632617273</v>
      </c>
      <c r="O88" s="254">
        <f>('Pivot Table for Data Exchange'!$D$505)*100</f>
        <v>2.6304252520824196E-3</v>
      </c>
      <c r="P88" s="243">
        <f>('Pivot Table for Data Exchange'!$D$508)*100</f>
        <v>0</v>
      </c>
      <c r="Q88" s="248">
        <f t="shared" si="4"/>
        <v>100.00000000000001</v>
      </c>
      <c r="R88" s="248">
        <f t="shared" si="5"/>
        <v>100</v>
      </c>
      <c r="S88" s="98"/>
      <c r="T88" s="98"/>
      <c r="U88" s="98"/>
      <c r="V88" s="98"/>
      <c r="W88" s="98"/>
      <c r="X88" s="98"/>
      <c r="Y88" s="98"/>
      <c r="Z88" s="98"/>
      <c r="AA88" s="98"/>
      <c r="AB88" s="98"/>
      <c r="AC88" s="98"/>
      <c r="AD88" s="98"/>
      <c r="AE88" s="98"/>
      <c r="AF88" s="98"/>
      <c r="AG88" s="98"/>
      <c r="AH88" s="98"/>
      <c r="AI88" s="98"/>
      <c r="AJ88" s="98"/>
      <c r="AK88" s="98"/>
      <c r="AL88" s="98"/>
      <c r="AM88" s="98"/>
      <c r="AN88" s="98"/>
      <c r="AO88" s="98"/>
    </row>
    <row r="89" spans="1:41" ht="15.75" customHeight="1" x14ac:dyDescent="0.2">
      <c r="A89" s="65" t="s">
        <v>154</v>
      </c>
      <c r="B89" s="243">
        <f>('Pivot Table for Data Exchange'!$D$511)*100</f>
        <v>95.179119675164273</v>
      </c>
      <c r="C89" s="243">
        <f>('Pivot Table for Data Exchange'!$D$514)*100</f>
        <v>1.4517748311817074</v>
      </c>
      <c r="D89" s="249">
        <f>SUM(E89:G89)</f>
        <v>3.3691054936540272</v>
      </c>
      <c r="E89" s="243">
        <f>('Pivot Table for Data Exchange'!$D$517)*100</f>
        <v>3.3629163326602622</v>
      </c>
      <c r="F89" s="67">
        <f>('Pivot Table for Data Exchange'!$D$520)*100</f>
        <v>6.1891609937650156E-3</v>
      </c>
      <c r="G89" s="245">
        <f>('Pivot Table for Data Exchange'!$D$523)*100</f>
        <v>0</v>
      </c>
      <c r="H89" s="243">
        <f>('Pivot Table for Data Exchange'!$D$526)*100</f>
        <v>0</v>
      </c>
      <c r="I89" s="87" t="s">
        <v>154</v>
      </c>
      <c r="J89" s="243">
        <f>('Pivot Table for Data Exchange'!$D$529)*100</f>
        <v>88.030527659245323</v>
      </c>
      <c r="K89" s="243">
        <f>('Pivot Table for Data Exchange'!$D$532)*100</f>
        <v>7.3722750067681684</v>
      </c>
      <c r="L89" s="249">
        <f>SUM(M89:O89)</f>
        <v>4.5971973339865153</v>
      </c>
      <c r="M89" s="243">
        <f>('Pivot Table for Data Exchange'!$D$535)*100</f>
        <v>4.5647101290463974</v>
      </c>
      <c r="N89" s="67">
        <f>('Pivot Table for Data Exchange'!$D$538)*100</f>
        <v>3.2487204940117829E-2</v>
      </c>
      <c r="O89" s="245">
        <f>('Pivot Table for Data Exchange'!$D$541)*100</f>
        <v>0</v>
      </c>
      <c r="P89" s="243">
        <f>('Pivot Table for Data Exchange'!$D$544)*100</f>
        <v>0</v>
      </c>
      <c r="Q89" s="248">
        <f t="shared" si="4"/>
        <v>100.00000000000001</v>
      </c>
      <c r="R89" s="248">
        <f t="shared" si="5"/>
        <v>100</v>
      </c>
      <c r="S89" s="98"/>
      <c r="T89" s="98"/>
      <c r="U89" s="98"/>
      <c r="V89" s="98"/>
      <c r="W89" s="98"/>
      <c r="X89" s="98"/>
      <c r="Y89" s="98"/>
      <c r="Z89" s="98"/>
      <c r="AA89" s="98"/>
      <c r="AB89" s="98"/>
      <c r="AC89" s="98"/>
      <c r="AD89" s="98"/>
      <c r="AE89" s="98"/>
      <c r="AF89" s="98"/>
      <c r="AG89" s="98"/>
      <c r="AH89" s="98"/>
      <c r="AI89" s="98"/>
      <c r="AJ89" s="98"/>
      <c r="AK89" s="98"/>
      <c r="AL89" s="98"/>
      <c r="AM89" s="98"/>
      <c r="AN89" s="98"/>
      <c r="AO89" s="98"/>
    </row>
    <row r="90" spans="1:41" ht="15.75" customHeight="1" x14ac:dyDescent="0.2">
      <c r="A90" s="39" t="s">
        <v>155</v>
      </c>
      <c r="B90" s="246">
        <f>('Pivot Table for Data Exchange'!$D$547)*100</f>
        <v>0</v>
      </c>
      <c r="C90" s="246">
        <f>('Pivot Table for Data Exchange'!$D$550)*100</f>
        <v>0</v>
      </c>
      <c r="D90" s="250">
        <f>SUM(E90:G90)</f>
        <v>0</v>
      </c>
      <c r="E90" s="246">
        <f>('Pivot Table for Data Exchange'!$D$553)*100</f>
        <v>0</v>
      </c>
      <c r="F90" s="246">
        <f>('Pivot Table for Data Exchange'!$D$556)*100</f>
        <v>0</v>
      </c>
      <c r="G90" s="247">
        <f>('Pivot Table for Data Exchange'!$D$559)*100</f>
        <v>0</v>
      </c>
      <c r="H90" s="246">
        <f>('Pivot Table for Data Exchange'!$D$562)*100</f>
        <v>0</v>
      </c>
      <c r="I90" s="252" t="s">
        <v>155</v>
      </c>
      <c r="J90" s="246">
        <f>('Pivot Table for Data Exchange'!$D$565)*100</f>
        <v>0</v>
      </c>
      <c r="K90" s="246">
        <f>('Pivot Table for Data Exchange'!$D$568)*100</f>
        <v>0</v>
      </c>
      <c r="L90" s="250">
        <f>SUM(M90:O90)</f>
        <v>0</v>
      </c>
      <c r="M90" s="246">
        <f>('Pivot Table for Data Exchange'!$D$571)*100</f>
        <v>0</v>
      </c>
      <c r="N90" s="246">
        <f>('Pivot Table for Data Exchange'!$D$574)*100</f>
        <v>0</v>
      </c>
      <c r="O90" s="247">
        <f>('Pivot Table for Data Exchange'!$D$577)*100</f>
        <v>0</v>
      </c>
      <c r="P90" s="246">
        <f>('Pivot Table for Data Exchange'!$D$580)*100</f>
        <v>0</v>
      </c>
      <c r="Q90" s="248">
        <f t="shared" si="4"/>
        <v>0</v>
      </c>
      <c r="R90" s="248">
        <f t="shared" si="5"/>
        <v>0</v>
      </c>
      <c r="S90" s="98"/>
      <c r="T90" s="98"/>
      <c r="U90" s="98"/>
      <c r="V90" s="98"/>
      <c r="W90" s="98"/>
      <c r="X90" s="98"/>
      <c r="Y90" s="98"/>
      <c r="Z90" s="98"/>
      <c r="AA90" s="98"/>
      <c r="AB90" s="98"/>
      <c r="AC90" s="98"/>
      <c r="AD90" s="98"/>
      <c r="AE90" s="98"/>
      <c r="AF90" s="98"/>
      <c r="AG90" s="98"/>
      <c r="AH90" s="98"/>
      <c r="AI90" s="98"/>
      <c r="AJ90" s="98"/>
      <c r="AK90" s="98"/>
      <c r="AL90" s="98"/>
      <c r="AM90" s="98"/>
      <c r="AN90" s="98"/>
      <c r="AO90" s="98"/>
    </row>
    <row r="91" spans="1:41" s="103" customFormat="1" ht="18" customHeight="1" x14ac:dyDescent="0.2">
      <c r="A91" s="24" t="s">
        <v>175</v>
      </c>
      <c r="B91" s="69"/>
      <c r="C91" s="69"/>
      <c r="D91" s="70"/>
      <c r="E91" s="69"/>
      <c r="F91" s="70"/>
      <c r="G91" s="70"/>
      <c r="H91" s="69"/>
      <c r="I91" s="24" t="s">
        <v>175</v>
      </c>
      <c r="J91" s="69"/>
      <c r="K91" s="69"/>
      <c r="L91" s="70"/>
      <c r="M91" s="69"/>
      <c r="N91" s="70"/>
      <c r="O91" s="70"/>
      <c r="P91" s="69"/>
      <c r="Q91" s="248">
        <f t="shared" ref="Q91:Q154" si="14">SUM(B91,C91,D91,H91)</f>
        <v>0</v>
      </c>
      <c r="R91" s="248">
        <f t="shared" ref="R91:R154" si="15">SUM(J91,K91,L91,P91)</f>
        <v>0</v>
      </c>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row>
    <row r="92" spans="1:41" s="103" customFormat="1" ht="24.75" customHeight="1" x14ac:dyDescent="0.2">
      <c r="A92" s="666" t="s">
        <v>176</v>
      </c>
      <c r="B92" s="683"/>
      <c r="C92" s="683"/>
      <c r="D92" s="683"/>
      <c r="E92" s="683"/>
      <c r="F92" s="683"/>
      <c r="G92" s="683"/>
      <c r="H92" s="683"/>
      <c r="I92" s="666" t="s">
        <v>176</v>
      </c>
      <c r="J92" s="683"/>
      <c r="K92" s="683"/>
      <c r="L92" s="683"/>
      <c r="M92" s="683"/>
      <c r="N92" s="683"/>
      <c r="O92" s="683"/>
      <c r="P92" s="683"/>
      <c r="Q92" s="248">
        <f t="shared" si="14"/>
        <v>0</v>
      </c>
      <c r="R92" s="248">
        <f t="shared" si="15"/>
        <v>0</v>
      </c>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row>
    <row r="93" spans="1:41" s="103" customFormat="1" ht="9.75" customHeight="1" x14ac:dyDescent="0.2">
      <c r="A93" s="78"/>
      <c r="B93" s="111"/>
      <c r="C93" s="111"/>
      <c r="D93" s="111"/>
      <c r="E93" s="111"/>
      <c r="F93" s="111"/>
      <c r="G93" s="112"/>
      <c r="H93" s="112"/>
      <c r="I93" s="78"/>
      <c r="J93" s="111"/>
      <c r="K93" s="111"/>
      <c r="L93" s="111"/>
      <c r="M93" s="111"/>
      <c r="N93" s="111"/>
      <c r="O93" s="111"/>
      <c r="P93" s="112"/>
      <c r="Q93" s="248">
        <f t="shared" si="14"/>
        <v>0</v>
      </c>
      <c r="R93" s="248">
        <f t="shared" si="15"/>
        <v>0</v>
      </c>
      <c r="S93" s="102"/>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row>
    <row r="94" spans="1:41" s="103" customFormat="1" ht="13.5" customHeight="1" x14ac:dyDescent="0.2">
      <c r="A94" s="24"/>
      <c r="B94" s="76"/>
      <c r="C94" s="25"/>
      <c r="D94" s="25"/>
      <c r="E94" s="25"/>
      <c r="F94" s="25"/>
      <c r="G94" s="25"/>
      <c r="H94" s="27" t="s">
        <v>914</v>
      </c>
      <c r="I94" s="24"/>
      <c r="J94" s="25"/>
      <c r="K94" s="25"/>
      <c r="L94" s="25"/>
      <c r="M94" s="25"/>
      <c r="N94" s="25"/>
      <c r="O94" s="25"/>
      <c r="P94" s="27" t="s">
        <v>914</v>
      </c>
      <c r="Q94" s="248">
        <f t="shared" si="14"/>
        <v>0</v>
      </c>
      <c r="R94" s="248">
        <f t="shared" si="15"/>
        <v>0</v>
      </c>
    </row>
    <row r="95" spans="1:41" ht="18" x14ac:dyDescent="0.25">
      <c r="A95" s="16" t="s">
        <v>204</v>
      </c>
      <c r="B95" s="34"/>
      <c r="C95" s="34"/>
      <c r="D95" s="34"/>
      <c r="E95" s="34"/>
      <c r="F95" s="34"/>
      <c r="G95" s="34"/>
      <c r="H95" s="35"/>
      <c r="I95" s="16" t="s">
        <v>219</v>
      </c>
      <c r="J95" s="19"/>
      <c r="K95" s="19"/>
      <c r="L95" s="34"/>
      <c r="M95" s="19"/>
      <c r="N95" s="19"/>
      <c r="O95" s="19"/>
      <c r="P95" s="19"/>
      <c r="Q95" s="248">
        <f t="shared" si="14"/>
        <v>0</v>
      </c>
      <c r="R95" s="248">
        <f t="shared" si="15"/>
        <v>0</v>
      </c>
    </row>
    <row r="96" spans="1:41" x14ac:dyDescent="0.2">
      <c r="A96" s="18"/>
      <c r="B96" s="19"/>
      <c r="C96" s="19"/>
      <c r="D96" s="19"/>
      <c r="E96" s="19"/>
      <c r="F96" s="19"/>
      <c r="G96" s="19"/>
      <c r="H96" s="36"/>
      <c r="I96" s="18"/>
      <c r="J96" s="19"/>
      <c r="K96" s="19"/>
      <c r="L96" s="19"/>
      <c r="M96" s="19"/>
      <c r="N96" s="19"/>
      <c r="O96" s="19"/>
      <c r="P96" s="19"/>
      <c r="Q96" s="248">
        <f t="shared" si="14"/>
        <v>0</v>
      </c>
      <c r="R96" s="248">
        <f t="shared" si="15"/>
        <v>0</v>
      </c>
    </row>
    <row r="97" spans="1:41" ht="15.75" x14ac:dyDescent="0.25">
      <c r="A97" s="37" t="s">
        <v>162</v>
      </c>
      <c r="B97" s="19"/>
      <c r="C97" s="19"/>
      <c r="D97" s="19"/>
      <c r="E97" s="19"/>
      <c r="F97" s="19"/>
      <c r="G97" s="19"/>
      <c r="H97" s="36"/>
      <c r="I97" s="37" t="s">
        <v>163</v>
      </c>
      <c r="J97" s="19"/>
      <c r="K97" s="19"/>
      <c r="L97" s="19"/>
      <c r="M97" s="19"/>
      <c r="N97" s="19"/>
      <c r="O97" s="19"/>
      <c r="P97" s="19"/>
      <c r="Q97" s="248">
        <f t="shared" si="14"/>
        <v>0</v>
      </c>
      <c r="R97" s="248">
        <f t="shared" si="15"/>
        <v>0</v>
      </c>
    </row>
    <row r="98" spans="1:41" ht="15.75" x14ac:dyDescent="0.25">
      <c r="A98" s="37" t="s">
        <v>869</v>
      </c>
      <c r="B98" s="19"/>
      <c r="C98" s="19"/>
      <c r="D98" s="19"/>
      <c r="E98" s="19"/>
      <c r="F98" s="19"/>
      <c r="G98" s="19"/>
      <c r="H98" s="36"/>
      <c r="I98" s="37" t="s">
        <v>869</v>
      </c>
      <c r="J98" s="19"/>
      <c r="K98" s="19"/>
      <c r="L98" s="19"/>
      <c r="M98" s="19"/>
      <c r="N98" s="19"/>
      <c r="O98" s="19"/>
      <c r="P98" s="19"/>
      <c r="Q98" s="248">
        <f t="shared" si="14"/>
        <v>0</v>
      </c>
      <c r="R98" s="248">
        <f t="shared" si="15"/>
        <v>0</v>
      </c>
    </row>
    <row r="99" spans="1:41" x14ac:dyDescent="0.2">
      <c r="A99" s="39"/>
      <c r="B99" s="40"/>
      <c r="C99" s="40"/>
      <c r="D99" s="40"/>
      <c r="E99" s="40"/>
      <c r="F99" s="40"/>
      <c r="G99" s="40"/>
      <c r="H99" s="40"/>
      <c r="I99" s="41"/>
      <c r="L99" s="42"/>
      <c r="P99" s="39"/>
      <c r="Q99" s="248">
        <f t="shared" si="14"/>
        <v>0</v>
      </c>
      <c r="R99" s="248">
        <f t="shared" si="15"/>
        <v>0</v>
      </c>
    </row>
    <row r="100" spans="1:41" s="57" customFormat="1" x14ac:dyDescent="0.2">
      <c r="A100" s="43"/>
      <c r="B100" s="44" t="s">
        <v>164</v>
      </c>
      <c r="C100" s="44"/>
      <c r="D100" s="44"/>
      <c r="E100" s="44"/>
      <c r="F100" s="44"/>
      <c r="G100" s="44"/>
      <c r="H100" s="45"/>
      <c r="I100" s="43"/>
      <c r="J100" s="44" t="s">
        <v>164</v>
      </c>
      <c r="K100" s="44"/>
      <c r="L100" s="44"/>
      <c r="M100" s="44"/>
      <c r="N100" s="44"/>
      <c r="O100" s="44"/>
      <c r="P100" s="45"/>
      <c r="Q100" s="248">
        <f t="shared" si="14"/>
        <v>0</v>
      </c>
      <c r="R100" s="248">
        <f t="shared" si="15"/>
        <v>0</v>
      </c>
    </row>
    <row r="101" spans="1:41" s="57" customFormat="1" x14ac:dyDescent="0.2">
      <c r="A101" s="43"/>
      <c r="B101" s="44" t="s">
        <v>165</v>
      </c>
      <c r="C101" s="44"/>
      <c r="D101" s="670" t="s">
        <v>166</v>
      </c>
      <c r="E101" s="668"/>
      <c r="F101" s="668"/>
      <c r="G101" s="668"/>
      <c r="H101" s="49" t="s">
        <v>39</v>
      </c>
      <c r="I101" s="43"/>
      <c r="J101" s="44" t="s">
        <v>165</v>
      </c>
      <c r="K101" s="44"/>
      <c r="L101" s="670" t="s">
        <v>166</v>
      </c>
      <c r="M101" s="668"/>
      <c r="N101" s="668"/>
      <c r="O101" s="668"/>
      <c r="P101" s="49" t="s">
        <v>39</v>
      </c>
      <c r="Q101" s="248">
        <f t="shared" si="14"/>
        <v>0</v>
      </c>
      <c r="R101" s="248">
        <f t="shared" si="15"/>
        <v>0</v>
      </c>
    </row>
    <row r="102" spans="1:41" s="57" customFormat="1" ht="40.5" customHeight="1" x14ac:dyDescent="0.2">
      <c r="A102" s="43"/>
      <c r="B102" s="50" t="s">
        <v>167</v>
      </c>
      <c r="C102" s="51" t="s">
        <v>168</v>
      </c>
      <c r="D102" s="52" t="s">
        <v>169</v>
      </c>
      <c r="E102" s="53" t="s">
        <v>7</v>
      </c>
      <c r="F102" s="50" t="s">
        <v>170</v>
      </c>
      <c r="G102" s="54" t="s">
        <v>171</v>
      </c>
      <c r="H102" s="55" t="s">
        <v>172</v>
      </c>
      <c r="I102" s="43"/>
      <c r="J102" s="50" t="s">
        <v>167</v>
      </c>
      <c r="K102" s="51" t="s">
        <v>168</v>
      </c>
      <c r="L102" s="52" t="s">
        <v>169</v>
      </c>
      <c r="M102" s="53" t="s">
        <v>7</v>
      </c>
      <c r="N102" s="50" t="s">
        <v>170</v>
      </c>
      <c r="O102" s="54" t="s">
        <v>171</v>
      </c>
      <c r="P102" s="55" t="s">
        <v>172</v>
      </c>
      <c r="Q102" s="248">
        <f t="shared" si="14"/>
        <v>0</v>
      </c>
      <c r="R102" s="248">
        <f t="shared" si="15"/>
        <v>0</v>
      </c>
      <c r="T102" s="56"/>
    </row>
    <row r="103" spans="1:41" ht="15.75" customHeight="1" x14ac:dyDescent="0.2">
      <c r="A103" s="62" t="s">
        <v>141</v>
      </c>
      <c r="B103" s="82">
        <f>('Pivot Table for Data Exchange'!$E$7)*100</f>
        <v>82.866190752511145</v>
      </c>
      <c r="C103" s="243">
        <f>('Pivot Table for Data Exchange'!$E$10)*100</f>
        <v>0.49154555146215406</v>
      </c>
      <c r="D103" s="249">
        <f>SUM(E103:G103)</f>
        <v>16.642263696026703</v>
      </c>
      <c r="E103" s="243">
        <f>('Pivot Table for Data Exchange'!$E$13)*100</f>
        <v>16.3363831423829</v>
      </c>
      <c r="F103" s="243">
        <f>('Pivot Table for Data Exchange'!$E$16)*100</f>
        <v>0.24920268635097992</v>
      </c>
      <c r="G103" s="60">
        <f>('Pivot Table for Data Exchange'!$E$19)*100</f>
        <v>5.6677867292822148E-2</v>
      </c>
      <c r="H103" s="243">
        <f>('Pivot Table for Data Exchange'!$E$22)*100</f>
        <v>0</v>
      </c>
      <c r="I103" s="251" t="s">
        <v>141</v>
      </c>
      <c r="J103" s="243">
        <f>('Pivot Table for Data Exchange'!$E$25)*100</f>
        <v>74.372147642050763</v>
      </c>
      <c r="K103" s="243">
        <f>('Pivot Table for Data Exchange'!$E$28)*100</f>
        <v>0.32426806159758736</v>
      </c>
      <c r="L103" s="249">
        <f>SUM(M103:O103)</f>
        <v>25.303584296351652</v>
      </c>
      <c r="M103" s="243">
        <f>('Pivot Table for Data Exchange'!$E$31)*100</f>
        <v>23.205850169473432</v>
      </c>
      <c r="N103" s="243">
        <f>('Pivot Table for Data Exchange'!$E$34)*100</f>
        <v>0</v>
      </c>
      <c r="O103" s="60">
        <f>('Pivot Table for Data Exchange'!$E$37)*100</f>
        <v>2.0977341268782195</v>
      </c>
      <c r="P103" s="243">
        <f>('Pivot Table for Data Exchange'!$E$40)*100</f>
        <v>0</v>
      </c>
      <c r="Q103" s="248">
        <f t="shared" si="14"/>
        <v>100</v>
      </c>
      <c r="R103" s="248">
        <f t="shared" si="15"/>
        <v>100</v>
      </c>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row>
    <row r="104" spans="1:41" ht="15.75" customHeight="1" x14ac:dyDescent="0.2">
      <c r="A104" s="65" t="s">
        <v>142</v>
      </c>
      <c r="B104" s="243">
        <f>('Pivot Table for Data Exchange'!$E$43)*100</f>
        <v>75.723366376855466</v>
      </c>
      <c r="C104" s="243">
        <f>('Pivot Table for Data Exchange'!$E$46)*100</f>
        <v>5.7141463181497754</v>
      </c>
      <c r="D104" s="249">
        <f t="shared" ref="D104:D106" si="16">SUM(E104:G104)</f>
        <v>18.517083992146024</v>
      </c>
      <c r="E104" s="243">
        <f>('Pivot Table for Data Exchange'!$E$49)*100</f>
        <v>18.122991202112448</v>
      </c>
      <c r="F104" s="243">
        <f>('Pivot Table for Data Exchange'!$E$52)*100</f>
        <v>0.38572902187722785</v>
      </c>
      <c r="G104" s="68">
        <f>('Pivot Table for Data Exchange'!$E$55)*100</f>
        <v>8.363768156346707E-3</v>
      </c>
      <c r="H104" s="67">
        <f>('Pivot Table for Data Exchange'!$E$58)*100</f>
        <v>4.5403312848739261E-2</v>
      </c>
      <c r="I104" s="87" t="s">
        <v>142</v>
      </c>
      <c r="J104" s="243">
        <f>('Pivot Table for Data Exchange'!$E$61)*100</f>
        <v>45.533390649688634</v>
      </c>
      <c r="K104" s="243">
        <f>('Pivot Table for Data Exchange'!$E$64)*100</f>
        <v>7.602937075936425</v>
      </c>
      <c r="L104" s="249">
        <f t="shared" ref="L104:L106" si="17">SUM(M104:O104)</f>
        <v>46.863672274374942</v>
      </c>
      <c r="M104" s="243">
        <f>('Pivot Table for Data Exchange'!$E$67)*100</f>
        <v>45.56534064504136</v>
      </c>
      <c r="N104" s="243">
        <f>('Pivot Table for Data Exchange'!$E$70)*100</f>
        <v>1.2373361836601915</v>
      </c>
      <c r="O104" s="245">
        <f>('Pivot Table for Data Exchange'!$E$73)*100</f>
        <v>6.0995445673389721E-2</v>
      </c>
      <c r="P104" s="243">
        <f>('Pivot Table for Data Exchange'!$E$76)*100</f>
        <v>0</v>
      </c>
      <c r="Q104" s="248">
        <f t="shared" si="14"/>
        <v>100</v>
      </c>
      <c r="R104" s="248">
        <f t="shared" si="15"/>
        <v>100</v>
      </c>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row>
    <row r="105" spans="1:41" ht="15.75" customHeight="1" x14ac:dyDescent="0.2">
      <c r="A105" s="65" t="s">
        <v>143</v>
      </c>
      <c r="B105" s="243">
        <f>('Pivot Table for Data Exchange'!$E$79)*100</f>
        <v>98.52044386683994</v>
      </c>
      <c r="C105" s="243">
        <f>('Pivot Table for Data Exchange'!$E$82)*100</f>
        <v>0</v>
      </c>
      <c r="D105" s="249">
        <f t="shared" si="16"/>
        <v>1.479556133160052</v>
      </c>
      <c r="E105" s="243">
        <f>('Pivot Table for Data Exchange'!$E$85)*100</f>
        <v>1.479556133160052</v>
      </c>
      <c r="F105" s="243">
        <f>('Pivot Table for Data Exchange'!$E$88)*100</f>
        <v>0</v>
      </c>
      <c r="G105" s="245">
        <f>('Pivot Table for Data Exchange'!$E$91)*100</f>
        <v>0</v>
      </c>
      <c r="H105" s="243">
        <f>('Pivot Table for Data Exchange'!$E$94)*100</f>
        <v>0</v>
      </c>
      <c r="I105" s="87" t="s">
        <v>143</v>
      </c>
      <c r="J105" s="243">
        <f>('Pivot Table for Data Exchange'!$E$97)*100</f>
        <v>96.627727573286322</v>
      </c>
      <c r="K105" s="243">
        <f>('Pivot Table for Data Exchange'!$E$100)*100</f>
        <v>0</v>
      </c>
      <c r="L105" s="249">
        <f t="shared" si="17"/>
        <v>3.3722724267136877</v>
      </c>
      <c r="M105" s="243">
        <f>('Pivot Table for Data Exchange'!$E$103)*100</f>
        <v>3.3722724267136877</v>
      </c>
      <c r="N105" s="243">
        <f>('Pivot Table for Data Exchange'!$E$106)*100</f>
        <v>0</v>
      </c>
      <c r="O105" s="245">
        <f>('Pivot Table for Data Exchange'!$E$109)*100</f>
        <v>0</v>
      </c>
      <c r="P105" s="243">
        <f>('Pivot Table for Data Exchange'!$E$112)*100</f>
        <v>0</v>
      </c>
      <c r="Q105" s="248">
        <f t="shared" si="14"/>
        <v>99.999999999999986</v>
      </c>
      <c r="R105" s="248">
        <f t="shared" si="15"/>
        <v>100.00000000000001</v>
      </c>
      <c r="S105" s="98"/>
      <c r="T105" s="104"/>
      <c r="U105" s="98"/>
      <c r="V105" s="98"/>
      <c r="W105" s="98"/>
      <c r="X105" s="98"/>
      <c r="Y105" s="98"/>
      <c r="Z105" s="98"/>
      <c r="AA105" s="98"/>
      <c r="AB105" s="98"/>
      <c r="AC105" s="98"/>
      <c r="AD105" s="98"/>
      <c r="AE105" s="98"/>
      <c r="AF105" s="98"/>
      <c r="AG105" s="98"/>
      <c r="AH105" s="98"/>
      <c r="AI105" s="98"/>
      <c r="AJ105" s="98"/>
      <c r="AK105" s="98"/>
      <c r="AL105" s="98"/>
      <c r="AM105" s="98"/>
      <c r="AN105" s="98"/>
      <c r="AO105" s="98"/>
    </row>
    <row r="106" spans="1:41" ht="15.75" customHeight="1" x14ac:dyDescent="0.2">
      <c r="A106" s="65" t="s">
        <v>174</v>
      </c>
      <c r="B106" s="243">
        <f>('Pivot Table for Data Exchange'!$E$115)*100</f>
        <v>83.609110313626772</v>
      </c>
      <c r="C106" s="243">
        <f>('Pivot Table for Data Exchange'!$E$118)*100</f>
        <v>1.0738400571467446</v>
      </c>
      <c r="D106" s="249">
        <f t="shared" si="16"/>
        <v>15.31704962922648</v>
      </c>
      <c r="E106" s="243">
        <f>('Pivot Table for Data Exchange'!$E$121)*100</f>
        <v>13.284704741819173</v>
      </c>
      <c r="F106" s="243">
        <f>('Pivot Table for Data Exchange'!$E$124)*100</f>
        <v>0</v>
      </c>
      <c r="G106" s="245">
        <f>('Pivot Table for Data Exchange'!$E$127)*100</f>
        <v>2.0323448874073065</v>
      </c>
      <c r="H106" s="243">
        <f>('Pivot Table for Data Exchange'!$E$130)*100</f>
        <v>0</v>
      </c>
      <c r="I106" s="87" t="s">
        <v>174</v>
      </c>
      <c r="J106" s="243">
        <f>('Pivot Table for Data Exchange'!$E$133)*100</f>
        <v>55.949944907917512</v>
      </c>
      <c r="K106" s="243">
        <f>('Pivot Table for Data Exchange'!$E$136)*100</f>
        <v>18.364027493572589</v>
      </c>
      <c r="L106" s="249">
        <f t="shared" si="17"/>
        <v>25.686027598509892</v>
      </c>
      <c r="M106" s="243">
        <f>('Pivot Table for Data Exchange'!$E$139)*100</f>
        <v>21.201269741329558</v>
      </c>
      <c r="N106" s="243">
        <f>('Pivot Table for Data Exchange'!$E$142)*100</f>
        <v>0</v>
      </c>
      <c r="O106" s="245">
        <f>('Pivot Table for Data Exchange'!$E$145)*100</f>
        <v>4.4847578571803348</v>
      </c>
      <c r="P106" s="243">
        <f>('Pivot Table for Data Exchange'!$E$148)*100</f>
        <v>0</v>
      </c>
      <c r="Q106" s="248">
        <f t="shared" si="14"/>
        <v>99.999999999999986</v>
      </c>
      <c r="R106" s="248">
        <f t="shared" si="15"/>
        <v>100</v>
      </c>
      <c r="S106" s="98"/>
      <c r="U106" s="98"/>
      <c r="V106" s="98"/>
      <c r="W106" s="98"/>
      <c r="X106" s="98"/>
      <c r="Y106" s="98"/>
      <c r="Z106" s="98"/>
      <c r="AA106" s="98"/>
      <c r="AB106" s="98"/>
      <c r="AC106" s="98"/>
      <c r="AD106" s="98"/>
      <c r="AE106" s="98"/>
      <c r="AF106" s="98"/>
      <c r="AG106" s="98"/>
      <c r="AH106" s="98"/>
      <c r="AI106" s="98"/>
      <c r="AJ106" s="98"/>
      <c r="AK106" s="98"/>
      <c r="AL106" s="98"/>
      <c r="AM106" s="98"/>
      <c r="AN106" s="98"/>
      <c r="AO106" s="98"/>
    </row>
    <row r="107" spans="1:41" ht="11.25" customHeight="1" x14ac:dyDescent="0.2">
      <c r="A107" s="65"/>
      <c r="B107" s="243"/>
      <c r="C107" s="243"/>
      <c r="D107" s="249"/>
      <c r="E107" s="243"/>
      <c r="F107" s="243"/>
      <c r="G107" s="245"/>
      <c r="H107" s="243"/>
      <c r="I107" s="87"/>
      <c r="J107" s="243"/>
      <c r="K107" s="243"/>
      <c r="L107" s="249"/>
      <c r="M107" s="243"/>
      <c r="N107" s="243"/>
      <c r="O107" s="245"/>
      <c r="P107" s="243"/>
      <c r="Q107" s="248">
        <f t="shared" si="14"/>
        <v>0</v>
      </c>
      <c r="R107" s="248">
        <f t="shared" si="15"/>
        <v>0</v>
      </c>
      <c r="S107" s="98"/>
      <c r="U107" s="98"/>
      <c r="V107" s="98"/>
      <c r="W107" s="98"/>
      <c r="X107" s="98"/>
      <c r="Y107" s="98"/>
      <c r="Z107" s="98"/>
      <c r="AA107" s="98"/>
      <c r="AB107" s="98"/>
      <c r="AC107" s="98"/>
      <c r="AD107" s="98"/>
      <c r="AE107" s="98"/>
      <c r="AF107" s="98"/>
      <c r="AG107" s="98"/>
      <c r="AH107" s="98"/>
      <c r="AI107" s="98"/>
      <c r="AJ107" s="98"/>
      <c r="AK107" s="98"/>
      <c r="AL107" s="98"/>
      <c r="AM107" s="98"/>
      <c r="AN107" s="98"/>
      <c r="AO107" s="98"/>
    </row>
    <row r="108" spans="1:41" ht="15.75" customHeight="1" x14ac:dyDescent="0.2">
      <c r="A108" s="65" t="s">
        <v>145</v>
      </c>
      <c r="B108" s="243">
        <f>('Pivot Table for Data Exchange'!$E$151)*100</f>
        <v>86.886048025224255</v>
      </c>
      <c r="C108" s="243">
        <f>('Pivot Table for Data Exchange'!$E$154)*100</f>
        <v>1.5658380831505052</v>
      </c>
      <c r="D108" s="249">
        <f t="shared" ref="D108:D109" si="18">SUM(E108:G108)</f>
        <v>11.548113891625249</v>
      </c>
      <c r="E108" s="243">
        <f>('Pivot Table for Data Exchange'!$E$157)*100</f>
        <v>11.522117172782549</v>
      </c>
      <c r="F108" s="67">
        <f>('Pivot Table for Data Exchange'!$E$160)*100</f>
        <v>1.0305842112641926E-2</v>
      </c>
      <c r="G108" s="68">
        <f>('Pivot Table for Data Exchange'!$E$163)*100</f>
        <v>1.5690876730058426E-2</v>
      </c>
      <c r="H108" s="243">
        <f>('Pivot Table for Data Exchange'!$E$166)*100</f>
        <v>0</v>
      </c>
      <c r="I108" s="87" t="s">
        <v>145</v>
      </c>
      <c r="J108" s="243">
        <f>('Pivot Table for Data Exchange'!$E$169)*100</f>
        <v>0</v>
      </c>
      <c r="K108" s="243">
        <f>('Pivot Table for Data Exchange'!$E$172)*100</f>
        <v>0</v>
      </c>
      <c r="L108" s="249">
        <f t="shared" ref="L108:L109" si="19">SUM(M108:O108)</f>
        <v>0</v>
      </c>
      <c r="M108" s="243">
        <f>('Pivot Table for Data Exchange'!$E$175)*100</f>
        <v>0</v>
      </c>
      <c r="N108" s="243">
        <f>('Pivot Table for Data Exchange'!$E$178)*100</f>
        <v>0</v>
      </c>
      <c r="O108" s="245">
        <f>('Pivot Table for Data Exchange'!$E$181)*100</f>
        <v>0</v>
      </c>
      <c r="P108" s="243">
        <f>('Pivot Table for Data Exchange'!$E$184)*100</f>
        <v>0</v>
      </c>
      <c r="Q108" s="248">
        <f t="shared" si="14"/>
        <v>100.00000000000001</v>
      </c>
      <c r="R108" s="248">
        <f t="shared" si="15"/>
        <v>0</v>
      </c>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row>
    <row r="109" spans="1:41" ht="15.75" customHeight="1" x14ac:dyDescent="0.2">
      <c r="A109" s="65" t="s">
        <v>146</v>
      </c>
      <c r="B109" s="243">
        <f>('Pivot Table for Data Exchange'!$E$187)*100</f>
        <v>76.367567895479596</v>
      </c>
      <c r="C109" s="243">
        <f>('Pivot Table for Data Exchange'!$E$190)*100</f>
        <v>7.4438381619529883</v>
      </c>
      <c r="D109" s="249">
        <f t="shared" si="18"/>
        <v>16.188593942567415</v>
      </c>
      <c r="E109" s="243">
        <f>('Pivot Table for Data Exchange'!$E$193)*100</f>
        <v>13.343864343139572</v>
      </c>
      <c r="F109" s="243">
        <f>('Pivot Table for Data Exchange'!$E$196)*100</f>
        <v>2.7111895837191335</v>
      </c>
      <c r="G109" s="245">
        <f>('Pivot Table for Data Exchange'!$E$199)*100</f>
        <v>0.13354001570871193</v>
      </c>
      <c r="H109" s="243">
        <f>('Pivot Table for Data Exchange'!$E$202)*100</f>
        <v>0</v>
      </c>
      <c r="I109" s="87" t="s">
        <v>146</v>
      </c>
      <c r="J109" s="243">
        <f>('Pivot Table for Data Exchange'!$E$205)*100</f>
        <v>43.902562251894622</v>
      </c>
      <c r="K109" s="243">
        <f>('Pivot Table for Data Exchange'!$E$208)*100</f>
        <v>4.0880548538433779</v>
      </c>
      <c r="L109" s="249">
        <f t="shared" si="19"/>
        <v>52.009382894262004</v>
      </c>
      <c r="M109" s="243">
        <f>('Pivot Table for Data Exchange'!$E$211)*100</f>
        <v>48.963551064597617</v>
      </c>
      <c r="N109" s="243">
        <f>('Pivot Table for Data Exchange'!$E$214)*100</f>
        <v>3.0198484301696138</v>
      </c>
      <c r="O109" s="68">
        <f>('Pivot Table for Data Exchange'!$E$217)*100</f>
        <v>2.5983399494767231E-2</v>
      </c>
      <c r="P109" s="243">
        <f>('Pivot Table for Data Exchange'!$E$220)*100</f>
        <v>0</v>
      </c>
      <c r="Q109" s="248">
        <f t="shared" si="14"/>
        <v>100</v>
      </c>
      <c r="R109" s="248">
        <f t="shared" si="15"/>
        <v>100</v>
      </c>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row>
    <row r="110" spans="1:41" ht="15.75" customHeight="1" x14ac:dyDescent="0.2">
      <c r="A110" s="244" t="s">
        <v>147</v>
      </c>
      <c r="B110" s="243">
        <f>('Pivot Table for Data Exchange'!$E$223)*100</f>
        <v>0</v>
      </c>
      <c r="C110" s="243">
        <f>('Pivot Table for Data Exchange'!$E$226)*100</f>
        <v>0</v>
      </c>
      <c r="D110" s="249">
        <f>SUM(E110:G110)</f>
        <v>0</v>
      </c>
      <c r="E110" s="243">
        <f>('Pivot Table for Data Exchange'!$E$229)*100</f>
        <v>0</v>
      </c>
      <c r="F110" s="243">
        <f>('Pivot Table for Data Exchange'!$E$232)*100</f>
        <v>0</v>
      </c>
      <c r="G110" s="245">
        <f>('Pivot Table for Data Exchange'!$E$235)*100</f>
        <v>0</v>
      </c>
      <c r="H110" s="243">
        <f>('Pivot Table for Data Exchange'!$E$238)*100</f>
        <v>0</v>
      </c>
      <c r="I110" s="87" t="s">
        <v>147</v>
      </c>
      <c r="J110" s="243">
        <f>('Pivot Table for Data Exchange'!$E$241)*100</f>
        <v>0</v>
      </c>
      <c r="K110" s="243">
        <f>('Pivot Table for Data Exchange'!$E$244)*100</f>
        <v>0</v>
      </c>
      <c r="L110" s="249">
        <f>SUM(M110:O110)</f>
        <v>0</v>
      </c>
      <c r="M110" s="243">
        <f>('Pivot Table for Data Exchange'!$E$247)*100</f>
        <v>0</v>
      </c>
      <c r="N110" s="243">
        <f>('Pivot Table for Data Exchange'!$E$250)*100</f>
        <v>0</v>
      </c>
      <c r="O110" s="245">
        <f>('Pivot Table for Data Exchange'!$E$253)*100</f>
        <v>0</v>
      </c>
      <c r="P110" s="243">
        <f>('Pivot Table for Data Exchange'!$E$256)*100</f>
        <v>0</v>
      </c>
      <c r="Q110" s="248">
        <f t="shared" si="14"/>
        <v>0</v>
      </c>
      <c r="R110" s="248">
        <f t="shared" si="15"/>
        <v>0</v>
      </c>
      <c r="S110" s="98"/>
      <c r="T110" s="104"/>
      <c r="U110" s="98"/>
      <c r="V110" s="98"/>
      <c r="W110" s="98"/>
      <c r="X110" s="98"/>
      <c r="Y110" s="98"/>
      <c r="Z110" s="98"/>
      <c r="AA110" s="98"/>
      <c r="AB110" s="98"/>
      <c r="AC110" s="98"/>
      <c r="AD110" s="98"/>
      <c r="AE110" s="98"/>
      <c r="AF110" s="98"/>
      <c r="AG110" s="98"/>
      <c r="AH110" s="98"/>
      <c r="AI110" s="98"/>
      <c r="AJ110" s="98"/>
      <c r="AK110" s="98"/>
      <c r="AL110" s="98"/>
      <c r="AM110" s="98"/>
      <c r="AN110" s="98"/>
      <c r="AO110" s="98"/>
    </row>
    <row r="111" spans="1:41" ht="15.75" customHeight="1" x14ac:dyDescent="0.2">
      <c r="A111" s="65" t="s">
        <v>177</v>
      </c>
      <c r="B111" s="243">
        <f>('Pivot Table for Data Exchange'!$E$259)*100</f>
        <v>91.869301353437635</v>
      </c>
      <c r="C111" s="243">
        <f>('Pivot Table for Data Exchange'!$E$262)*100</f>
        <v>2.0511737734895137</v>
      </c>
      <c r="D111" s="249">
        <f>SUM(E111:G111)</f>
        <v>6.0795248730728479</v>
      </c>
      <c r="E111" s="243">
        <f>('Pivot Table for Data Exchange'!$E$265)*100</f>
        <v>6.0692583502666393</v>
      </c>
      <c r="F111" s="67">
        <f>('Pivot Table for Data Exchange'!$E$268)*100</f>
        <v>1.0266522806208728E-2</v>
      </c>
      <c r="G111" s="245">
        <f>('Pivot Table for Data Exchange'!$E$271)*100</f>
        <v>0</v>
      </c>
      <c r="H111" s="243">
        <f>('Pivot Table for Data Exchange'!$E$274)*100</f>
        <v>0</v>
      </c>
      <c r="I111" s="87" t="s">
        <v>177</v>
      </c>
      <c r="J111" s="243">
        <f>('Pivot Table for Data Exchange'!$E$277)*100</f>
        <v>60.822259720171559</v>
      </c>
      <c r="K111" s="243">
        <f>('Pivot Table for Data Exchange'!$E$280)*100</f>
        <v>22.627082893904241</v>
      </c>
      <c r="L111" s="249">
        <f>SUM(M111:O111)</f>
        <v>16.550657385924207</v>
      </c>
      <c r="M111" s="243">
        <f>('Pivot Table for Data Exchange'!$E$283)*100</f>
        <v>16.445194403431064</v>
      </c>
      <c r="N111" s="243">
        <f>('Pivot Table for Data Exchange'!$E$286)*100</f>
        <v>0.1054629824931449</v>
      </c>
      <c r="O111" s="245">
        <f>('Pivot Table for Data Exchange'!$E$289)*100</f>
        <v>0</v>
      </c>
      <c r="P111" s="243">
        <f>('Pivot Table for Data Exchange'!$E$292)*100</f>
        <v>0</v>
      </c>
      <c r="Q111" s="248">
        <f t="shared" si="14"/>
        <v>99.999999999999986</v>
      </c>
      <c r="R111" s="248">
        <f t="shared" si="15"/>
        <v>100.00000000000001</v>
      </c>
      <c r="S111" s="98"/>
      <c r="U111" s="98"/>
      <c r="V111" s="98"/>
      <c r="W111" s="98"/>
      <c r="X111" s="98"/>
      <c r="Y111" s="98"/>
      <c r="Z111" s="98"/>
      <c r="AA111" s="98"/>
      <c r="AB111" s="98"/>
      <c r="AC111" s="98"/>
      <c r="AD111" s="98"/>
      <c r="AE111" s="98"/>
      <c r="AF111" s="98"/>
      <c r="AG111" s="98"/>
      <c r="AH111" s="98"/>
      <c r="AI111" s="98"/>
      <c r="AJ111" s="98"/>
      <c r="AK111" s="98"/>
      <c r="AL111" s="98"/>
      <c r="AM111" s="98"/>
      <c r="AN111" s="98"/>
      <c r="AO111" s="98"/>
    </row>
    <row r="112" spans="1:41" ht="11.25" customHeight="1" x14ac:dyDescent="0.2">
      <c r="A112" s="65"/>
      <c r="B112" s="243"/>
      <c r="C112" s="243"/>
      <c r="D112" s="249"/>
      <c r="E112" s="243"/>
      <c r="F112" s="243"/>
      <c r="G112" s="245"/>
      <c r="H112" s="243"/>
      <c r="I112" s="87"/>
      <c r="J112" s="243"/>
      <c r="K112" s="243"/>
      <c r="L112" s="249"/>
      <c r="M112" s="243"/>
      <c r="N112" s="243"/>
      <c r="O112" s="245"/>
      <c r="P112" s="243"/>
      <c r="Q112" s="248">
        <f t="shared" si="14"/>
        <v>0</v>
      </c>
      <c r="R112" s="248">
        <f t="shared" si="15"/>
        <v>0</v>
      </c>
      <c r="S112" s="98"/>
      <c r="U112" s="98"/>
      <c r="V112" s="98"/>
      <c r="W112" s="98"/>
      <c r="X112" s="98"/>
      <c r="Y112" s="98"/>
      <c r="Z112" s="98"/>
      <c r="AA112" s="98"/>
      <c r="AB112" s="98"/>
      <c r="AC112" s="98"/>
      <c r="AD112" s="98"/>
      <c r="AE112" s="98"/>
      <c r="AF112" s="98"/>
      <c r="AG112" s="98"/>
      <c r="AH112" s="98"/>
      <c r="AI112" s="98"/>
      <c r="AJ112" s="98"/>
      <c r="AK112" s="98"/>
      <c r="AL112" s="98"/>
      <c r="AM112" s="98"/>
      <c r="AN112" s="98"/>
      <c r="AO112" s="98"/>
    </row>
    <row r="113" spans="1:41" ht="15.75" customHeight="1" x14ac:dyDescent="0.2">
      <c r="A113" s="65" t="s">
        <v>148</v>
      </c>
      <c r="B113" s="243">
        <f>('Pivot Table for Data Exchange'!$E$295)*100</f>
        <v>0</v>
      </c>
      <c r="C113" s="243">
        <f>('Pivot Table for Data Exchange'!$E$298)*100</f>
        <v>0</v>
      </c>
      <c r="D113" s="249">
        <f>SUM(E113:G113)</f>
        <v>0</v>
      </c>
      <c r="E113" s="243">
        <f>('Pivot Table for Data Exchange'!$E$301)*100</f>
        <v>0</v>
      </c>
      <c r="F113" s="243">
        <f>('Pivot Table for Data Exchange'!$E$304)*100</f>
        <v>0</v>
      </c>
      <c r="G113" s="245">
        <f>('Pivot Table for Data Exchange'!$E$307)*100</f>
        <v>0</v>
      </c>
      <c r="H113" s="243">
        <f>('Pivot Table for Data Exchange'!$E$310)*100</f>
        <v>0</v>
      </c>
      <c r="I113" s="87" t="s">
        <v>148</v>
      </c>
      <c r="J113" s="243">
        <f>('Pivot Table for Data Exchange'!$E$313)*100</f>
        <v>0</v>
      </c>
      <c r="K113" s="243">
        <f>('Pivot Table for Data Exchange'!$E$316)*100</f>
        <v>0</v>
      </c>
      <c r="L113" s="249">
        <f>SUM(M113:O113)</f>
        <v>0</v>
      </c>
      <c r="M113" s="243">
        <f>('Pivot Table for Data Exchange'!$E$319)*100</f>
        <v>0</v>
      </c>
      <c r="N113" s="243">
        <f>('Pivot Table for Data Exchange'!$E$322)*100</f>
        <v>0</v>
      </c>
      <c r="O113" s="245">
        <f>('Pivot Table for Data Exchange'!$E$325)*100</f>
        <v>0</v>
      </c>
      <c r="P113" s="243">
        <f>('Pivot Table for Data Exchange'!$E$328)*100</f>
        <v>0</v>
      </c>
      <c r="Q113" s="248">
        <f t="shared" si="14"/>
        <v>0</v>
      </c>
      <c r="R113" s="248">
        <f t="shared" si="15"/>
        <v>0</v>
      </c>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row>
    <row r="114" spans="1:41" ht="15.75" customHeight="1" x14ac:dyDescent="0.2">
      <c r="A114" s="65" t="s">
        <v>149</v>
      </c>
      <c r="B114" s="243">
        <f>('Pivot Table for Data Exchange'!$E$331)*100</f>
        <v>91.670000432668459</v>
      </c>
      <c r="C114" s="243">
        <f>('Pivot Table for Data Exchange'!$E$334)*100</f>
        <v>0.93456388682724212</v>
      </c>
      <c r="D114" s="249">
        <f>SUM(E114:G114)</f>
        <v>7.3954356805042911</v>
      </c>
      <c r="E114" s="243">
        <f>('Pivot Table for Data Exchange'!$E$337)*100</f>
        <v>7.3295369448946781</v>
      </c>
      <c r="F114" s="67">
        <f>('Pivot Table for Data Exchange'!$E$340)*100</f>
        <v>2.9288326937605882E-2</v>
      </c>
      <c r="G114" s="68">
        <f>('Pivot Table for Data Exchange'!$E$343)*100</f>
        <v>3.661040867200735E-2</v>
      </c>
      <c r="H114" s="243">
        <f>('Pivot Table for Data Exchange'!$E$346)*100</f>
        <v>0</v>
      </c>
      <c r="I114" s="87" t="s">
        <v>149</v>
      </c>
      <c r="J114" s="243">
        <f>('Pivot Table for Data Exchange'!$E$349)*100</f>
        <v>69.809821175134829</v>
      </c>
      <c r="K114" s="243">
        <f>('Pivot Table for Data Exchange'!$E$352)*100</f>
        <v>7.2646418771880024</v>
      </c>
      <c r="L114" s="249">
        <f>SUM(M114:O114)</f>
        <v>22.92553694767717</v>
      </c>
      <c r="M114" s="243">
        <f>('Pivot Table for Data Exchange'!$E$355)*100</f>
        <v>22.859936291670611</v>
      </c>
      <c r="N114" s="67">
        <f>('Pivot Table for Data Exchange'!$E$358)*100</f>
        <v>1.3246286309016937E-2</v>
      </c>
      <c r="O114" s="245">
        <f>('Pivot Table for Data Exchange'!$E$361)*100</f>
        <v>5.2354369697543125E-2</v>
      </c>
      <c r="P114" s="243">
        <f>('Pivot Table for Data Exchange'!$E$364)*100</f>
        <v>0</v>
      </c>
      <c r="Q114" s="248">
        <f t="shared" si="14"/>
        <v>100</v>
      </c>
      <c r="R114" s="248">
        <f t="shared" si="15"/>
        <v>100</v>
      </c>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row>
    <row r="115" spans="1:41" ht="15.75" customHeight="1" x14ac:dyDescent="0.2">
      <c r="A115" s="65" t="s">
        <v>150</v>
      </c>
      <c r="B115" s="243">
        <f>('Pivot Table for Data Exchange'!$E$367)*100</f>
        <v>86.41307528468289</v>
      </c>
      <c r="C115" s="243">
        <f>('Pivot Table for Data Exchange'!$E$370)*100</f>
        <v>0.98036259937964754</v>
      </c>
      <c r="D115" s="249">
        <f>SUM(E115:G115)</f>
        <v>12.606562115937454</v>
      </c>
      <c r="E115" s="243">
        <f>('Pivot Table for Data Exchange'!$E$373)*100</f>
        <v>11.782617717110059</v>
      </c>
      <c r="F115" s="243">
        <f>('Pivot Table for Data Exchange'!$E$376)*100</f>
        <v>0.17486207000512527</v>
      </c>
      <c r="G115" s="245">
        <f>('Pivot Table for Data Exchange'!$E$379)*100</f>
        <v>0.64908232882227024</v>
      </c>
      <c r="H115" s="243">
        <f>('Pivot Table for Data Exchange'!$E$382)*100</f>
        <v>0</v>
      </c>
      <c r="I115" s="87" t="s">
        <v>150</v>
      </c>
      <c r="J115" s="243">
        <f>('Pivot Table for Data Exchange'!$E$385)*100</f>
        <v>86.85432385374348</v>
      </c>
      <c r="K115" s="243">
        <f>('Pivot Table for Data Exchange'!$E$388)*100</f>
        <v>9.94942376254042E-2</v>
      </c>
      <c r="L115" s="249">
        <f>SUM(M115:O115)</f>
        <v>13.046181908631125</v>
      </c>
      <c r="M115" s="243">
        <f>('Pivot Table for Data Exchange'!$E$391)*100</f>
        <v>8.3264240112760142</v>
      </c>
      <c r="N115" s="243">
        <f>('Pivot Table for Data Exchange'!$E$394)*100</f>
        <v>1.7204211922726143</v>
      </c>
      <c r="O115" s="245">
        <f>('Pivot Table for Data Exchange'!$E$397)*100</f>
        <v>2.9993367050824973</v>
      </c>
      <c r="P115" s="243">
        <f>('Pivot Table for Data Exchange'!$E$400)*100</f>
        <v>0</v>
      </c>
      <c r="Q115" s="248">
        <f t="shared" si="14"/>
        <v>99.999999999999986</v>
      </c>
      <c r="R115" s="248">
        <f t="shared" si="15"/>
        <v>100.00000000000001</v>
      </c>
      <c r="S115" s="98"/>
      <c r="T115" s="104"/>
      <c r="U115" s="98"/>
      <c r="V115" s="98"/>
      <c r="W115" s="98"/>
      <c r="X115" s="98"/>
      <c r="Y115" s="98"/>
      <c r="Z115" s="98"/>
      <c r="AA115" s="98"/>
      <c r="AB115" s="98"/>
      <c r="AC115" s="98"/>
      <c r="AD115" s="98"/>
      <c r="AE115" s="98"/>
      <c r="AF115" s="98"/>
      <c r="AG115" s="98"/>
      <c r="AH115" s="98"/>
      <c r="AI115" s="98"/>
      <c r="AJ115" s="98"/>
      <c r="AK115" s="98"/>
      <c r="AL115" s="98"/>
      <c r="AM115" s="98"/>
      <c r="AN115" s="98"/>
      <c r="AO115" s="98"/>
    </row>
    <row r="116" spans="1:41" ht="15.75" customHeight="1" x14ac:dyDescent="0.2">
      <c r="A116" s="65" t="s">
        <v>151</v>
      </c>
      <c r="B116" s="243">
        <f>('Pivot Table for Data Exchange'!$E$403)*100</f>
        <v>97.733185057588841</v>
      </c>
      <c r="C116" s="243">
        <f>('Pivot Table for Data Exchange'!$E$406)*100</f>
        <v>0.82783624109988041</v>
      </c>
      <c r="D116" s="249">
        <f>SUM(E116:G116)</f>
        <v>1.4389787013112725</v>
      </c>
      <c r="E116" s="243">
        <f>('Pivot Table for Data Exchange'!$E$409)*100</f>
        <v>1.4389787013112725</v>
      </c>
      <c r="F116" s="243">
        <f>('Pivot Table for Data Exchange'!$E$412)*100</f>
        <v>0</v>
      </c>
      <c r="G116" s="245">
        <f>('Pivot Table for Data Exchange'!$E$415)*100</f>
        <v>0</v>
      </c>
      <c r="H116" s="243">
        <f>('Pivot Table for Data Exchange'!$E$418)*100</f>
        <v>0</v>
      </c>
      <c r="I116" s="87" t="s">
        <v>151</v>
      </c>
      <c r="J116" s="243">
        <f>('Pivot Table for Data Exchange'!$E$421)*100</f>
        <v>63.054636550531661</v>
      </c>
      <c r="K116" s="243">
        <f>('Pivot Table for Data Exchange'!$E$424)*100</f>
        <v>26.374763441299404</v>
      </c>
      <c r="L116" s="249">
        <f>SUM(M116:O116)</f>
        <v>10.570600008168933</v>
      </c>
      <c r="M116" s="243">
        <f>('Pivot Table for Data Exchange'!$E$427)*100</f>
        <v>10.431728137891598</v>
      </c>
      <c r="N116" s="243">
        <f>('Pivot Table for Data Exchange'!$E$430)*100</f>
        <v>0.12253400318588407</v>
      </c>
      <c r="O116" s="68">
        <f>('Pivot Table for Data Exchange'!$E$433)*100</f>
        <v>1.633786709145121E-2</v>
      </c>
      <c r="P116" s="243">
        <f>('Pivot Table for Data Exchange'!$E$436)*100</f>
        <v>0</v>
      </c>
      <c r="Q116" s="248">
        <f t="shared" si="14"/>
        <v>99.999999999999986</v>
      </c>
      <c r="R116" s="248">
        <f t="shared" si="15"/>
        <v>100</v>
      </c>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row>
    <row r="117" spans="1:41" ht="11.25" customHeight="1" x14ac:dyDescent="0.2">
      <c r="A117" s="65"/>
      <c r="B117" s="243"/>
      <c r="C117" s="243"/>
      <c r="D117" s="249"/>
      <c r="E117" s="243"/>
      <c r="F117" s="243"/>
      <c r="G117" s="245"/>
      <c r="H117" s="243"/>
      <c r="I117" s="87"/>
      <c r="J117" s="243"/>
      <c r="K117" s="243"/>
      <c r="L117" s="249"/>
      <c r="M117" s="243"/>
      <c r="N117" s="243"/>
      <c r="O117" s="245"/>
      <c r="P117" s="243"/>
      <c r="Q117" s="248">
        <f t="shared" si="14"/>
        <v>0</v>
      </c>
      <c r="R117" s="248">
        <f t="shared" si="15"/>
        <v>0</v>
      </c>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row>
    <row r="118" spans="1:41" ht="15.75" customHeight="1" x14ac:dyDescent="0.2">
      <c r="A118" s="65" t="s">
        <v>152</v>
      </c>
      <c r="B118" s="243">
        <f>('Pivot Table for Data Exchange'!$E$439)*100</f>
        <v>77.035853251806557</v>
      </c>
      <c r="C118" s="243">
        <f>('Pivot Table for Data Exchange'!$E$442)*100</f>
        <v>1.8459329256994628</v>
      </c>
      <c r="D118" s="249">
        <f>SUM(E118:G118)</f>
        <v>20.317911660324114</v>
      </c>
      <c r="E118" s="243">
        <f>('Pivot Table for Data Exchange'!$E$445)*100</f>
        <v>12.950095732196901</v>
      </c>
      <c r="F118" s="243">
        <f>('Pivot Table for Data Exchange'!$E$448)*100</f>
        <v>0.47052493550548025</v>
      </c>
      <c r="G118" s="245">
        <f>('Pivot Table for Data Exchange'!$E$451)*100</f>
        <v>6.8972909926217323</v>
      </c>
      <c r="H118" s="243">
        <f>('Pivot Table for Data Exchange'!$E$454)*100</f>
        <v>0.80030216216986638</v>
      </c>
      <c r="I118" s="87" t="s">
        <v>152</v>
      </c>
      <c r="J118" s="243">
        <f>('Pivot Table for Data Exchange'!$E$457)*100</f>
        <v>36.657502765788735</v>
      </c>
      <c r="K118" s="243">
        <f>('Pivot Table for Data Exchange'!$E$460)*100</f>
        <v>1.8921318652099388</v>
      </c>
      <c r="L118" s="249">
        <f>SUM(M118:O118)</f>
        <v>58.363602695041521</v>
      </c>
      <c r="M118" s="243">
        <f>('Pivot Table for Data Exchange'!$E$463)*100</f>
        <v>20.905564339605618</v>
      </c>
      <c r="N118" s="243">
        <f>('Pivot Table for Data Exchange'!$E$466)*100</f>
        <v>0.80053558964716609</v>
      </c>
      <c r="O118" s="245">
        <f>('Pivot Table for Data Exchange'!$E$469)*100</f>
        <v>36.657502765788735</v>
      </c>
      <c r="P118" s="243">
        <f>('Pivot Table for Data Exchange'!$E$472)*100</f>
        <v>3.0867626739598024</v>
      </c>
      <c r="Q118" s="248">
        <f t="shared" si="14"/>
        <v>100</v>
      </c>
      <c r="R118" s="248">
        <f t="shared" si="15"/>
        <v>99.999999999999986</v>
      </c>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row>
    <row r="119" spans="1:41" ht="15.75" customHeight="1" x14ac:dyDescent="0.2">
      <c r="A119" s="65" t="s">
        <v>153</v>
      </c>
      <c r="B119" s="243">
        <f>('Pivot Table for Data Exchange'!$E$475)*100</f>
        <v>86.557394698134885</v>
      </c>
      <c r="C119" s="243">
        <f>('Pivot Table for Data Exchange'!$E$478)*100</f>
        <v>2.5187516936679706</v>
      </c>
      <c r="D119" s="249">
        <f>SUM(E119:G119)</f>
        <v>10.923853608197145</v>
      </c>
      <c r="E119" s="243">
        <f>('Pivot Table for Data Exchange'!$E$481)*100</f>
        <v>10.453652272770144</v>
      </c>
      <c r="F119" s="243">
        <f>('Pivot Table for Data Exchange'!$E$484)*100</f>
        <v>0.24154178189743264</v>
      </c>
      <c r="G119" s="245">
        <f>('Pivot Table for Data Exchange'!$E$487)*100</f>
        <v>0.22865955352956957</v>
      </c>
      <c r="H119" s="243">
        <f>('Pivot Table for Data Exchange'!$E$490)*100</f>
        <v>0</v>
      </c>
      <c r="I119" s="87" t="s">
        <v>153</v>
      </c>
      <c r="J119" s="243">
        <f>('Pivot Table for Data Exchange'!$E$493)*100</f>
        <v>51.837575693718854</v>
      </c>
      <c r="K119" s="243">
        <f>('Pivot Table for Data Exchange'!$E$496)*100</f>
        <v>7.0593813382971433</v>
      </c>
      <c r="L119" s="249">
        <f>SUM(M119:O119)</f>
        <v>41.10304296798401</v>
      </c>
      <c r="M119" s="243">
        <f>('Pivot Table for Data Exchange'!$E$499)*100</f>
        <v>39.356928993511339</v>
      </c>
      <c r="N119" s="243">
        <f>('Pivot Table for Data Exchange'!$E$502)*100</f>
        <v>0.32238426799893466</v>
      </c>
      <c r="O119" s="245">
        <f>('Pivot Table for Data Exchange'!$E$505)*100</f>
        <v>1.4237297064737335</v>
      </c>
      <c r="P119" s="243">
        <f>('Pivot Table for Data Exchange'!$E$508)*100</f>
        <v>0</v>
      </c>
      <c r="Q119" s="248">
        <f t="shared" si="14"/>
        <v>100</v>
      </c>
      <c r="R119" s="248">
        <f t="shared" si="15"/>
        <v>100</v>
      </c>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row>
    <row r="120" spans="1:41" ht="15.75" customHeight="1" x14ac:dyDescent="0.2">
      <c r="A120" s="65" t="s">
        <v>154</v>
      </c>
      <c r="B120" s="243">
        <f>('Pivot Table for Data Exchange'!$E$511)*100</f>
        <v>94.100278840392676</v>
      </c>
      <c r="C120" s="243">
        <f>('Pivot Table for Data Exchange'!$E$514)*100</f>
        <v>3.071709222473153</v>
      </c>
      <c r="D120" s="249">
        <f>SUM(E120:G120)</f>
        <v>2.8280119371341663</v>
      </c>
      <c r="E120" s="243">
        <f>('Pivot Table for Data Exchange'!$E$517)*100</f>
        <v>2.8280119371341663</v>
      </c>
      <c r="F120" s="243">
        <f>('Pivot Table for Data Exchange'!$E$520)*100</f>
        <v>0</v>
      </c>
      <c r="G120" s="245">
        <f>('Pivot Table for Data Exchange'!$E$523)*100</f>
        <v>0</v>
      </c>
      <c r="H120" s="243">
        <f>('Pivot Table for Data Exchange'!$E$526)*100</f>
        <v>0</v>
      </c>
      <c r="I120" s="87" t="s">
        <v>154</v>
      </c>
      <c r="J120" s="243">
        <f>('Pivot Table for Data Exchange'!$E$529)*100</f>
        <v>80.026043854490467</v>
      </c>
      <c r="K120" s="243">
        <f>('Pivot Table for Data Exchange'!$E$532)*100</f>
        <v>11.215659917667816</v>
      </c>
      <c r="L120" s="249">
        <f>SUM(M120:O120)</f>
        <v>8.7582962278417202</v>
      </c>
      <c r="M120" s="243">
        <f>('Pivot Table for Data Exchange'!$E$535)*100</f>
        <v>8.7582962278417202</v>
      </c>
      <c r="N120" s="243">
        <f>('Pivot Table for Data Exchange'!$E$538)*100</f>
        <v>0</v>
      </c>
      <c r="O120" s="245">
        <f>('Pivot Table for Data Exchange'!$E$541)*100</f>
        <v>0</v>
      </c>
      <c r="P120" s="243">
        <f>('Pivot Table for Data Exchange'!$E$544)*100</f>
        <v>0</v>
      </c>
      <c r="Q120" s="248">
        <f t="shared" si="14"/>
        <v>100</v>
      </c>
      <c r="R120" s="248">
        <f t="shared" si="15"/>
        <v>100.00000000000001</v>
      </c>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row>
    <row r="121" spans="1:41" ht="15.75" customHeight="1" x14ac:dyDescent="0.2">
      <c r="A121" s="242" t="s">
        <v>155</v>
      </c>
      <c r="B121" s="246">
        <f>('Pivot Table for Data Exchange'!$E$547)*100</f>
        <v>80.222162320012586</v>
      </c>
      <c r="C121" s="246">
        <f>('Pivot Table for Data Exchange'!$E$550)*100</f>
        <v>5.8251154989479668</v>
      </c>
      <c r="D121" s="250">
        <f>SUM(E121:G121)</f>
        <v>13.952722181039453</v>
      </c>
      <c r="E121" s="246">
        <f>('Pivot Table for Data Exchange'!$E$553)*100</f>
        <v>13.952722181039453</v>
      </c>
      <c r="F121" s="246">
        <f>('Pivot Table for Data Exchange'!$E$556)*100</f>
        <v>0</v>
      </c>
      <c r="G121" s="247">
        <f>('Pivot Table for Data Exchange'!$E$559)*100</f>
        <v>0</v>
      </c>
      <c r="H121" s="246">
        <f>('Pivot Table for Data Exchange'!$E$562)*100</f>
        <v>0</v>
      </c>
      <c r="I121" s="252" t="s">
        <v>155</v>
      </c>
      <c r="J121" s="246">
        <f>('Pivot Table for Data Exchange'!$E$565)*100</f>
        <v>30.061782540711647</v>
      </c>
      <c r="K121" s="246">
        <f>('Pivot Table for Data Exchange'!$E$568)*100</f>
        <v>39.02978528660234</v>
      </c>
      <c r="L121" s="250">
        <f>SUM(M121:O121)</f>
        <v>30.908432172686016</v>
      </c>
      <c r="M121" s="246">
        <f>('Pivot Table for Data Exchange'!$E$571)*100</f>
        <v>30.856946722092982</v>
      </c>
      <c r="N121" s="246">
        <f>('Pivot Table for Data Exchange'!$E$574)*100</f>
        <v>5.1485450593036108E-2</v>
      </c>
      <c r="O121" s="247">
        <f>('Pivot Table for Data Exchange'!$E$577)*100</f>
        <v>0</v>
      </c>
      <c r="P121" s="246">
        <f>('Pivot Table for Data Exchange'!$E$580)*100</f>
        <v>0</v>
      </c>
      <c r="Q121" s="248">
        <f t="shared" si="14"/>
        <v>100</v>
      </c>
      <c r="R121" s="248">
        <f t="shared" si="15"/>
        <v>100</v>
      </c>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row>
    <row r="122" spans="1:41" s="103" customFormat="1" ht="18" customHeight="1" x14ac:dyDescent="0.2">
      <c r="A122" s="24" t="s">
        <v>175</v>
      </c>
      <c r="B122" s="69"/>
      <c r="C122" s="69"/>
      <c r="D122" s="70"/>
      <c r="E122" s="69"/>
      <c r="F122" s="70"/>
      <c r="G122" s="70"/>
      <c r="H122" s="69"/>
      <c r="I122" s="24" t="s">
        <v>175</v>
      </c>
      <c r="J122" s="69"/>
      <c r="K122" s="69"/>
      <c r="L122" s="70"/>
      <c r="M122" s="69"/>
      <c r="N122" s="70"/>
      <c r="O122" s="70"/>
      <c r="P122" s="69"/>
      <c r="Q122" s="248">
        <f t="shared" si="14"/>
        <v>0</v>
      </c>
      <c r="R122" s="248">
        <f t="shared" si="15"/>
        <v>0</v>
      </c>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row>
    <row r="123" spans="1:41" s="103" customFormat="1" ht="28.5" customHeight="1" x14ac:dyDescent="0.2">
      <c r="A123" s="666" t="s">
        <v>176</v>
      </c>
      <c r="B123" s="683"/>
      <c r="C123" s="683"/>
      <c r="D123" s="683"/>
      <c r="E123" s="683"/>
      <c r="F123" s="683"/>
      <c r="G123" s="683"/>
      <c r="H123" s="683"/>
      <c r="I123" s="666" t="s">
        <v>176</v>
      </c>
      <c r="J123" s="683"/>
      <c r="K123" s="683"/>
      <c r="L123" s="683"/>
      <c r="M123" s="683"/>
      <c r="N123" s="683"/>
      <c r="O123" s="683"/>
      <c r="P123" s="683"/>
      <c r="Q123" s="248">
        <f t="shared" si="14"/>
        <v>0</v>
      </c>
      <c r="R123" s="248">
        <f t="shared" si="15"/>
        <v>0</v>
      </c>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row>
    <row r="124" spans="1:41" s="103" customFormat="1" ht="13.5" customHeight="1" x14ac:dyDescent="0.2">
      <c r="A124" s="75"/>
      <c r="B124" s="76"/>
      <c r="C124" s="25"/>
      <c r="D124" s="25"/>
      <c r="E124" s="25"/>
      <c r="F124" s="25"/>
      <c r="G124" s="25"/>
      <c r="H124" s="26"/>
      <c r="I124" s="75"/>
      <c r="J124" s="25"/>
      <c r="K124" s="25"/>
      <c r="L124" s="25"/>
      <c r="M124" s="25"/>
      <c r="N124" s="25"/>
      <c r="O124" s="25"/>
      <c r="P124" s="77"/>
      <c r="Q124" s="248">
        <f t="shared" si="14"/>
        <v>0</v>
      </c>
      <c r="R124" s="248">
        <f t="shared" si="15"/>
        <v>0</v>
      </c>
    </row>
    <row r="125" spans="1:41" s="103" customFormat="1" ht="13.5" customHeight="1" x14ac:dyDescent="0.2">
      <c r="A125" s="25"/>
      <c r="B125" s="25"/>
      <c r="C125" s="25"/>
      <c r="D125" s="25"/>
      <c r="E125" s="25"/>
      <c r="F125" s="25"/>
      <c r="G125" s="25"/>
      <c r="H125" s="27" t="s">
        <v>914</v>
      </c>
      <c r="I125" s="75"/>
      <c r="J125" s="25"/>
      <c r="K125" s="25"/>
      <c r="L125" s="25"/>
      <c r="M125" s="25"/>
      <c r="N125" s="25"/>
      <c r="O125" s="25"/>
      <c r="P125" s="27" t="s">
        <v>914</v>
      </c>
      <c r="Q125" s="248">
        <f t="shared" si="14"/>
        <v>0</v>
      </c>
      <c r="R125" s="248">
        <f t="shared" si="15"/>
        <v>0</v>
      </c>
    </row>
    <row r="126" spans="1:41" ht="18" x14ac:dyDescent="0.25">
      <c r="A126" s="16" t="s">
        <v>205</v>
      </c>
      <c r="B126" s="34"/>
      <c r="C126" s="34"/>
      <c r="D126" s="34"/>
      <c r="E126" s="34"/>
      <c r="F126" s="34"/>
      <c r="G126" s="34"/>
      <c r="H126" s="35"/>
      <c r="I126" s="16" t="s">
        <v>220</v>
      </c>
      <c r="J126" s="19"/>
      <c r="K126" s="19"/>
      <c r="L126" s="34"/>
      <c r="M126" s="19"/>
      <c r="N126" s="19"/>
      <c r="O126" s="19"/>
      <c r="P126" s="19"/>
      <c r="Q126" s="248">
        <f t="shared" si="14"/>
        <v>0</v>
      </c>
      <c r="R126" s="248">
        <f t="shared" si="15"/>
        <v>0</v>
      </c>
    </row>
    <row r="127" spans="1:41" x14ac:dyDescent="0.2">
      <c r="A127" s="18"/>
      <c r="B127" s="19"/>
      <c r="C127" s="19"/>
      <c r="D127" s="19"/>
      <c r="E127" s="19"/>
      <c r="F127" s="19"/>
      <c r="G127" s="19"/>
      <c r="H127" s="36"/>
      <c r="I127" s="18"/>
      <c r="J127" s="19"/>
      <c r="K127" s="19"/>
      <c r="L127" s="19"/>
      <c r="M127" s="19"/>
      <c r="N127" s="19"/>
      <c r="O127" s="19"/>
      <c r="P127" s="19"/>
      <c r="Q127" s="248">
        <f t="shared" si="14"/>
        <v>0</v>
      </c>
      <c r="R127" s="248">
        <f t="shared" si="15"/>
        <v>0</v>
      </c>
    </row>
    <row r="128" spans="1:41" ht="15.75" x14ac:dyDescent="0.25">
      <c r="A128" s="37" t="s">
        <v>162</v>
      </c>
      <c r="B128" s="19"/>
      <c r="C128" s="19"/>
      <c r="D128" s="19"/>
      <c r="E128" s="19"/>
      <c r="F128" s="19"/>
      <c r="G128" s="19"/>
      <c r="H128" s="36"/>
      <c r="I128" s="37" t="s">
        <v>163</v>
      </c>
      <c r="J128" s="19"/>
      <c r="K128" s="19"/>
      <c r="L128" s="19"/>
      <c r="M128" s="19"/>
      <c r="N128" s="19"/>
      <c r="O128" s="19"/>
      <c r="P128" s="19"/>
      <c r="Q128" s="248">
        <f t="shared" si="14"/>
        <v>0</v>
      </c>
      <c r="R128" s="248">
        <f t="shared" si="15"/>
        <v>0</v>
      </c>
    </row>
    <row r="129" spans="1:41" ht="15.75" x14ac:dyDescent="0.25">
      <c r="A129" s="37" t="s">
        <v>870</v>
      </c>
      <c r="B129" s="19"/>
      <c r="C129" s="19"/>
      <c r="D129" s="19"/>
      <c r="E129" s="19"/>
      <c r="F129" s="19"/>
      <c r="G129" s="19"/>
      <c r="H129" s="36"/>
      <c r="I129" s="37" t="s">
        <v>870</v>
      </c>
      <c r="J129" s="19"/>
      <c r="K129" s="19"/>
      <c r="L129" s="19"/>
      <c r="M129" s="19"/>
      <c r="N129" s="19"/>
      <c r="O129" s="19"/>
      <c r="P129" s="19"/>
      <c r="Q129" s="248">
        <f t="shared" si="14"/>
        <v>0</v>
      </c>
      <c r="R129" s="248">
        <f t="shared" si="15"/>
        <v>0</v>
      </c>
    </row>
    <row r="130" spans="1:41" x14ac:dyDescent="0.2">
      <c r="A130" s="39"/>
      <c r="B130" s="40"/>
      <c r="C130" s="40"/>
      <c r="D130" s="40"/>
      <c r="E130" s="40"/>
      <c r="F130" s="40"/>
      <c r="G130" s="40"/>
      <c r="H130" s="40"/>
      <c r="I130" s="41"/>
      <c r="L130" s="42"/>
      <c r="P130" s="39"/>
      <c r="Q130" s="248">
        <f t="shared" si="14"/>
        <v>0</v>
      </c>
      <c r="R130" s="248">
        <f t="shared" si="15"/>
        <v>0</v>
      </c>
    </row>
    <row r="131" spans="1:41" s="57" customFormat="1" x14ac:dyDescent="0.2">
      <c r="A131" s="43"/>
      <c r="B131" s="44" t="s">
        <v>164</v>
      </c>
      <c r="C131" s="44"/>
      <c r="D131" s="44"/>
      <c r="E131" s="44"/>
      <c r="F131" s="44"/>
      <c r="G131" s="44"/>
      <c r="H131" s="45"/>
      <c r="I131" s="43"/>
      <c r="J131" s="44" t="s">
        <v>164</v>
      </c>
      <c r="K131" s="44"/>
      <c r="L131" s="44"/>
      <c r="M131" s="44"/>
      <c r="N131" s="44"/>
      <c r="O131" s="44"/>
      <c r="P131" s="45"/>
      <c r="Q131" s="248">
        <f t="shared" si="14"/>
        <v>0</v>
      </c>
      <c r="R131" s="248">
        <f t="shared" si="15"/>
        <v>0</v>
      </c>
    </row>
    <row r="132" spans="1:41" s="57" customFormat="1" x14ac:dyDescent="0.2">
      <c r="A132" s="43"/>
      <c r="B132" s="44" t="s">
        <v>165</v>
      </c>
      <c r="C132" s="44"/>
      <c r="D132" s="670" t="s">
        <v>166</v>
      </c>
      <c r="E132" s="668"/>
      <c r="F132" s="668"/>
      <c r="G132" s="668"/>
      <c r="H132" s="49" t="s">
        <v>39</v>
      </c>
      <c r="I132" s="43"/>
      <c r="J132" s="44" t="s">
        <v>165</v>
      </c>
      <c r="K132" s="44"/>
      <c r="L132" s="670" t="s">
        <v>166</v>
      </c>
      <c r="M132" s="668"/>
      <c r="N132" s="668"/>
      <c r="O132" s="668"/>
      <c r="P132" s="49" t="s">
        <v>39</v>
      </c>
      <c r="Q132" s="248">
        <f t="shared" si="14"/>
        <v>0</v>
      </c>
      <c r="R132" s="248">
        <f t="shared" si="15"/>
        <v>0</v>
      </c>
    </row>
    <row r="133" spans="1:41" s="57" customFormat="1" ht="40.5" customHeight="1" x14ac:dyDescent="0.2">
      <c r="A133" s="43"/>
      <c r="B133" s="50" t="s">
        <v>167</v>
      </c>
      <c r="C133" s="51" t="s">
        <v>168</v>
      </c>
      <c r="D133" s="52" t="s">
        <v>169</v>
      </c>
      <c r="E133" s="53" t="s">
        <v>7</v>
      </c>
      <c r="F133" s="50" t="s">
        <v>170</v>
      </c>
      <c r="G133" s="54" t="s">
        <v>171</v>
      </c>
      <c r="H133" s="55" t="s">
        <v>172</v>
      </c>
      <c r="I133" s="43"/>
      <c r="J133" s="50" t="s">
        <v>167</v>
      </c>
      <c r="K133" s="51" t="s">
        <v>168</v>
      </c>
      <c r="L133" s="52" t="s">
        <v>169</v>
      </c>
      <c r="M133" s="53" t="s">
        <v>7</v>
      </c>
      <c r="N133" s="50" t="s">
        <v>170</v>
      </c>
      <c r="O133" s="54" t="s">
        <v>171</v>
      </c>
      <c r="P133" s="55" t="s">
        <v>172</v>
      </c>
      <c r="Q133" s="248">
        <f t="shared" si="14"/>
        <v>0</v>
      </c>
      <c r="R133" s="248">
        <f t="shared" si="15"/>
        <v>0</v>
      </c>
      <c r="T133" s="56"/>
    </row>
    <row r="134" spans="1:41" ht="15.75" customHeight="1" x14ac:dyDescent="0.2">
      <c r="A134" s="62" t="s">
        <v>141</v>
      </c>
      <c r="B134" s="82">
        <f>('Pivot Table for Data Exchange'!$F$7)*100</f>
        <v>85.159677505346281</v>
      </c>
      <c r="C134" s="243">
        <f>('Pivot Table for Data Exchange'!$F$10)*100</f>
        <v>0.76180772352185022</v>
      </c>
      <c r="D134" s="249">
        <f>SUM(E134:G134)</f>
        <v>14.07851477113187</v>
      </c>
      <c r="E134" s="243">
        <f>('Pivot Table for Data Exchange'!$F$13)*100</f>
        <v>14.07851477113187</v>
      </c>
      <c r="F134" s="243">
        <f>('Pivot Table for Data Exchange'!$F$16)*100</f>
        <v>0</v>
      </c>
      <c r="G134" s="60">
        <f>('Pivot Table for Data Exchange'!$F$19)*100</f>
        <v>0</v>
      </c>
      <c r="H134" s="243">
        <f>('Pivot Table for Data Exchange'!$F$22)*100</f>
        <v>0</v>
      </c>
      <c r="I134" s="251" t="s">
        <v>141</v>
      </c>
      <c r="J134" s="243">
        <f>('Pivot Table for Data Exchange'!$F$25)*100</f>
        <v>56.313614358247733</v>
      </c>
      <c r="K134" s="243">
        <f>('Pivot Table for Data Exchange'!$F$28)*100</f>
        <v>6.9689455661825477</v>
      </c>
      <c r="L134" s="249">
        <f>SUM(M134:O134)</f>
        <v>36.717440075569726</v>
      </c>
      <c r="M134" s="243">
        <f>('Pivot Table for Data Exchange'!$F$31)*100</f>
        <v>36.717440075569726</v>
      </c>
      <c r="N134" s="243">
        <f>('Pivot Table for Data Exchange'!$F$34)*100</f>
        <v>0</v>
      </c>
      <c r="O134" s="60">
        <f>('Pivot Table for Data Exchange'!$F$37)*100</f>
        <v>0</v>
      </c>
      <c r="P134" s="243">
        <f>('Pivot Table for Data Exchange'!$F$40)*100</f>
        <v>0</v>
      </c>
      <c r="Q134" s="248">
        <f t="shared" si="14"/>
        <v>100</v>
      </c>
      <c r="R134" s="248">
        <f t="shared" si="15"/>
        <v>100</v>
      </c>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row>
    <row r="135" spans="1:41" ht="15.75" customHeight="1" x14ac:dyDescent="0.2">
      <c r="A135" s="65" t="s">
        <v>142</v>
      </c>
      <c r="B135" s="243">
        <f>('Pivot Table for Data Exchange'!$F$43)*100</f>
        <v>87.69013925692056</v>
      </c>
      <c r="C135" s="243">
        <f>('Pivot Table for Data Exchange'!$F$46)*100</f>
        <v>1.7359192648136665</v>
      </c>
      <c r="D135" s="249">
        <f t="shared" ref="D135:D137" si="20">SUM(E135:G135)</f>
        <v>10.573941478265771</v>
      </c>
      <c r="E135" s="243">
        <f>('Pivot Table for Data Exchange'!$F$49)*100</f>
        <v>10.54687940463438</v>
      </c>
      <c r="F135" s="67">
        <f>('Pivot Table for Data Exchange'!$F$52)*100</f>
        <v>2.7062073631392007E-2</v>
      </c>
      <c r="G135" s="245">
        <f>('Pivot Table for Data Exchange'!$F$55)*100</f>
        <v>0</v>
      </c>
      <c r="H135" s="243">
        <f>('Pivot Table for Data Exchange'!$F$58)*100</f>
        <v>0</v>
      </c>
      <c r="I135" s="87" t="s">
        <v>142</v>
      </c>
      <c r="J135" s="243">
        <f>('Pivot Table for Data Exchange'!$F$61)*100</f>
        <v>51.431244153414404</v>
      </c>
      <c r="K135" s="243">
        <f>('Pivot Table for Data Exchange'!$F$64)*100</f>
        <v>6.660430308699719</v>
      </c>
      <c r="L135" s="249">
        <f t="shared" ref="L135:L137" si="21">SUM(M135:O135)</f>
        <v>41.908325537885879</v>
      </c>
      <c r="M135" s="243">
        <f>('Pivot Table for Data Exchange'!$F$67)*100</f>
        <v>41.908325537885879</v>
      </c>
      <c r="N135" s="243">
        <f>('Pivot Table for Data Exchange'!$F$70)*100</f>
        <v>0</v>
      </c>
      <c r="O135" s="245">
        <f>('Pivot Table for Data Exchange'!$F$73)*100</f>
        <v>0</v>
      </c>
      <c r="P135" s="243">
        <f>('Pivot Table for Data Exchange'!$F$76)*100</f>
        <v>0</v>
      </c>
      <c r="Q135" s="248">
        <f t="shared" si="14"/>
        <v>99.999999999999986</v>
      </c>
      <c r="R135" s="248">
        <f t="shared" si="15"/>
        <v>100</v>
      </c>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row>
    <row r="136" spans="1:41" ht="15.75" customHeight="1" x14ac:dyDescent="0.2">
      <c r="A136" s="65" t="s">
        <v>143</v>
      </c>
      <c r="B136" s="243">
        <f>('Pivot Table for Data Exchange'!$F$79)*100</f>
        <v>0</v>
      </c>
      <c r="C136" s="243">
        <f>('Pivot Table for Data Exchange'!$F$82)*100</f>
        <v>0</v>
      </c>
      <c r="D136" s="249">
        <f t="shared" si="20"/>
        <v>0</v>
      </c>
      <c r="E136" s="243">
        <f>('Pivot Table for Data Exchange'!$F$85)*100</f>
        <v>0</v>
      </c>
      <c r="F136" s="243">
        <f>('Pivot Table for Data Exchange'!$F$88)*100</f>
        <v>0</v>
      </c>
      <c r="G136" s="245">
        <f>('Pivot Table for Data Exchange'!$F$91)*100</f>
        <v>0</v>
      </c>
      <c r="H136" s="243">
        <f>('Pivot Table for Data Exchange'!$F$94)*100</f>
        <v>0</v>
      </c>
      <c r="I136" s="87" t="s">
        <v>143</v>
      </c>
      <c r="J136" s="243">
        <f>('Pivot Table for Data Exchange'!$F$97)*100</f>
        <v>0</v>
      </c>
      <c r="K136" s="243">
        <f>('Pivot Table for Data Exchange'!$F$100)*100</f>
        <v>0</v>
      </c>
      <c r="L136" s="249">
        <f t="shared" si="21"/>
        <v>0</v>
      </c>
      <c r="M136" s="243">
        <f>('Pivot Table for Data Exchange'!$F$103)*100</f>
        <v>0</v>
      </c>
      <c r="N136" s="243">
        <f>('Pivot Table for Data Exchange'!$F$106)*100</f>
        <v>0</v>
      </c>
      <c r="O136" s="245">
        <f>('Pivot Table for Data Exchange'!$F$109)*100</f>
        <v>0</v>
      </c>
      <c r="P136" s="243">
        <f>('Pivot Table for Data Exchange'!$F$112)*100</f>
        <v>0</v>
      </c>
      <c r="Q136" s="248">
        <f t="shared" si="14"/>
        <v>0</v>
      </c>
      <c r="R136" s="248">
        <f t="shared" si="15"/>
        <v>0</v>
      </c>
      <c r="S136" s="98"/>
      <c r="T136" s="104"/>
      <c r="U136" s="98"/>
      <c r="V136" s="98"/>
      <c r="W136" s="98"/>
      <c r="X136" s="98"/>
      <c r="Y136" s="98"/>
      <c r="Z136" s="98"/>
      <c r="AA136" s="98"/>
      <c r="AB136" s="98"/>
      <c r="AC136" s="98"/>
      <c r="AD136" s="98"/>
      <c r="AE136" s="98"/>
      <c r="AF136" s="98"/>
      <c r="AG136" s="98"/>
      <c r="AH136" s="98"/>
      <c r="AI136" s="98"/>
      <c r="AJ136" s="98"/>
      <c r="AK136" s="98"/>
      <c r="AL136" s="98"/>
      <c r="AM136" s="98"/>
      <c r="AN136" s="98"/>
      <c r="AO136" s="98"/>
    </row>
    <row r="137" spans="1:41" ht="15.75" customHeight="1" x14ac:dyDescent="0.2">
      <c r="A137" s="65" t="s">
        <v>144</v>
      </c>
      <c r="B137" s="243">
        <f>('Pivot Table for Data Exchange'!$F$115)*100</f>
        <v>79.470257414293783</v>
      </c>
      <c r="C137" s="243">
        <f>('Pivot Table for Data Exchange'!$F$118)*100</f>
        <v>2.9128286664126248</v>
      </c>
      <c r="D137" s="249">
        <f t="shared" si="20"/>
        <v>17.616913919293587</v>
      </c>
      <c r="E137" s="243">
        <f>('Pivot Table for Data Exchange'!$F$121)*100</f>
        <v>17.614614404162779</v>
      </c>
      <c r="F137" s="243">
        <f>('Pivot Table for Data Exchange'!$F$124)*100</f>
        <v>0</v>
      </c>
      <c r="G137" s="254">
        <f>('Pivot Table for Data Exchange'!$F$127)*100</f>
        <v>2.2995151308095605E-3</v>
      </c>
      <c r="H137" s="243">
        <f>('Pivot Table for Data Exchange'!$F$130)*100</f>
        <v>0</v>
      </c>
      <c r="I137" s="87" t="s">
        <v>174</v>
      </c>
      <c r="J137" s="243">
        <f>('Pivot Table for Data Exchange'!$F$133)*100</f>
        <v>51.187780293947874</v>
      </c>
      <c r="K137" s="243">
        <f>('Pivot Table for Data Exchange'!$F$136)*100</f>
        <v>10.443585986412682</v>
      </c>
      <c r="L137" s="249">
        <f t="shared" si="21"/>
        <v>38.368633719639448</v>
      </c>
      <c r="M137" s="243">
        <f>('Pivot Table for Data Exchange'!$F$139)*100</f>
        <v>38.368633719639448</v>
      </c>
      <c r="N137" s="243">
        <f>('Pivot Table for Data Exchange'!$F$142)*100</f>
        <v>0</v>
      </c>
      <c r="O137" s="245">
        <f>('Pivot Table for Data Exchange'!$F$145)*100</f>
        <v>0</v>
      </c>
      <c r="P137" s="243">
        <f>('Pivot Table for Data Exchange'!$F$148)*100</f>
        <v>0</v>
      </c>
      <c r="Q137" s="248">
        <f t="shared" si="14"/>
        <v>100</v>
      </c>
      <c r="R137" s="248">
        <f t="shared" si="15"/>
        <v>100</v>
      </c>
      <c r="S137" s="98"/>
      <c r="U137" s="98"/>
      <c r="V137" s="98"/>
      <c r="W137" s="98"/>
      <c r="X137" s="98"/>
      <c r="Y137" s="98"/>
      <c r="Z137" s="98"/>
      <c r="AA137" s="98"/>
      <c r="AB137" s="98"/>
      <c r="AC137" s="98"/>
      <c r="AD137" s="98"/>
      <c r="AE137" s="98"/>
      <c r="AF137" s="98"/>
      <c r="AG137" s="98"/>
      <c r="AH137" s="98"/>
      <c r="AI137" s="98"/>
      <c r="AJ137" s="98"/>
      <c r="AK137" s="98"/>
      <c r="AL137" s="98"/>
      <c r="AM137" s="98"/>
      <c r="AN137" s="98"/>
      <c r="AO137" s="98"/>
    </row>
    <row r="138" spans="1:41" ht="15.75" customHeight="1" x14ac:dyDescent="0.2">
      <c r="A138" s="65"/>
      <c r="B138" s="243"/>
      <c r="C138" s="243"/>
      <c r="D138" s="249"/>
      <c r="E138" s="243"/>
      <c r="F138" s="243"/>
      <c r="G138" s="245"/>
      <c r="H138" s="243"/>
      <c r="I138" s="87"/>
      <c r="J138" s="243"/>
      <c r="K138" s="243"/>
      <c r="L138" s="249"/>
      <c r="M138" s="243"/>
      <c r="N138" s="243"/>
      <c r="O138" s="245"/>
      <c r="P138" s="243"/>
      <c r="Q138" s="248">
        <f t="shared" si="14"/>
        <v>0</v>
      </c>
      <c r="R138" s="248">
        <f t="shared" si="15"/>
        <v>0</v>
      </c>
      <c r="S138" s="98"/>
      <c r="U138" s="98"/>
      <c r="V138" s="98"/>
      <c r="W138" s="98"/>
      <c r="X138" s="98"/>
      <c r="Y138" s="98"/>
      <c r="Z138" s="98"/>
      <c r="AA138" s="98"/>
      <c r="AB138" s="98"/>
      <c r="AC138" s="98"/>
      <c r="AD138" s="98"/>
      <c r="AE138" s="98"/>
      <c r="AF138" s="98"/>
      <c r="AG138" s="98"/>
      <c r="AH138" s="98"/>
      <c r="AI138" s="98"/>
      <c r="AJ138" s="98"/>
      <c r="AK138" s="98"/>
      <c r="AL138" s="98"/>
      <c r="AM138" s="98"/>
      <c r="AN138" s="98"/>
      <c r="AO138" s="98"/>
    </row>
    <row r="139" spans="1:41" ht="15.75" customHeight="1" x14ac:dyDescent="0.2">
      <c r="A139" s="65" t="s">
        <v>145</v>
      </c>
      <c r="B139" s="243">
        <f>('Pivot Table for Data Exchange'!$F$151)*100</f>
        <v>88.00534747329931</v>
      </c>
      <c r="C139" s="243">
        <f>('Pivot Table for Data Exchange'!$F$154)*100</f>
        <v>1.9502434625965366</v>
      </c>
      <c r="D139" s="249">
        <f t="shared" ref="D139:D140" si="22">SUM(E139:G139)</f>
        <v>10.012071259221734</v>
      </c>
      <c r="E139" s="243">
        <f>('Pivot Table for Data Exchange'!$F$157)*100</f>
        <v>8.6963920202554625</v>
      </c>
      <c r="F139" s="243">
        <f>('Pivot Table for Data Exchange'!$F$160)*100</f>
        <v>0</v>
      </c>
      <c r="G139" s="245">
        <f>('Pivot Table for Data Exchange'!$F$163)*100</f>
        <v>1.3156792389662724</v>
      </c>
      <c r="H139" s="67">
        <f>('Pivot Table for Data Exchange'!$F$166)*100</f>
        <v>3.2337804882421765E-2</v>
      </c>
      <c r="I139" s="87" t="s">
        <v>145</v>
      </c>
      <c r="J139" s="243">
        <f>('Pivot Table for Data Exchange'!$F$169)*100</f>
        <v>0</v>
      </c>
      <c r="K139" s="243">
        <f>('Pivot Table for Data Exchange'!$F$172)*100</f>
        <v>0</v>
      </c>
      <c r="L139" s="249">
        <f t="shared" ref="L139:L140" si="23">SUM(M139:O139)</f>
        <v>0</v>
      </c>
      <c r="M139" s="243">
        <f>('Pivot Table for Data Exchange'!$F$175)*100</f>
        <v>0</v>
      </c>
      <c r="N139" s="243">
        <f>('Pivot Table for Data Exchange'!$F$178)*100</f>
        <v>0</v>
      </c>
      <c r="O139" s="245">
        <f>('Pivot Table for Data Exchange'!$F$181)*100</f>
        <v>0</v>
      </c>
      <c r="P139" s="243">
        <f>('Pivot Table for Data Exchange'!$F$184)*100</f>
        <v>0</v>
      </c>
      <c r="Q139" s="248">
        <f t="shared" si="14"/>
        <v>100</v>
      </c>
      <c r="R139" s="248">
        <f t="shared" si="15"/>
        <v>0</v>
      </c>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row>
    <row r="140" spans="1:41" ht="15.75" customHeight="1" x14ac:dyDescent="0.2">
      <c r="A140" s="65" t="s">
        <v>146</v>
      </c>
      <c r="B140" s="243">
        <f>('Pivot Table for Data Exchange'!$F$187)*100</f>
        <v>81.780678124723352</v>
      </c>
      <c r="C140" s="243">
        <f>('Pivot Table for Data Exchange'!$F$190)*100</f>
        <v>2.720087010408367</v>
      </c>
      <c r="D140" s="249">
        <f t="shared" si="22"/>
        <v>15.499234864868283</v>
      </c>
      <c r="E140" s="243">
        <f>('Pivot Table for Data Exchange'!$F$193)*100</f>
        <v>15.496958429765654</v>
      </c>
      <c r="F140" s="243">
        <f>('Pivot Table for Data Exchange'!$F$196)*100</f>
        <v>0</v>
      </c>
      <c r="G140" s="254">
        <f>('Pivot Table for Data Exchange'!$F$199)*100</f>
        <v>2.2764351026292825E-3</v>
      </c>
      <c r="H140" s="243">
        <f>('Pivot Table for Data Exchange'!$F$202)*100</f>
        <v>0</v>
      </c>
      <c r="I140" s="87" t="s">
        <v>146</v>
      </c>
      <c r="J140" s="243">
        <f>('Pivot Table for Data Exchange'!$F$205)*100</f>
        <v>70.74825317142664</v>
      </c>
      <c r="K140" s="243">
        <f>('Pivot Table for Data Exchange'!$F$208)*100</f>
        <v>2.6818623793048868</v>
      </c>
      <c r="L140" s="249">
        <f t="shared" si="23"/>
        <v>26.569884449268482</v>
      </c>
      <c r="M140" s="243">
        <f>('Pivot Table for Data Exchange'!$F$211)*100</f>
        <v>26.569884449268482</v>
      </c>
      <c r="N140" s="243">
        <f>('Pivot Table for Data Exchange'!$F$214)*100</f>
        <v>0</v>
      </c>
      <c r="O140" s="245">
        <f>('Pivot Table for Data Exchange'!$F$217)*100</f>
        <v>0</v>
      </c>
      <c r="P140" s="243">
        <f>('Pivot Table for Data Exchange'!$F$220)*100</f>
        <v>0</v>
      </c>
      <c r="Q140" s="248">
        <f t="shared" si="14"/>
        <v>100</v>
      </c>
      <c r="R140" s="248">
        <f t="shared" si="15"/>
        <v>100.00000000000001</v>
      </c>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row>
    <row r="141" spans="1:41" ht="15.75" customHeight="1" x14ac:dyDescent="0.2">
      <c r="A141" s="244" t="s">
        <v>147</v>
      </c>
      <c r="B141" s="243">
        <f>('Pivot Table for Data Exchange'!$F$223)*100</f>
        <v>0</v>
      </c>
      <c r="C141" s="243">
        <f>('Pivot Table for Data Exchange'!$F$226)*100</f>
        <v>0</v>
      </c>
      <c r="D141" s="249">
        <f>SUM(E141:G141)</f>
        <v>0</v>
      </c>
      <c r="E141" s="243">
        <f>('Pivot Table for Data Exchange'!$F$229)*100</f>
        <v>0</v>
      </c>
      <c r="F141" s="243">
        <f>('Pivot Table for Data Exchange'!$F$232)*100</f>
        <v>0</v>
      </c>
      <c r="G141" s="245">
        <f>('Pivot Table for Data Exchange'!$F$235)*100</f>
        <v>0</v>
      </c>
      <c r="H141" s="243">
        <f>('Pivot Table for Data Exchange'!$F$238)*100</f>
        <v>0</v>
      </c>
      <c r="I141" s="87" t="s">
        <v>147</v>
      </c>
      <c r="J141" s="243">
        <f>('Pivot Table for Data Exchange'!$F$241)*100</f>
        <v>0</v>
      </c>
      <c r="K141" s="243">
        <f>('Pivot Table for Data Exchange'!$F$244)*100</f>
        <v>0</v>
      </c>
      <c r="L141" s="249">
        <f>SUM(M141:O141)</f>
        <v>0</v>
      </c>
      <c r="M141" s="243">
        <f>('Pivot Table for Data Exchange'!$F$247)*100</f>
        <v>0</v>
      </c>
      <c r="N141" s="243">
        <f>('Pivot Table for Data Exchange'!$F$250)*100</f>
        <v>0</v>
      </c>
      <c r="O141" s="245">
        <f>('Pivot Table for Data Exchange'!$F$253)*100</f>
        <v>0</v>
      </c>
      <c r="P141" s="243">
        <f>('Pivot Table for Data Exchange'!$F$256)*100</f>
        <v>0</v>
      </c>
      <c r="Q141" s="248">
        <f t="shared" si="14"/>
        <v>0</v>
      </c>
      <c r="R141" s="248">
        <f t="shared" si="15"/>
        <v>0</v>
      </c>
      <c r="S141" s="98"/>
      <c r="T141" s="104"/>
      <c r="U141" s="98"/>
      <c r="V141" s="98"/>
      <c r="W141" s="98"/>
      <c r="X141" s="98"/>
      <c r="Y141" s="98"/>
      <c r="Z141" s="98"/>
      <c r="AA141" s="98"/>
      <c r="AB141" s="98"/>
      <c r="AC141" s="98"/>
      <c r="AD141" s="98"/>
      <c r="AE141" s="98"/>
      <c r="AF141" s="98"/>
      <c r="AG141" s="98"/>
      <c r="AH141" s="98"/>
      <c r="AI141" s="98"/>
      <c r="AJ141" s="98"/>
      <c r="AK141" s="98"/>
      <c r="AL141" s="98"/>
      <c r="AM141" s="98"/>
      <c r="AN141" s="98"/>
      <c r="AO141" s="98"/>
    </row>
    <row r="142" spans="1:41" ht="15.75" customHeight="1" x14ac:dyDescent="0.2">
      <c r="A142" s="65" t="s">
        <v>177</v>
      </c>
      <c r="B142" s="243">
        <f>('Pivot Table for Data Exchange'!$F$259)*100</f>
        <v>88.233254893809715</v>
      </c>
      <c r="C142" s="243">
        <f>('Pivot Table for Data Exchange'!$F$262)*100</f>
        <v>1.0556673174425251</v>
      </c>
      <c r="D142" s="249">
        <f>SUM(E142:G142)</f>
        <v>10.711077788747764</v>
      </c>
      <c r="E142" s="243">
        <f>('Pivot Table for Data Exchange'!$F$265)*100</f>
        <v>10.581021594376109</v>
      </c>
      <c r="F142" s="243">
        <f>('Pivot Table for Data Exchange'!$F$268)*100</f>
        <v>0.13005619437165486</v>
      </c>
      <c r="G142" s="245">
        <f>('Pivot Table for Data Exchange'!$F$271)*100</f>
        <v>0</v>
      </c>
      <c r="H142" s="243">
        <f>('Pivot Table for Data Exchange'!$F$274)*100</f>
        <v>0</v>
      </c>
      <c r="I142" s="87" t="s">
        <v>177</v>
      </c>
      <c r="J142" s="243">
        <f>('Pivot Table for Data Exchange'!$F$277)*100</f>
        <v>75.415517426657601</v>
      </c>
      <c r="K142" s="243">
        <f>('Pivot Table for Data Exchange'!$F$280)*100</f>
        <v>3.6071211090016835</v>
      </c>
      <c r="L142" s="249">
        <f>SUM(M142:O142)</f>
        <v>20.977361464340724</v>
      </c>
      <c r="M142" s="243">
        <f>('Pivot Table for Data Exchange'!$F$283)*100</f>
        <v>19.557079915463696</v>
      </c>
      <c r="N142" s="243">
        <f>('Pivot Table for Data Exchange'!$F$286)*100</f>
        <v>1.4202815488770284</v>
      </c>
      <c r="O142" s="245">
        <f>('Pivot Table for Data Exchange'!$F$289)*100</f>
        <v>0</v>
      </c>
      <c r="P142" s="243">
        <f>('Pivot Table for Data Exchange'!$F$292)*100</f>
        <v>0</v>
      </c>
      <c r="Q142" s="248">
        <f t="shared" si="14"/>
        <v>100</v>
      </c>
      <c r="R142" s="248">
        <f t="shared" si="15"/>
        <v>100</v>
      </c>
      <c r="S142" s="98"/>
      <c r="U142" s="98"/>
      <c r="V142" s="98"/>
      <c r="W142" s="98"/>
      <c r="X142" s="98"/>
      <c r="Y142" s="98"/>
      <c r="Z142" s="98"/>
      <c r="AA142" s="98"/>
      <c r="AB142" s="98"/>
      <c r="AC142" s="98"/>
      <c r="AD142" s="98"/>
      <c r="AE142" s="98"/>
      <c r="AF142" s="98"/>
      <c r="AG142" s="98"/>
      <c r="AH142" s="98"/>
      <c r="AI142" s="98"/>
      <c r="AJ142" s="98"/>
      <c r="AK142" s="98"/>
      <c r="AL142" s="98"/>
      <c r="AM142" s="98"/>
      <c r="AN142" s="98"/>
      <c r="AO142" s="98"/>
    </row>
    <row r="143" spans="1:41" ht="15.75" customHeight="1" x14ac:dyDescent="0.2">
      <c r="A143" s="65"/>
      <c r="B143" s="243"/>
      <c r="C143" s="243"/>
      <c r="D143" s="249"/>
      <c r="E143" s="243"/>
      <c r="F143" s="243"/>
      <c r="G143" s="245"/>
      <c r="H143" s="243"/>
      <c r="I143" s="87"/>
      <c r="J143" s="243"/>
      <c r="K143" s="243"/>
      <c r="L143" s="249"/>
      <c r="M143" s="243"/>
      <c r="N143" s="243"/>
      <c r="O143" s="245"/>
      <c r="P143" s="243"/>
      <c r="Q143" s="248">
        <f t="shared" si="14"/>
        <v>0</v>
      </c>
      <c r="R143" s="248">
        <f t="shared" si="15"/>
        <v>0</v>
      </c>
      <c r="S143" s="98"/>
      <c r="U143" s="98"/>
      <c r="V143" s="98"/>
      <c r="W143" s="98"/>
      <c r="X143" s="98"/>
      <c r="Y143" s="98"/>
      <c r="Z143" s="98"/>
      <c r="AA143" s="98"/>
      <c r="AB143" s="98"/>
      <c r="AC143" s="98"/>
      <c r="AD143" s="98"/>
      <c r="AE143" s="98"/>
      <c r="AF143" s="98"/>
      <c r="AG143" s="98"/>
      <c r="AH143" s="98"/>
      <c r="AI143" s="98"/>
      <c r="AJ143" s="98"/>
      <c r="AK143" s="98"/>
      <c r="AL143" s="98"/>
      <c r="AM143" s="98"/>
      <c r="AN143" s="98"/>
      <c r="AO143" s="98"/>
    </row>
    <row r="144" spans="1:41" ht="15.75" customHeight="1" x14ac:dyDescent="0.2">
      <c r="A144" s="65" t="s">
        <v>148</v>
      </c>
      <c r="B144" s="243">
        <f>('Pivot Table for Data Exchange'!$F$295)*100</f>
        <v>81.274457324276426</v>
      </c>
      <c r="C144" s="243">
        <f>('Pivot Table for Data Exchange'!$F$298)*100</f>
        <v>1.3096204961606617</v>
      </c>
      <c r="D144" s="249">
        <f>SUM(E144:G144)</f>
        <v>17.073519639692854</v>
      </c>
      <c r="E144" s="243">
        <f>('Pivot Table for Data Exchange'!$F$301)*100</f>
        <v>17.034295629060839</v>
      </c>
      <c r="F144" s="243">
        <f>('Pivot Table for Data Exchange'!$F$304)*100</f>
        <v>0</v>
      </c>
      <c r="G144" s="68">
        <f>('Pivot Table for Data Exchange'!$F$307)*100</f>
        <v>3.9224010632014174E-2</v>
      </c>
      <c r="H144" s="243">
        <f>('Pivot Table for Data Exchange'!$F$310)*100</f>
        <v>0.34240253987005315</v>
      </c>
      <c r="I144" s="87" t="s">
        <v>148</v>
      </c>
      <c r="J144" s="243">
        <f>('Pivot Table for Data Exchange'!$F$313)*100</f>
        <v>49.803058642314888</v>
      </c>
      <c r="K144" s="243">
        <f>('Pivot Table for Data Exchange'!$F$316)*100</f>
        <v>1.2080536912751678</v>
      </c>
      <c r="L144" s="249">
        <f>SUM(M144:O144)</f>
        <v>48.889866872043129</v>
      </c>
      <c r="M144" s="243">
        <f>('Pivot Table for Data Exchange'!$F$319)*100</f>
        <v>48.885465947849049</v>
      </c>
      <c r="N144" s="243">
        <f>('Pivot Table for Data Exchange'!$F$322)*100</f>
        <v>0</v>
      </c>
      <c r="O144" s="254">
        <f>('Pivot Table for Data Exchange'!$F$325)*100</f>
        <v>4.4009241940807572E-3</v>
      </c>
      <c r="P144" s="243">
        <f>('Pivot Table for Data Exchange'!$F$328)*100</f>
        <v>9.9020794366817044E-2</v>
      </c>
      <c r="Q144" s="248">
        <f t="shared" si="14"/>
        <v>100</v>
      </c>
      <c r="R144" s="248">
        <f t="shared" si="15"/>
        <v>100</v>
      </c>
      <c r="S144" s="98"/>
      <c r="T144" s="98"/>
      <c r="U144" s="98"/>
      <c r="V144" s="98"/>
      <c r="W144" s="98"/>
      <c r="X144" s="98"/>
      <c r="Y144" s="98"/>
      <c r="Z144" s="98"/>
      <c r="AA144" s="98"/>
      <c r="AB144" s="98"/>
      <c r="AC144" s="98"/>
      <c r="AD144" s="98"/>
      <c r="AE144" s="98"/>
      <c r="AF144" s="98"/>
      <c r="AG144" s="98"/>
      <c r="AH144" s="98"/>
      <c r="AI144" s="98"/>
      <c r="AJ144" s="98"/>
      <c r="AK144" s="98"/>
      <c r="AL144" s="98"/>
      <c r="AM144" s="98"/>
      <c r="AN144" s="98"/>
      <c r="AO144" s="98"/>
    </row>
    <row r="145" spans="1:41" ht="15.75" customHeight="1" x14ac:dyDescent="0.2">
      <c r="A145" s="65" t="s">
        <v>149</v>
      </c>
      <c r="B145" s="243">
        <f>('Pivot Table for Data Exchange'!$F$331)*100</f>
        <v>79.660937227022885</v>
      </c>
      <c r="C145" s="243">
        <f>('Pivot Table for Data Exchange'!$F$334)*100</f>
        <v>1.6664202873231109</v>
      </c>
      <c r="D145" s="249">
        <f>SUM(E145:G145)</f>
        <v>18.672642485654002</v>
      </c>
      <c r="E145" s="243">
        <f>('Pivot Table for Data Exchange'!$F$337)*100</f>
        <v>18.672642485654002</v>
      </c>
      <c r="F145" s="243">
        <f>('Pivot Table for Data Exchange'!$F$340)*100</f>
        <v>0</v>
      </c>
      <c r="G145" s="245">
        <f>('Pivot Table for Data Exchange'!$F$343)*100</f>
        <v>0</v>
      </c>
      <c r="H145" s="243">
        <f>('Pivot Table for Data Exchange'!$F$346)*100</f>
        <v>0</v>
      </c>
      <c r="I145" s="87" t="s">
        <v>149</v>
      </c>
      <c r="J145" s="243">
        <f>('Pivot Table for Data Exchange'!$F$349)*100</f>
        <v>56.111501934576147</v>
      </c>
      <c r="K145" s="243">
        <f>('Pivot Table for Data Exchange'!$F$352)*100</f>
        <v>20.198733731973267</v>
      </c>
      <c r="L145" s="249">
        <f>SUM(M145:O145)</f>
        <v>23.689764333450579</v>
      </c>
      <c r="M145" s="243">
        <f>('Pivot Table for Data Exchange'!$F$355)*100</f>
        <v>23.689764333450579</v>
      </c>
      <c r="N145" s="243">
        <f>('Pivot Table for Data Exchange'!$F$358)*100</f>
        <v>0</v>
      </c>
      <c r="O145" s="245">
        <f>('Pivot Table for Data Exchange'!$F$361)*100</f>
        <v>0</v>
      </c>
      <c r="P145" s="243">
        <f>('Pivot Table for Data Exchange'!$F$364)*100</f>
        <v>0</v>
      </c>
      <c r="Q145" s="248">
        <f t="shared" si="14"/>
        <v>100</v>
      </c>
      <c r="R145" s="248">
        <f t="shared" si="15"/>
        <v>100</v>
      </c>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row>
    <row r="146" spans="1:41" ht="15.75" customHeight="1" x14ac:dyDescent="0.2">
      <c r="A146" s="65" t="s">
        <v>150</v>
      </c>
      <c r="B146" s="243">
        <f>('Pivot Table for Data Exchange'!$F$367)*100</f>
        <v>67.288345619893732</v>
      </c>
      <c r="C146" s="67">
        <f>('Pivot Table for Data Exchange'!$F$370)*100</f>
        <v>4.0955201310566444E-2</v>
      </c>
      <c r="D146" s="249">
        <f>SUM(E146:G146)</f>
        <v>32.670699178795708</v>
      </c>
      <c r="E146" s="243">
        <f>('Pivot Table for Data Exchange'!$F$373)*100</f>
        <v>28.949026526368847</v>
      </c>
      <c r="F146" s="243">
        <f>('Pivot Table for Data Exchange'!$F$376)*100</f>
        <v>3.7216726524268586</v>
      </c>
      <c r="G146" s="245">
        <f>('Pivot Table for Data Exchange'!$F$379)*100</f>
        <v>0</v>
      </c>
      <c r="H146" s="243">
        <f>('Pivot Table for Data Exchange'!$F$382)*100</f>
        <v>0</v>
      </c>
      <c r="I146" s="87" t="s">
        <v>150</v>
      </c>
      <c r="J146" s="243">
        <f>('Pivot Table for Data Exchange'!$F$385)*100</f>
        <v>54.497873732417403</v>
      </c>
      <c r="K146" s="243">
        <f>('Pivot Table for Data Exchange'!$F$388)*100</f>
        <v>0</v>
      </c>
      <c r="L146" s="249">
        <f>SUM(M146:O146)</f>
        <v>45.502126267582589</v>
      </c>
      <c r="M146" s="243">
        <f>('Pivot Table for Data Exchange'!$F$391)*100</f>
        <v>44.275433431468755</v>
      </c>
      <c r="N146" s="243">
        <f>('Pivot Table for Data Exchange'!$F$394)*100</f>
        <v>1.2266928361138372</v>
      </c>
      <c r="O146" s="245">
        <f>('Pivot Table for Data Exchange'!$F$397)*100</f>
        <v>0</v>
      </c>
      <c r="P146" s="243">
        <f>('Pivot Table for Data Exchange'!$F$400)*100</f>
        <v>0</v>
      </c>
      <c r="Q146" s="248">
        <f t="shared" si="14"/>
        <v>100</v>
      </c>
      <c r="R146" s="248">
        <f t="shared" si="15"/>
        <v>100</v>
      </c>
      <c r="S146" s="98"/>
      <c r="T146" s="104"/>
      <c r="U146" s="98"/>
      <c r="V146" s="98"/>
      <c r="W146" s="98"/>
      <c r="X146" s="98"/>
      <c r="Y146" s="98"/>
      <c r="Z146" s="98"/>
      <c r="AA146" s="98"/>
      <c r="AB146" s="98"/>
      <c r="AC146" s="98"/>
      <c r="AD146" s="98"/>
      <c r="AE146" s="98"/>
      <c r="AF146" s="98"/>
      <c r="AG146" s="98"/>
      <c r="AH146" s="98"/>
      <c r="AI146" s="98"/>
      <c r="AJ146" s="98"/>
      <c r="AK146" s="98"/>
      <c r="AL146" s="98"/>
      <c r="AM146" s="98"/>
      <c r="AN146" s="98"/>
      <c r="AO146" s="98"/>
    </row>
    <row r="147" spans="1:41" ht="15.75" customHeight="1" x14ac:dyDescent="0.2">
      <c r="A147" s="65" t="s">
        <v>151</v>
      </c>
      <c r="B147" s="243">
        <f>('Pivot Table for Data Exchange'!$F$403)*100</f>
        <v>98.315298671593212</v>
      </c>
      <c r="C147" s="243">
        <f>('Pivot Table for Data Exchange'!$F$406)*100</f>
        <v>0.23752969121140144</v>
      </c>
      <c r="D147" s="249">
        <f>SUM(E147:G147)</f>
        <v>1.4471716371953902</v>
      </c>
      <c r="E147" s="243">
        <f>('Pivot Table for Data Exchange'!$F$409)*100</f>
        <v>1.3778921439253982</v>
      </c>
      <c r="F147" s="243">
        <f>('Pivot Table for Data Exchange'!$F$412)*100</f>
        <v>6.9279493269992082E-2</v>
      </c>
      <c r="G147" s="245">
        <f>('Pivot Table for Data Exchange'!$F$415)*100</f>
        <v>0</v>
      </c>
      <c r="H147" s="243">
        <f>('Pivot Table for Data Exchange'!$F$418)*100</f>
        <v>0</v>
      </c>
      <c r="I147" s="87" t="s">
        <v>151</v>
      </c>
      <c r="J147" s="243">
        <f>('Pivot Table for Data Exchange'!$F$421)*100</f>
        <v>81.044251595782839</v>
      </c>
      <c r="K147" s="243">
        <f>('Pivot Table for Data Exchange'!$F$424)*100</f>
        <v>9.1228573477730759</v>
      </c>
      <c r="L147" s="249">
        <f>SUM(M147:O147)</f>
        <v>9.8328910564440939</v>
      </c>
      <c r="M147" s="243">
        <f>('Pivot Table for Data Exchange'!$F$427)*100</f>
        <v>9.8328910564440939</v>
      </c>
      <c r="N147" s="243">
        <f>('Pivot Table for Data Exchange'!$F$430)*100</f>
        <v>0</v>
      </c>
      <c r="O147" s="245">
        <f>('Pivot Table for Data Exchange'!$F$433)*100</f>
        <v>0</v>
      </c>
      <c r="P147" s="243">
        <f>('Pivot Table for Data Exchange'!$F$436)*100</f>
        <v>0</v>
      </c>
      <c r="Q147" s="248">
        <f t="shared" si="14"/>
        <v>100.00000000000001</v>
      </c>
      <c r="R147" s="248">
        <f t="shared" si="15"/>
        <v>100.00000000000001</v>
      </c>
      <c r="S147" s="98"/>
      <c r="T147" s="98"/>
      <c r="U147" s="98"/>
      <c r="V147" s="98"/>
      <c r="W147" s="98"/>
      <c r="X147" s="98"/>
      <c r="Y147" s="98"/>
      <c r="Z147" s="98"/>
      <c r="AA147" s="98"/>
      <c r="AB147" s="98"/>
      <c r="AC147" s="98"/>
      <c r="AD147" s="98"/>
      <c r="AE147" s="98"/>
      <c r="AF147" s="98"/>
      <c r="AG147" s="98"/>
      <c r="AH147" s="98"/>
      <c r="AI147" s="98"/>
      <c r="AJ147" s="98"/>
      <c r="AK147" s="98"/>
      <c r="AL147" s="98"/>
      <c r="AM147" s="98"/>
      <c r="AN147" s="98"/>
      <c r="AO147" s="98"/>
    </row>
    <row r="148" spans="1:41" ht="15.75" customHeight="1" x14ac:dyDescent="0.2">
      <c r="A148" s="65"/>
      <c r="B148" s="243"/>
      <c r="C148" s="243"/>
      <c r="D148" s="249"/>
      <c r="E148" s="243"/>
      <c r="F148" s="243"/>
      <c r="G148" s="245"/>
      <c r="H148" s="243"/>
      <c r="I148" s="87"/>
      <c r="J148" s="243"/>
      <c r="K148" s="243"/>
      <c r="L148" s="249"/>
      <c r="M148" s="243"/>
      <c r="N148" s="243"/>
      <c r="O148" s="245"/>
      <c r="P148" s="243"/>
      <c r="Q148" s="248">
        <f t="shared" si="14"/>
        <v>0</v>
      </c>
      <c r="R148" s="248">
        <f t="shared" si="15"/>
        <v>0</v>
      </c>
      <c r="S148" s="98"/>
      <c r="T148" s="98"/>
      <c r="U148" s="98"/>
      <c r="V148" s="98"/>
      <c r="W148" s="98"/>
      <c r="X148" s="98"/>
      <c r="Y148" s="98"/>
      <c r="Z148" s="98"/>
      <c r="AA148" s="98"/>
      <c r="AB148" s="98"/>
      <c r="AC148" s="98"/>
      <c r="AD148" s="98"/>
      <c r="AE148" s="98"/>
      <c r="AF148" s="98"/>
      <c r="AG148" s="98"/>
      <c r="AH148" s="98"/>
      <c r="AI148" s="98"/>
      <c r="AJ148" s="98"/>
      <c r="AK148" s="98"/>
      <c r="AL148" s="98"/>
      <c r="AM148" s="98"/>
      <c r="AN148" s="98"/>
      <c r="AO148" s="98"/>
    </row>
    <row r="149" spans="1:41" ht="15.75" customHeight="1" x14ac:dyDescent="0.2">
      <c r="A149" s="65" t="s">
        <v>152</v>
      </c>
      <c r="B149" s="243">
        <f>('Pivot Table for Data Exchange'!$F$439)*100</f>
        <v>0</v>
      </c>
      <c r="C149" s="243">
        <f>('Pivot Table for Data Exchange'!$F$442)*100</f>
        <v>0</v>
      </c>
      <c r="D149" s="249">
        <f>SUM(E149:G149)</f>
        <v>0</v>
      </c>
      <c r="E149" s="243">
        <f>('Pivot Table for Data Exchange'!$F$445)*100</f>
        <v>0</v>
      </c>
      <c r="F149" s="243">
        <f>('Pivot Table for Data Exchange'!$F$448)*100</f>
        <v>0</v>
      </c>
      <c r="G149" s="245">
        <f>('Pivot Table for Data Exchange'!$F$451)*100</f>
        <v>0</v>
      </c>
      <c r="H149" s="243">
        <f>('Pivot Table for Data Exchange'!$F$454)*100</f>
        <v>0</v>
      </c>
      <c r="I149" s="87" t="s">
        <v>152</v>
      </c>
      <c r="J149" s="243">
        <f>('Pivot Table for Data Exchange'!$F$457)*100</f>
        <v>0</v>
      </c>
      <c r="K149" s="243">
        <f>('Pivot Table for Data Exchange'!$F$460)*100</f>
        <v>0</v>
      </c>
      <c r="L149" s="249">
        <f>SUM(M149:O149)</f>
        <v>0</v>
      </c>
      <c r="M149" s="243">
        <f>('Pivot Table for Data Exchange'!$F$463)*100</f>
        <v>0</v>
      </c>
      <c r="N149" s="243">
        <f>('Pivot Table for Data Exchange'!$F$466)*100</f>
        <v>0</v>
      </c>
      <c r="O149" s="245">
        <f>('Pivot Table for Data Exchange'!$F$469)*100</f>
        <v>0</v>
      </c>
      <c r="P149" s="243">
        <f>('Pivot Table for Data Exchange'!$F$472)*100</f>
        <v>0</v>
      </c>
      <c r="Q149" s="248">
        <f t="shared" si="14"/>
        <v>0</v>
      </c>
      <c r="R149" s="248">
        <f t="shared" si="15"/>
        <v>0</v>
      </c>
      <c r="S149" s="98"/>
      <c r="T149" s="98"/>
      <c r="U149" s="98"/>
      <c r="V149" s="98"/>
      <c r="W149" s="98"/>
      <c r="X149" s="98"/>
      <c r="Y149" s="98"/>
      <c r="Z149" s="98"/>
      <c r="AA149" s="98"/>
      <c r="AB149" s="98"/>
      <c r="AC149" s="98"/>
      <c r="AD149" s="98"/>
      <c r="AE149" s="98"/>
      <c r="AF149" s="98"/>
      <c r="AG149" s="98"/>
      <c r="AH149" s="98"/>
      <c r="AI149" s="98"/>
      <c r="AJ149" s="98"/>
      <c r="AK149" s="98"/>
      <c r="AL149" s="98"/>
      <c r="AM149" s="98"/>
      <c r="AN149" s="98"/>
      <c r="AO149" s="98"/>
    </row>
    <row r="150" spans="1:41" ht="15.75" customHeight="1" x14ac:dyDescent="0.2">
      <c r="A150" s="65" t="s">
        <v>153</v>
      </c>
      <c r="B150" s="243">
        <f>('Pivot Table for Data Exchange'!$F$475)*100</f>
        <v>37.902060768864352</v>
      </c>
      <c r="C150" s="243">
        <f>('Pivot Table for Data Exchange'!$F$478)*100</f>
        <v>15.590470017726204</v>
      </c>
      <c r="D150" s="249">
        <f>SUM(E150:G150)</f>
        <v>46.507469213409443</v>
      </c>
      <c r="E150" s="243">
        <f>('Pivot Table for Data Exchange'!$F$481)*100</f>
        <v>43.454189084718763</v>
      </c>
      <c r="F150" s="243">
        <f>('Pivot Table for Data Exchange'!$F$484)*100</f>
        <v>3.0532801286906817</v>
      </c>
      <c r="G150" s="245">
        <f>('Pivot Table for Data Exchange'!$F$487)*100</f>
        <v>0</v>
      </c>
      <c r="H150" s="243">
        <f>('Pivot Table for Data Exchange'!$F$490)*100</f>
        <v>0</v>
      </c>
      <c r="I150" s="87" t="s">
        <v>153</v>
      </c>
      <c r="J150" s="243">
        <f>('Pivot Table for Data Exchange'!$F$493)*100</f>
        <v>22.880167404999888</v>
      </c>
      <c r="K150" s="243">
        <f>('Pivot Table for Data Exchange'!$F$496)*100</f>
        <v>13.094098528527859</v>
      </c>
      <c r="L150" s="249">
        <f>SUM(M150:O150)</f>
        <v>64.025734066472253</v>
      </c>
      <c r="M150" s="243">
        <f>('Pivot Table for Data Exchange'!$F$499)*100</f>
        <v>61.007101355713367</v>
      </c>
      <c r="N150" s="243">
        <f>('Pivot Table for Data Exchange'!$F$502)*100</f>
        <v>3.0186327107588879</v>
      </c>
      <c r="O150" s="245">
        <f>('Pivot Table for Data Exchange'!$F$505)*100</f>
        <v>0</v>
      </c>
      <c r="P150" s="243">
        <f>('Pivot Table for Data Exchange'!$F$508)*100</f>
        <v>0</v>
      </c>
      <c r="Q150" s="248">
        <f t="shared" si="14"/>
        <v>100</v>
      </c>
      <c r="R150" s="248">
        <f t="shared" si="15"/>
        <v>100</v>
      </c>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row>
    <row r="151" spans="1:41" ht="15.75" customHeight="1" x14ac:dyDescent="0.2">
      <c r="A151" s="65" t="s">
        <v>154</v>
      </c>
      <c r="B151" s="243">
        <f>('Pivot Table for Data Exchange'!$F$511)*100</f>
        <v>94.998766445854329</v>
      </c>
      <c r="C151" s="243">
        <f>('Pivot Table for Data Exchange'!$F$514)*100</f>
        <v>1.696413119124508</v>
      </c>
      <c r="D151" s="249">
        <f>SUM(E151:G151)</f>
        <v>3.3048204350211545</v>
      </c>
      <c r="E151" s="243">
        <f>('Pivot Table for Data Exchange'!$F$517)*100</f>
        <v>3.1387509067543533</v>
      </c>
      <c r="F151" s="243">
        <f>('Pivot Table for Data Exchange'!$F$520)*100</f>
        <v>0.16606952826680119</v>
      </c>
      <c r="G151" s="245">
        <f>('Pivot Table for Data Exchange'!$F$523)*100</f>
        <v>0</v>
      </c>
      <c r="H151" s="243">
        <f>('Pivot Table for Data Exchange'!$F$526)*100</f>
        <v>0</v>
      </c>
      <c r="I151" s="87" t="s">
        <v>154</v>
      </c>
      <c r="J151" s="243">
        <f>('Pivot Table for Data Exchange'!$F$529)*100</f>
        <v>69.218169054366768</v>
      </c>
      <c r="K151" s="243">
        <f>('Pivot Table for Data Exchange'!$F$532)*100</f>
        <v>17.363043082603156</v>
      </c>
      <c r="L151" s="249">
        <f>SUM(M151:O151)</f>
        <v>13.418787863030083</v>
      </c>
      <c r="M151" s="243">
        <f>('Pivot Table for Data Exchange'!$F$535)*100</f>
        <v>11.577962091469281</v>
      </c>
      <c r="N151" s="243">
        <f>('Pivot Table for Data Exchange'!$F$538)*100</f>
        <v>1.8408257715608018</v>
      </c>
      <c r="O151" s="245">
        <f>('Pivot Table for Data Exchange'!$F$541)*100</f>
        <v>0</v>
      </c>
      <c r="P151" s="243">
        <f>('Pivot Table for Data Exchange'!$F$544)*100</f>
        <v>0</v>
      </c>
      <c r="Q151" s="248">
        <f t="shared" si="14"/>
        <v>100</v>
      </c>
      <c r="R151" s="248">
        <f t="shared" si="15"/>
        <v>100</v>
      </c>
      <c r="S151" s="98"/>
      <c r="T151" s="98"/>
      <c r="U151" s="98"/>
      <c r="V151" s="98"/>
      <c r="W151" s="98"/>
      <c r="X151" s="98"/>
      <c r="Y151" s="98"/>
      <c r="Z151" s="98"/>
      <c r="AA151" s="98"/>
      <c r="AB151" s="98"/>
      <c r="AC151" s="98"/>
      <c r="AD151" s="98"/>
      <c r="AE151" s="98"/>
      <c r="AF151" s="98"/>
      <c r="AG151" s="98"/>
      <c r="AH151" s="98"/>
      <c r="AI151" s="98"/>
      <c r="AJ151" s="98"/>
      <c r="AK151" s="98"/>
      <c r="AL151" s="98"/>
      <c r="AM151" s="98"/>
      <c r="AN151" s="98"/>
      <c r="AO151" s="98"/>
    </row>
    <row r="152" spans="1:41" ht="15.75" customHeight="1" x14ac:dyDescent="0.2">
      <c r="A152" s="242" t="s">
        <v>155</v>
      </c>
      <c r="B152" s="246">
        <f>('Pivot Table for Data Exchange'!$F$547)*100</f>
        <v>0</v>
      </c>
      <c r="C152" s="246">
        <f>('Pivot Table for Data Exchange'!$F$550)*100</f>
        <v>0</v>
      </c>
      <c r="D152" s="250">
        <f>SUM(E152:G152)</f>
        <v>0</v>
      </c>
      <c r="E152" s="246">
        <f>('Pivot Table for Data Exchange'!$F$553)*100</f>
        <v>0</v>
      </c>
      <c r="F152" s="246">
        <f>('Pivot Table for Data Exchange'!$F$556)*100</f>
        <v>0</v>
      </c>
      <c r="G152" s="247">
        <f>('Pivot Table for Data Exchange'!$F$559)*100</f>
        <v>0</v>
      </c>
      <c r="H152" s="246">
        <f>('Pivot Table for Data Exchange'!$F$562)*100</f>
        <v>0</v>
      </c>
      <c r="I152" s="252" t="s">
        <v>155</v>
      </c>
      <c r="J152" s="246">
        <f>('Pivot Table for Data Exchange'!$F$565)*100</f>
        <v>0</v>
      </c>
      <c r="K152" s="246">
        <f>('Pivot Table for Data Exchange'!$F$568)*100</f>
        <v>0</v>
      </c>
      <c r="L152" s="250">
        <f>SUM(M152:O152)</f>
        <v>0</v>
      </c>
      <c r="M152" s="246">
        <f>('Pivot Table for Data Exchange'!$F$571)*100</f>
        <v>0</v>
      </c>
      <c r="N152" s="246">
        <f>('Pivot Table for Data Exchange'!$F$574)*100</f>
        <v>0</v>
      </c>
      <c r="O152" s="247">
        <f>('Pivot Table for Data Exchange'!$F$577)*100</f>
        <v>0</v>
      </c>
      <c r="P152" s="246">
        <f>('Pivot Table for Data Exchange'!$F$580)*100</f>
        <v>0</v>
      </c>
      <c r="Q152" s="248">
        <f t="shared" si="14"/>
        <v>0</v>
      </c>
      <c r="R152" s="248">
        <f t="shared" si="15"/>
        <v>0</v>
      </c>
      <c r="S152" s="98"/>
      <c r="T152" s="98"/>
      <c r="U152" s="98"/>
      <c r="V152" s="98"/>
      <c r="W152" s="98"/>
      <c r="X152" s="98"/>
      <c r="Y152" s="98"/>
      <c r="Z152" s="98"/>
      <c r="AA152" s="98"/>
      <c r="AB152" s="98"/>
      <c r="AC152" s="98"/>
      <c r="AD152" s="98"/>
      <c r="AE152" s="98"/>
      <c r="AF152" s="98"/>
      <c r="AG152" s="98"/>
      <c r="AH152" s="98"/>
      <c r="AI152" s="98"/>
      <c r="AJ152" s="98"/>
      <c r="AK152" s="98"/>
      <c r="AL152" s="98"/>
      <c r="AM152" s="98"/>
      <c r="AN152" s="98"/>
      <c r="AO152" s="98"/>
    </row>
    <row r="153" spans="1:41" s="103" customFormat="1" ht="18" customHeight="1" x14ac:dyDescent="0.2">
      <c r="A153" s="24" t="s">
        <v>175</v>
      </c>
      <c r="B153" s="69"/>
      <c r="C153" s="69"/>
      <c r="D153" s="70"/>
      <c r="E153" s="69"/>
      <c r="F153" s="70"/>
      <c r="G153" s="70"/>
      <c r="H153" s="69"/>
      <c r="I153" s="24" t="s">
        <v>175</v>
      </c>
      <c r="J153" s="69"/>
      <c r="K153" s="69"/>
      <c r="L153" s="70"/>
      <c r="M153" s="69"/>
      <c r="N153" s="70"/>
      <c r="O153" s="70"/>
      <c r="P153" s="69"/>
      <c r="Q153" s="248">
        <f t="shared" si="14"/>
        <v>0</v>
      </c>
      <c r="R153" s="248">
        <f t="shared" si="15"/>
        <v>0</v>
      </c>
      <c r="S153" s="102"/>
      <c r="T153" s="102"/>
      <c r="U153" s="102"/>
      <c r="V153" s="102"/>
      <c r="W153" s="102"/>
      <c r="X153" s="102"/>
      <c r="Y153" s="102"/>
      <c r="Z153" s="102"/>
      <c r="AA153" s="102"/>
      <c r="AB153" s="102"/>
      <c r="AC153" s="102"/>
      <c r="AD153" s="102"/>
      <c r="AE153" s="102"/>
      <c r="AF153" s="102"/>
      <c r="AG153" s="102"/>
      <c r="AH153" s="102"/>
      <c r="AI153" s="102"/>
      <c r="AJ153" s="102"/>
      <c r="AK153" s="102"/>
      <c r="AL153" s="102"/>
      <c r="AM153" s="102"/>
      <c r="AN153" s="102"/>
      <c r="AO153" s="102"/>
    </row>
    <row r="154" spans="1:41" s="103" customFormat="1" ht="24" customHeight="1" x14ac:dyDescent="0.2">
      <c r="A154" s="666" t="s">
        <v>176</v>
      </c>
      <c r="B154" s="683"/>
      <c r="C154" s="683"/>
      <c r="D154" s="683"/>
      <c r="E154" s="683"/>
      <c r="F154" s="683"/>
      <c r="G154" s="683"/>
      <c r="H154" s="683"/>
      <c r="I154" s="666" t="s">
        <v>176</v>
      </c>
      <c r="J154" s="683"/>
      <c r="K154" s="683"/>
      <c r="L154" s="683"/>
      <c r="M154" s="683"/>
      <c r="N154" s="683"/>
      <c r="O154" s="683"/>
      <c r="P154" s="683"/>
      <c r="Q154" s="248">
        <f t="shared" si="14"/>
        <v>0</v>
      </c>
      <c r="R154" s="248">
        <f t="shared" si="15"/>
        <v>0</v>
      </c>
      <c r="S154" s="102"/>
      <c r="T154" s="102"/>
      <c r="U154" s="102"/>
      <c r="V154" s="102"/>
      <c r="W154" s="102"/>
      <c r="X154" s="102"/>
      <c r="Y154" s="102"/>
      <c r="Z154" s="102"/>
      <c r="AA154" s="102"/>
      <c r="AB154" s="102"/>
      <c r="AC154" s="102"/>
      <c r="AD154" s="102"/>
      <c r="AE154" s="102"/>
      <c r="AF154" s="102"/>
      <c r="AG154" s="102"/>
      <c r="AH154" s="102"/>
      <c r="AI154" s="102"/>
      <c r="AJ154" s="102"/>
      <c r="AK154" s="102"/>
      <c r="AL154" s="102"/>
      <c r="AM154" s="102"/>
      <c r="AN154" s="102"/>
      <c r="AO154" s="102"/>
    </row>
    <row r="155" spans="1:41" s="103" customFormat="1" ht="9.75" customHeight="1" x14ac:dyDescent="0.2">
      <c r="A155" s="659"/>
      <c r="B155" s="662"/>
      <c r="C155" s="662"/>
      <c r="D155" s="662"/>
      <c r="E155" s="662"/>
      <c r="F155" s="662"/>
      <c r="G155" s="662"/>
      <c r="H155" s="662"/>
      <c r="I155" s="659"/>
      <c r="J155" s="662"/>
      <c r="K155" s="662"/>
      <c r="L155" s="662"/>
      <c r="M155" s="662"/>
      <c r="N155" s="662"/>
      <c r="O155" s="662"/>
      <c r="P155" s="662"/>
      <c r="Q155" s="248"/>
      <c r="R155" s="248"/>
      <c r="S155" s="102"/>
      <c r="T155" s="102"/>
      <c r="U155" s="102"/>
      <c r="V155" s="102"/>
      <c r="W155" s="102"/>
      <c r="X155" s="102"/>
      <c r="Y155" s="102"/>
      <c r="Z155" s="102"/>
      <c r="AA155" s="102"/>
      <c r="AB155" s="102"/>
      <c r="AC155" s="102"/>
      <c r="AD155" s="102"/>
      <c r="AE155" s="102"/>
      <c r="AF155" s="102"/>
      <c r="AG155" s="102"/>
      <c r="AH155" s="102"/>
      <c r="AI155" s="102"/>
      <c r="AJ155" s="102"/>
      <c r="AK155" s="102"/>
      <c r="AL155" s="102"/>
      <c r="AM155" s="102"/>
      <c r="AN155" s="102"/>
      <c r="AO155" s="102"/>
    </row>
    <row r="156" spans="1:41" s="103" customFormat="1" ht="13.5" customHeight="1" x14ac:dyDescent="0.2">
      <c r="A156" s="24"/>
      <c r="B156" s="76"/>
      <c r="C156" s="25"/>
      <c r="D156" s="25"/>
      <c r="E156" s="25"/>
      <c r="F156" s="25"/>
      <c r="G156" s="25"/>
      <c r="H156" s="27" t="s">
        <v>914</v>
      </c>
      <c r="I156" s="24"/>
      <c r="J156" s="25"/>
      <c r="K156" s="25"/>
      <c r="L156" s="25"/>
      <c r="M156" s="25"/>
      <c r="N156" s="25"/>
      <c r="O156" s="25"/>
      <c r="P156" s="27" t="s">
        <v>914</v>
      </c>
      <c r="Q156" s="248">
        <f t="shared" ref="Q156:Q218" si="24">SUM(B156,C156,D156,H156)</f>
        <v>0</v>
      </c>
      <c r="R156" s="248">
        <f t="shared" ref="R156:R218" si="25">SUM(J156,K156,L156,P156)</f>
        <v>0</v>
      </c>
    </row>
    <row r="157" spans="1:41" ht="18" x14ac:dyDescent="0.25">
      <c r="A157" s="16" t="s">
        <v>206</v>
      </c>
      <c r="B157" s="34"/>
      <c r="C157" s="34"/>
      <c r="D157" s="34"/>
      <c r="E157" s="34"/>
      <c r="F157" s="34"/>
      <c r="G157" s="34"/>
      <c r="H157" s="35"/>
      <c r="I157" s="16" t="s">
        <v>221</v>
      </c>
      <c r="J157" s="19"/>
      <c r="K157" s="19"/>
      <c r="L157" s="34"/>
      <c r="M157" s="19"/>
      <c r="N157" s="19"/>
      <c r="O157" s="19"/>
      <c r="P157" s="19"/>
      <c r="Q157" s="248">
        <f t="shared" si="24"/>
        <v>0</v>
      </c>
      <c r="R157" s="248">
        <f t="shared" si="25"/>
        <v>0</v>
      </c>
    </row>
    <row r="158" spans="1:41" x14ac:dyDescent="0.2">
      <c r="A158" s="18"/>
      <c r="B158" s="19"/>
      <c r="C158" s="19"/>
      <c r="D158" s="19"/>
      <c r="E158" s="19"/>
      <c r="F158" s="19"/>
      <c r="G158" s="19"/>
      <c r="H158" s="36"/>
      <c r="I158" s="18"/>
      <c r="J158" s="19"/>
      <c r="K158" s="19"/>
      <c r="L158" s="19"/>
      <c r="M158" s="19"/>
      <c r="N158" s="19"/>
      <c r="O158" s="19"/>
      <c r="P158" s="19"/>
      <c r="Q158" s="248">
        <f t="shared" si="24"/>
        <v>0</v>
      </c>
      <c r="R158" s="248">
        <f t="shared" si="25"/>
        <v>0</v>
      </c>
    </row>
    <row r="159" spans="1:41" ht="15.75" x14ac:dyDescent="0.25">
      <c r="A159" s="37" t="s">
        <v>162</v>
      </c>
      <c r="B159" s="19"/>
      <c r="C159" s="19"/>
      <c r="D159" s="19"/>
      <c r="E159" s="19"/>
      <c r="F159" s="19"/>
      <c r="G159" s="19"/>
      <c r="H159" s="36"/>
      <c r="I159" s="37" t="s">
        <v>163</v>
      </c>
      <c r="J159" s="19"/>
      <c r="K159" s="19"/>
      <c r="L159" s="19"/>
      <c r="M159" s="19"/>
      <c r="N159" s="19"/>
      <c r="O159" s="19"/>
      <c r="P159" s="19"/>
      <c r="Q159" s="248">
        <f t="shared" si="24"/>
        <v>0</v>
      </c>
      <c r="R159" s="248">
        <f t="shared" si="25"/>
        <v>0</v>
      </c>
    </row>
    <row r="160" spans="1:41" ht="15.75" x14ac:dyDescent="0.25">
      <c r="A160" s="37" t="s">
        <v>871</v>
      </c>
      <c r="B160" s="19"/>
      <c r="C160" s="19"/>
      <c r="D160" s="19"/>
      <c r="E160" s="19"/>
      <c r="F160" s="19"/>
      <c r="G160" s="19"/>
      <c r="H160" s="36"/>
      <c r="I160" s="37" t="s">
        <v>871</v>
      </c>
      <c r="J160" s="19"/>
      <c r="K160" s="19"/>
      <c r="L160" s="19"/>
      <c r="M160" s="19"/>
      <c r="N160" s="19"/>
      <c r="O160" s="19"/>
      <c r="P160" s="19"/>
      <c r="Q160" s="248">
        <f t="shared" si="24"/>
        <v>0</v>
      </c>
      <c r="R160" s="248">
        <f t="shared" si="25"/>
        <v>0</v>
      </c>
    </row>
    <row r="161" spans="1:41" x14ac:dyDescent="0.2">
      <c r="A161" s="39"/>
      <c r="B161" s="40"/>
      <c r="C161" s="40"/>
      <c r="D161" s="40"/>
      <c r="E161" s="40"/>
      <c r="F161" s="40"/>
      <c r="G161" s="40"/>
      <c r="H161" s="40"/>
      <c r="I161" s="41"/>
      <c r="L161" s="42"/>
      <c r="P161" s="39"/>
      <c r="Q161" s="248">
        <f t="shared" si="24"/>
        <v>0</v>
      </c>
      <c r="R161" s="248">
        <f t="shared" si="25"/>
        <v>0</v>
      </c>
    </row>
    <row r="162" spans="1:41" s="57" customFormat="1" x14ac:dyDescent="0.2">
      <c r="A162" s="43"/>
      <c r="B162" s="44" t="s">
        <v>164</v>
      </c>
      <c r="C162" s="44"/>
      <c r="D162" s="44"/>
      <c r="E162" s="44"/>
      <c r="F162" s="44"/>
      <c r="G162" s="44"/>
      <c r="H162" s="45"/>
      <c r="I162" s="43"/>
      <c r="J162" s="44" t="s">
        <v>164</v>
      </c>
      <c r="K162" s="44"/>
      <c r="L162" s="44"/>
      <c r="M162" s="44"/>
      <c r="N162" s="44"/>
      <c r="O162" s="44"/>
      <c r="P162" s="45"/>
      <c r="Q162" s="248">
        <f t="shared" si="24"/>
        <v>0</v>
      </c>
      <c r="R162" s="248">
        <f t="shared" si="25"/>
        <v>0</v>
      </c>
    </row>
    <row r="163" spans="1:41" s="57" customFormat="1" x14ac:dyDescent="0.2">
      <c r="A163" s="43"/>
      <c r="B163" s="44" t="s">
        <v>165</v>
      </c>
      <c r="C163" s="44"/>
      <c r="D163" s="670" t="s">
        <v>166</v>
      </c>
      <c r="E163" s="668"/>
      <c r="F163" s="668"/>
      <c r="G163" s="668"/>
      <c r="H163" s="49" t="s">
        <v>39</v>
      </c>
      <c r="I163" s="43"/>
      <c r="J163" s="44" t="s">
        <v>165</v>
      </c>
      <c r="K163" s="44"/>
      <c r="L163" s="670" t="s">
        <v>166</v>
      </c>
      <c r="M163" s="668"/>
      <c r="N163" s="668"/>
      <c r="O163" s="668"/>
      <c r="P163" s="49" t="s">
        <v>39</v>
      </c>
      <c r="Q163" s="248">
        <f t="shared" si="24"/>
        <v>0</v>
      </c>
      <c r="R163" s="248">
        <f t="shared" si="25"/>
        <v>0</v>
      </c>
    </row>
    <row r="164" spans="1:41" s="57" customFormat="1" ht="40.5" customHeight="1" x14ac:dyDescent="0.2">
      <c r="A164" s="43"/>
      <c r="B164" s="50" t="s">
        <v>167</v>
      </c>
      <c r="C164" s="51" t="s">
        <v>168</v>
      </c>
      <c r="D164" s="52" t="s">
        <v>169</v>
      </c>
      <c r="E164" s="53" t="s">
        <v>7</v>
      </c>
      <c r="F164" s="50" t="s">
        <v>170</v>
      </c>
      <c r="G164" s="54" t="s">
        <v>171</v>
      </c>
      <c r="H164" s="55" t="s">
        <v>172</v>
      </c>
      <c r="I164" s="43"/>
      <c r="J164" s="50" t="s">
        <v>167</v>
      </c>
      <c r="K164" s="51" t="s">
        <v>168</v>
      </c>
      <c r="L164" s="52" t="s">
        <v>169</v>
      </c>
      <c r="M164" s="53" t="s">
        <v>7</v>
      </c>
      <c r="N164" s="50" t="s">
        <v>170</v>
      </c>
      <c r="O164" s="54" t="s">
        <v>171</v>
      </c>
      <c r="P164" s="55" t="s">
        <v>172</v>
      </c>
      <c r="Q164" s="248">
        <f t="shared" si="24"/>
        <v>0</v>
      </c>
      <c r="R164" s="248">
        <f t="shared" si="25"/>
        <v>0</v>
      </c>
      <c r="T164" s="56"/>
    </row>
    <row r="165" spans="1:41" ht="15.75" customHeight="1" x14ac:dyDescent="0.2">
      <c r="A165" s="62" t="s">
        <v>141</v>
      </c>
      <c r="B165" s="82">
        <f>('Pivot Table for Data Exchange'!$G$7)*100</f>
        <v>94.916575209556072</v>
      </c>
      <c r="C165" s="243">
        <f>('Pivot Table for Data Exchange'!$G$10)*100</f>
        <v>0.4867108841914396</v>
      </c>
      <c r="D165" s="249">
        <f>SUM(E165:G165)</f>
        <v>4.5967139062524849</v>
      </c>
      <c r="E165" s="243">
        <f>('Pivot Table for Data Exchange'!$G$13)*100</f>
        <v>4.5967139062524849</v>
      </c>
      <c r="F165" s="243">
        <f>('Pivot Table for Data Exchange'!$G$16)*100</f>
        <v>0</v>
      </c>
      <c r="G165" s="60">
        <f>('Pivot Table for Data Exchange'!$G$19)*100</f>
        <v>0</v>
      </c>
      <c r="H165" s="243">
        <f>('Pivot Table for Data Exchange'!$G$22)*100</f>
        <v>0</v>
      </c>
      <c r="I165" s="251" t="s">
        <v>141</v>
      </c>
      <c r="J165" s="243">
        <f>('Pivot Table for Data Exchange'!$G$25)*100</f>
        <v>23.291705498602049</v>
      </c>
      <c r="K165" s="243">
        <f>('Pivot Table for Data Exchange'!$G$28)*100</f>
        <v>0.47716682199440819</v>
      </c>
      <c r="L165" s="249">
        <f>SUM(M165:O165)</f>
        <v>76.231127679403542</v>
      </c>
      <c r="M165" s="243">
        <f>('Pivot Table for Data Exchange'!$G$31)*100</f>
        <v>76.231127679403542</v>
      </c>
      <c r="N165" s="243">
        <f>('Pivot Table for Data Exchange'!$G$34)*100</f>
        <v>0</v>
      </c>
      <c r="O165" s="60">
        <f>('Pivot Table for Data Exchange'!$G$37)*100</f>
        <v>0</v>
      </c>
      <c r="P165" s="243">
        <f>('Pivot Table for Data Exchange'!$G$40)*100</f>
        <v>0</v>
      </c>
      <c r="Q165" s="248">
        <f t="shared" si="24"/>
        <v>100</v>
      </c>
      <c r="R165" s="248">
        <f t="shared" si="25"/>
        <v>100</v>
      </c>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row>
    <row r="166" spans="1:41" ht="15.75" customHeight="1" x14ac:dyDescent="0.2">
      <c r="A166" s="65" t="s">
        <v>142</v>
      </c>
      <c r="B166" s="243">
        <f>('Pivot Table for Data Exchange'!$G$43)*100</f>
        <v>81.114384454138573</v>
      </c>
      <c r="C166" s="243">
        <f>('Pivot Table for Data Exchange'!$G$46)*100</f>
        <v>1.4319302022548297</v>
      </c>
      <c r="D166" s="249">
        <f t="shared" ref="D166:D168" si="26">SUM(E166:G166)</f>
        <v>17.453685343606594</v>
      </c>
      <c r="E166" s="243">
        <f>('Pivot Table for Data Exchange'!$G$49)*100</f>
        <v>12.133873434932866</v>
      </c>
      <c r="F166" s="243">
        <f>('Pivot Table for Data Exchange'!$G$52)*100</f>
        <v>5.3198119086737297</v>
      </c>
      <c r="G166" s="245">
        <f>('Pivot Table for Data Exchange'!$G$55)*100</f>
        <v>0</v>
      </c>
      <c r="H166" s="243">
        <f>('Pivot Table for Data Exchange'!$G$58)*100</f>
        <v>0</v>
      </c>
      <c r="I166" s="87" t="s">
        <v>142</v>
      </c>
      <c r="J166" s="243">
        <f>('Pivot Table for Data Exchange'!$G$61)*100</f>
        <v>44.397759103641455</v>
      </c>
      <c r="K166" s="243">
        <f>('Pivot Table for Data Exchange'!$G$64)*100</f>
        <v>0</v>
      </c>
      <c r="L166" s="249">
        <f t="shared" ref="L166:L168" si="27">SUM(M166:O166)</f>
        <v>55.602240896358545</v>
      </c>
      <c r="M166" s="243">
        <f>('Pivot Table for Data Exchange'!$G$67)*100</f>
        <v>55.602240896358545</v>
      </c>
      <c r="N166" s="243">
        <f>('Pivot Table for Data Exchange'!$G$70)*100</f>
        <v>0</v>
      </c>
      <c r="O166" s="245">
        <f>('Pivot Table for Data Exchange'!$G$73)*100</f>
        <v>0</v>
      </c>
      <c r="P166" s="243">
        <f>('Pivot Table for Data Exchange'!$G$76)*100</f>
        <v>0</v>
      </c>
      <c r="Q166" s="248">
        <f t="shared" si="24"/>
        <v>100</v>
      </c>
      <c r="R166" s="248">
        <f t="shared" si="25"/>
        <v>100</v>
      </c>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row>
    <row r="167" spans="1:41" ht="15.75" customHeight="1" x14ac:dyDescent="0.2">
      <c r="A167" s="65" t="s">
        <v>143</v>
      </c>
      <c r="B167" s="243">
        <f>('Pivot Table for Data Exchange'!$G$79)*100</f>
        <v>0</v>
      </c>
      <c r="C167" s="243">
        <f>('Pivot Table for Data Exchange'!$G$82)*100</f>
        <v>0</v>
      </c>
      <c r="D167" s="249">
        <f t="shared" si="26"/>
        <v>0</v>
      </c>
      <c r="E167" s="243">
        <f>('Pivot Table for Data Exchange'!$G$85)*100</f>
        <v>0</v>
      </c>
      <c r="F167" s="243">
        <f>('Pivot Table for Data Exchange'!$G$88)*100</f>
        <v>0</v>
      </c>
      <c r="G167" s="245">
        <f>('Pivot Table for Data Exchange'!$G$91)*100</f>
        <v>0</v>
      </c>
      <c r="H167" s="243">
        <f>('Pivot Table for Data Exchange'!$G$94)*100</f>
        <v>0</v>
      </c>
      <c r="I167" s="87" t="s">
        <v>143</v>
      </c>
      <c r="J167" s="243">
        <f>('Pivot Table for Data Exchange'!$G$97)*100</f>
        <v>0</v>
      </c>
      <c r="K167" s="243">
        <f>('Pivot Table for Data Exchange'!$G$100)*100</f>
        <v>0</v>
      </c>
      <c r="L167" s="249">
        <f t="shared" si="27"/>
        <v>0</v>
      </c>
      <c r="M167" s="243">
        <f>('Pivot Table for Data Exchange'!$G$103)*100</f>
        <v>0</v>
      </c>
      <c r="N167" s="243">
        <f>('Pivot Table for Data Exchange'!$G$106)*100</f>
        <v>0</v>
      </c>
      <c r="O167" s="245">
        <f>('Pivot Table for Data Exchange'!$G$109)*100</f>
        <v>0</v>
      </c>
      <c r="P167" s="243">
        <f>('Pivot Table for Data Exchange'!$G$112)*100</f>
        <v>0</v>
      </c>
      <c r="Q167" s="248">
        <f t="shared" si="24"/>
        <v>0</v>
      </c>
      <c r="R167" s="248">
        <f t="shared" si="25"/>
        <v>0</v>
      </c>
      <c r="S167" s="98"/>
      <c r="T167" s="104"/>
      <c r="U167" s="98"/>
      <c r="V167" s="98"/>
      <c r="W167" s="98"/>
      <c r="X167" s="98"/>
      <c r="Y167" s="98"/>
      <c r="Z167" s="98"/>
      <c r="AA167" s="98"/>
      <c r="AB167" s="98"/>
      <c r="AC167" s="98"/>
      <c r="AD167" s="98"/>
      <c r="AE167" s="98"/>
      <c r="AF167" s="98"/>
      <c r="AG167" s="98"/>
      <c r="AH167" s="98"/>
      <c r="AI167" s="98"/>
      <c r="AJ167" s="98"/>
      <c r="AK167" s="98"/>
      <c r="AL167" s="98"/>
      <c r="AM167" s="98"/>
      <c r="AN167" s="98"/>
      <c r="AO167" s="98"/>
    </row>
    <row r="168" spans="1:41" ht="15.75" customHeight="1" x14ac:dyDescent="0.2">
      <c r="A168" s="65" t="s">
        <v>174</v>
      </c>
      <c r="B168" s="243">
        <f>('Pivot Table for Data Exchange'!$G$115)*100</f>
        <v>0</v>
      </c>
      <c r="C168" s="243">
        <f>('Pivot Table for Data Exchange'!$G$118)*100</f>
        <v>0</v>
      </c>
      <c r="D168" s="249">
        <f t="shared" si="26"/>
        <v>0</v>
      </c>
      <c r="E168" s="243">
        <f>('Pivot Table for Data Exchange'!$G$121)*100</f>
        <v>0</v>
      </c>
      <c r="F168" s="243">
        <f>('Pivot Table for Data Exchange'!$G$124)*100</f>
        <v>0</v>
      </c>
      <c r="G168" s="245">
        <f>('Pivot Table for Data Exchange'!$G$127)*100</f>
        <v>0</v>
      </c>
      <c r="H168" s="243">
        <f>('Pivot Table for Data Exchange'!$G$130)*100</f>
        <v>0</v>
      </c>
      <c r="I168" s="87" t="s">
        <v>174</v>
      </c>
      <c r="J168" s="243">
        <f>('Pivot Table for Data Exchange'!$G$133)*100</f>
        <v>0</v>
      </c>
      <c r="K168" s="243">
        <f>('Pivot Table for Data Exchange'!$G$136)*100</f>
        <v>0</v>
      </c>
      <c r="L168" s="249">
        <f t="shared" si="27"/>
        <v>0</v>
      </c>
      <c r="M168" s="243">
        <f>('Pivot Table for Data Exchange'!$G$139)*100</f>
        <v>0</v>
      </c>
      <c r="N168" s="243">
        <f>('Pivot Table for Data Exchange'!$G$142)*100</f>
        <v>0</v>
      </c>
      <c r="O168" s="245">
        <f>('Pivot Table for Data Exchange'!$G$145)*100</f>
        <v>0</v>
      </c>
      <c r="P168" s="243">
        <f>('Pivot Table for Data Exchange'!$G$148)*100</f>
        <v>0</v>
      </c>
      <c r="Q168" s="248">
        <f t="shared" si="24"/>
        <v>0</v>
      </c>
      <c r="R168" s="248">
        <f t="shared" si="25"/>
        <v>0</v>
      </c>
      <c r="S168" s="98"/>
      <c r="U168" s="98"/>
      <c r="V168" s="98"/>
      <c r="W168" s="98"/>
      <c r="X168" s="98"/>
      <c r="Y168" s="98"/>
      <c r="Z168" s="98"/>
      <c r="AA168" s="98"/>
      <c r="AB168" s="98"/>
      <c r="AC168" s="98"/>
      <c r="AD168" s="98"/>
      <c r="AE168" s="98"/>
      <c r="AF168" s="98"/>
      <c r="AG168" s="98"/>
      <c r="AH168" s="98"/>
      <c r="AI168" s="98"/>
      <c r="AJ168" s="98"/>
      <c r="AK168" s="98"/>
      <c r="AL168" s="98"/>
      <c r="AM168" s="98"/>
      <c r="AN168" s="98"/>
      <c r="AO168" s="98"/>
    </row>
    <row r="169" spans="1:41" ht="10.5" customHeight="1" x14ac:dyDescent="0.2">
      <c r="A169" s="65"/>
      <c r="B169" s="243"/>
      <c r="C169" s="243"/>
      <c r="D169" s="249"/>
      <c r="E169" s="243"/>
      <c r="F169" s="243"/>
      <c r="G169" s="245"/>
      <c r="H169" s="243"/>
      <c r="I169" s="87"/>
      <c r="J169" s="243"/>
      <c r="K169" s="243"/>
      <c r="L169" s="249"/>
      <c r="M169" s="243"/>
      <c r="N169" s="243"/>
      <c r="O169" s="245"/>
      <c r="P169" s="243"/>
      <c r="Q169" s="248">
        <f t="shared" si="24"/>
        <v>0</v>
      </c>
      <c r="R169" s="248">
        <f t="shared" si="25"/>
        <v>0</v>
      </c>
      <c r="S169" s="98"/>
      <c r="U169" s="98"/>
      <c r="V169" s="98"/>
      <c r="W169" s="98"/>
      <c r="X169" s="98"/>
      <c r="Y169" s="98"/>
      <c r="Z169" s="98"/>
      <c r="AA169" s="98"/>
      <c r="AB169" s="98"/>
      <c r="AC169" s="98"/>
      <c r="AD169" s="98"/>
      <c r="AE169" s="98"/>
      <c r="AF169" s="98"/>
      <c r="AG169" s="98"/>
      <c r="AH169" s="98"/>
      <c r="AI169" s="98"/>
      <c r="AJ169" s="98"/>
      <c r="AK169" s="98"/>
      <c r="AL169" s="98"/>
      <c r="AM169" s="98"/>
      <c r="AN169" s="98"/>
      <c r="AO169" s="98"/>
    </row>
    <row r="170" spans="1:41" ht="15.75" customHeight="1" x14ac:dyDescent="0.2">
      <c r="A170" s="65" t="s">
        <v>145</v>
      </c>
      <c r="B170" s="243">
        <f>('Pivot Table for Data Exchange'!$G$151)*100</f>
        <v>85.456980233065295</v>
      </c>
      <c r="C170" s="243">
        <f>('Pivot Table for Data Exchange'!$G$154)*100</f>
        <v>0.62967516826770287</v>
      </c>
      <c r="D170" s="249">
        <f t="shared" ref="D170:D171" si="28">SUM(E170:G170)</f>
        <v>13.91334459866701</v>
      </c>
      <c r="E170" s="243">
        <f>('Pivot Table for Data Exchange'!$G$157)*100</f>
        <v>9.534548849686697</v>
      </c>
      <c r="F170" s="67">
        <f>('Pivot Table for Data Exchange'!$G$160)*100</f>
        <v>1.249268520405815E-2</v>
      </c>
      <c r="G170" s="245">
        <f>('Pivot Table for Data Exchange'!$G$163)*100</f>
        <v>4.3663030637762539</v>
      </c>
      <c r="H170" s="243">
        <f>('Pivot Table for Data Exchange'!$G$166)*100</f>
        <v>0</v>
      </c>
      <c r="I170" s="87" t="s">
        <v>145</v>
      </c>
      <c r="J170" s="243">
        <f>('Pivot Table for Data Exchange'!$G$169)*100</f>
        <v>0</v>
      </c>
      <c r="K170" s="243">
        <f>('Pivot Table for Data Exchange'!$G$172)*100</f>
        <v>0</v>
      </c>
      <c r="L170" s="249">
        <f t="shared" ref="L170:L171" si="29">SUM(M170:O170)</f>
        <v>0</v>
      </c>
      <c r="M170" s="243">
        <f>('Pivot Table for Data Exchange'!$G$175)*100</f>
        <v>0</v>
      </c>
      <c r="N170" s="243">
        <f>('Pivot Table for Data Exchange'!$G$178)*100</f>
        <v>0</v>
      </c>
      <c r="O170" s="245">
        <f>('Pivot Table for Data Exchange'!$G$181)*100</f>
        <v>0</v>
      </c>
      <c r="P170" s="243">
        <f>('Pivot Table for Data Exchange'!$G$184)*100</f>
        <v>0</v>
      </c>
      <c r="Q170" s="248">
        <f t="shared" si="24"/>
        <v>100.00000000000001</v>
      </c>
      <c r="R170" s="248">
        <f t="shared" si="25"/>
        <v>0</v>
      </c>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row>
    <row r="171" spans="1:41" ht="15.75" customHeight="1" x14ac:dyDescent="0.2">
      <c r="A171" s="65" t="s">
        <v>146</v>
      </c>
      <c r="B171" s="243">
        <f>('Pivot Table for Data Exchange'!$G$187)*100</f>
        <v>0</v>
      </c>
      <c r="C171" s="243">
        <f>('Pivot Table for Data Exchange'!$G$190)*100</f>
        <v>0</v>
      </c>
      <c r="D171" s="249">
        <f t="shared" si="28"/>
        <v>0</v>
      </c>
      <c r="E171" s="243">
        <f>('Pivot Table for Data Exchange'!$G$193)*100</f>
        <v>0</v>
      </c>
      <c r="F171" s="243">
        <f>('Pivot Table for Data Exchange'!$G$196)*100</f>
        <v>0</v>
      </c>
      <c r="G171" s="245">
        <f>('Pivot Table for Data Exchange'!$G$199)*100</f>
        <v>0</v>
      </c>
      <c r="H171" s="243">
        <f>('Pivot Table for Data Exchange'!$G$202)*100</f>
        <v>0</v>
      </c>
      <c r="I171" s="87" t="s">
        <v>146</v>
      </c>
      <c r="J171" s="243">
        <f>('Pivot Table for Data Exchange'!$G$205)*100</f>
        <v>0</v>
      </c>
      <c r="K171" s="243">
        <f>('Pivot Table for Data Exchange'!$G$208)*100</f>
        <v>0</v>
      </c>
      <c r="L171" s="249">
        <f t="shared" si="29"/>
        <v>0</v>
      </c>
      <c r="M171" s="243">
        <f>('Pivot Table for Data Exchange'!$G$211)*100</f>
        <v>0</v>
      </c>
      <c r="N171" s="243">
        <f>('Pivot Table for Data Exchange'!$G$214)*100</f>
        <v>0</v>
      </c>
      <c r="O171" s="245">
        <f>('Pivot Table for Data Exchange'!$G$217)*100</f>
        <v>0</v>
      </c>
      <c r="P171" s="243">
        <f>('Pivot Table for Data Exchange'!$G$220)*100</f>
        <v>0</v>
      </c>
      <c r="Q171" s="248">
        <f t="shared" si="24"/>
        <v>0</v>
      </c>
      <c r="R171" s="248">
        <f t="shared" si="25"/>
        <v>0</v>
      </c>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row>
    <row r="172" spans="1:41" ht="15.75" customHeight="1" x14ac:dyDescent="0.2">
      <c r="A172" s="244" t="s">
        <v>147</v>
      </c>
      <c r="B172" s="243">
        <f>('Pivot Table for Data Exchange'!$G$223)*100</f>
        <v>0</v>
      </c>
      <c r="C172" s="243">
        <f>('Pivot Table for Data Exchange'!$G$226)*100</f>
        <v>0</v>
      </c>
      <c r="D172" s="249">
        <f>SUM(E172:G172)</f>
        <v>0</v>
      </c>
      <c r="E172" s="243">
        <f>('Pivot Table for Data Exchange'!$G$229)*100</f>
        <v>0</v>
      </c>
      <c r="F172" s="243">
        <f>('Pivot Table for Data Exchange'!$G$232)*100</f>
        <v>0</v>
      </c>
      <c r="G172" s="245">
        <f>('Pivot Table for Data Exchange'!$G$235)*100</f>
        <v>0</v>
      </c>
      <c r="H172" s="243">
        <f>('Pivot Table for Data Exchange'!$G$238)*100</f>
        <v>0</v>
      </c>
      <c r="I172" s="87" t="s">
        <v>147</v>
      </c>
      <c r="J172" s="243">
        <f>('Pivot Table for Data Exchange'!$G$241)*100</f>
        <v>0</v>
      </c>
      <c r="K172" s="243">
        <f>('Pivot Table for Data Exchange'!$G$244)*100</f>
        <v>0</v>
      </c>
      <c r="L172" s="249">
        <f>SUM(M172:O172)</f>
        <v>0</v>
      </c>
      <c r="M172" s="243">
        <f>('Pivot Table for Data Exchange'!$G$247)*100</f>
        <v>0</v>
      </c>
      <c r="N172" s="243">
        <f>('Pivot Table for Data Exchange'!$G$250)*100</f>
        <v>0</v>
      </c>
      <c r="O172" s="245">
        <f>('Pivot Table for Data Exchange'!$G$253)*100</f>
        <v>0</v>
      </c>
      <c r="P172" s="243">
        <f>('Pivot Table for Data Exchange'!$G$256)*100</f>
        <v>0</v>
      </c>
      <c r="Q172" s="248">
        <f t="shared" si="24"/>
        <v>0</v>
      </c>
      <c r="R172" s="248">
        <f t="shared" si="25"/>
        <v>0</v>
      </c>
      <c r="S172" s="98"/>
      <c r="T172" s="104"/>
      <c r="U172" s="98"/>
      <c r="V172" s="98"/>
      <c r="W172" s="98"/>
      <c r="X172" s="98"/>
      <c r="Y172" s="98"/>
      <c r="Z172" s="98"/>
      <c r="AA172" s="98"/>
      <c r="AB172" s="98"/>
      <c r="AC172" s="98"/>
      <c r="AD172" s="98"/>
      <c r="AE172" s="98"/>
      <c r="AF172" s="98"/>
      <c r="AG172" s="98"/>
      <c r="AH172" s="98"/>
      <c r="AI172" s="98"/>
      <c r="AJ172" s="98"/>
      <c r="AK172" s="98"/>
      <c r="AL172" s="98"/>
      <c r="AM172" s="98"/>
      <c r="AN172" s="98"/>
      <c r="AO172" s="98"/>
    </row>
    <row r="173" spans="1:41" ht="15.75" customHeight="1" x14ac:dyDescent="0.2">
      <c r="A173" s="65" t="s">
        <v>177</v>
      </c>
      <c r="B173" s="243">
        <f>('Pivot Table for Data Exchange'!$G$259)*100</f>
        <v>86.301098106029656</v>
      </c>
      <c r="C173" s="243">
        <f>('Pivot Table for Data Exchange'!$G$262)*100</f>
        <v>1.3711738415039734</v>
      </c>
      <c r="D173" s="249">
        <f>SUM(E173:G173)</f>
        <v>12.327728052466362</v>
      </c>
      <c r="E173" s="243">
        <f>('Pivot Table for Data Exchange'!$G$265)*100</f>
        <v>12.327728052466362</v>
      </c>
      <c r="F173" s="243">
        <f>('Pivot Table for Data Exchange'!$G$268)*100</f>
        <v>0</v>
      </c>
      <c r="G173" s="245">
        <f>('Pivot Table for Data Exchange'!$G$271)*100</f>
        <v>0</v>
      </c>
      <c r="H173" s="243">
        <f>('Pivot Table for Data Exchange'!$G$274)*100</f>
        <v>0</v>
      </c>
      <c r="I173" s="87" t="s">
        <v>177</v>
      </c>
      <c r="J173" s="243">
        <f>('Pivot Table for Data Exchange'!$G$277)*100</f>
        <v>79.23383878691142</v>
      </c>
      <c r="K173" s="243">
        <f>('Pivot Table for Data Exchange'!$G$280)*100</f>
        <v>13.072625698324023</v>
      </c>
      <c r="L173" s="249">
        <f>SUM(M173:O173)</f>
        <v>7.6935355147645659</v>
      </c>
      <c r="M173" s="243">
        <f>('Pivot Table for Data Exchange'!$G$283)*100</f>
        <v>7.6935355147645659</v>
      </c>
      <c r="N173" s="243">
        <f>('Pivot Table for Data Exchange'!$G$286)*100</f>
        <v>0</v>
      </c>
      <c r="O173" s="245">
        <f>('Pivot Table for Data Exchange'!$G$289)*100</f>
        <v>0</v>
      </c>
      <c r="P173" s="243">
        <f>('Pivot Table for Data Exchange'!$G$292)*100</f>
        <v>0</v>
      </c>
      <c r="Q173" s="248">
        <f t="shared" si="24"/>
        <v>100</v>
      </c>
      <c r="R173" s="248">
        <f t="shared" si="25"/>
        <v>100</v>
      </c>
      <c r="S173" s="98"/>
      <c r="U173" s="98"/>
      <c r="V173" s="98"/>
      <c r="W173" s="98"/>
      <c r="X173" s="98"/>
      <c r="Y173" s="98"/>
      <c r="Z173" s="98"/>
      <c r="AA173" s="98"/>
      <c r="AB173" s="98"/>
      <c r="AC173" s="98"/>
      <c r="AD173" s="98"/>
      <c r="AE173" s="98"/>
      <c r="AF173" s="98"/>
      <c r="AG173" s="98"/>
      <c r="AH173" s="98"/>
      <c r="AI173" s="98"/>
      <c r="AJ173" s="98"/>
      <c r="AK173" s="98"/>
      <c r="AL173" s="98"/>
      <c r="AM173" s="98"/>
      <c r="AN173" s="98"/>
      <c r="AO173" s="98"/>
    </row>
    <row r="174" spans="1:41" ht="11.25" customHeight="1" x14ac:dyDescent="0.2">
      <c r="A174" s="65"/>
      <c r="B174" s="243"/>
      <c r="C174" s="243"/>
      <c r="D174" s="249"/>
      <c r="E174" s="243"/>
      <c r="F174" s="243"/>
      <c r="G174" s="245"/>
      <c r="H174" s="243"/>
      <c r="I174" s="87"/>
      <c r="J174" s="243"/>
      <c r="K174" s="243"/>
      <c r="L174" s="249"/>
      <c r="M174" s="243"/>
      <c r="N174" s="243"/>
      <c r="O174" s="245"/>
      <c r="P174" s="243"/>
      <c r="Q174" s="248">
        <f t="shared" si="24"/>
        <v>0</v>
      </c>
      <c r="R174" s="248">
        <f t="shared" si="25"/>
        <v>0</v>
      </c>
      <c r="S174" s="98"/>
      <c r="U174" s="98"/>
      <c r="V174" s="98"/>
      <c r="W174" s="98"/>
      <c r="X174" s="98"/>
      <c r="Y174" s="98"/>
      <c r="Z174" s="98"/>
      <c r="AA174" s="98"/>
      <c r="AB174" s="98"/>
      <c r="AC174" s="98"/>
      <c r="AD174" s="98"/>
      <c r="AE174" s="98"/>
      <c r="AF174" s="98"/>
      <c r="AG174" s="98"/>
      <c r="AH174" s="98"/>
      <c r="AI174" s="98"/>
      <c r="AJ174" s="98"/>
      <c r="AK174" s="98"/>
      <c r="AL174" s="98"/>
      <c r="AM174" s="98"/>
      <c r="AN174" s="98"/>
      <c r="AO174" s="98"/>
    </row>
    <row r="175" spans="1:41" ht="15.75" customHeight="1" x14ac:dyDescent="0.2">
      <c r="A175" s="65" t="s">
        <v>148</v>
      </c>
      <c r="B175" s="243">
        <f>('Pivot Table for Data Exchange'!$G$295)*100</f>
        <v>52.951594724747139</v>
      </c>
      <c r="C175" s="243">
        <f>('Pivot Table for Data Exchange'!$G$298)*100</f>
        <v>0</v>
      </c>
      <c r="D175" s="249">
        <f>SUM(E175:G175)</f>
        <v>47.048405275252861</v>
      </c>
      <c r="E175" s="243">
        <f>('Pivot Table for Data Exchange'!$G$301)*100</f>
        <v>47.048405275252861</v>
      </c>
      <c r="F175" s="243">
        <f>('Pivot Table for Data Exchange'!$G$304)*100</f>
        <v>0</v>
      </c>
      <c r="G175" s="245">
        <f>('Pivot Table for Data Exchange'!$G$307)*100</f>
        <v>0</v>
      </c>
      <c r="H175" s="243">
        <f>('Pivot Table for Data Exchange'!$G$310)*100</f>
        <v>0</v>
      </c>
      <c r="I175" s="87" t="s">
        <v>148</v>
      </c>
      <c r="J175" s="243">
        <f>('Pivot Table for Data Exchange'!$G$313)*100</f>
        <v>63.482280431432969</v>
      </c>
      <c r="K175" s="243">
        <f>('Pivot Table for Data Exchange'!$G$316)*100</f>
        <v>7.1905495634309187</v>
      </c>
      <c r="L175" s="249">
        <f>SUM(M175:O175)</f>
        <v>29.327170005136104</v>
      </c>
      <c r="M175" s="243">
        <f>('Pivot Table for Data Exchange'!$G$319)*100</f>
        <v>29.327170005136104</v>
      </c>
      <c r="N175" s="243">
        <f>('Pivot Table for Data Exchange'!$G$322)*100</f>
        <v>0</v>
      </c>
      <c r="O175" s="245">
        <f>('Pivot Table for Data Exchange'!$G$325)*100</f>
        <v>0</v>
      </c>
      <c r="P175" s="243">
        <f>('Pivot Table for Data Exchange'!$G$328)*100</f>
        <v>0</v>
      </c>
      <c r="Q175" s="248">
        <f t="shared" si="24"/>
        <v>100</v>
      </c>
      <c r="R175" s="248">
        <f t="shared" si="25"/>
        <v>100</v>
      </c>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row>
    <row r="176" spans="1:41" ht="15.75" customHeight="1" x14ac:dyDescent="0.2">
      <c r="A176" s="65" t="s">
        <v>149</v>
      </c>
      <c r="B176" s="243">
        <f>('Pivot Table for Data Exchange'!$G$331)*100</f>
        <v>77.941381920731416</v>
      </c>
      <c r="C176" s="243">
        <f>('Pivot Table for Data Exchange'!$G$334)*100</f>
        <v>4.5391485725610723</v>
      </c>
      <c r="D176" s="249">
        <f>SUM(E176:G176)</f>
        <v>17.519469506707519</v>
      </c>
      <c r="E176" s="243">
        <f>('Pivot Table for Data Exchange'!$G$337)*100</f>
        <v>17.228360987559661</v>
      </c>
      <c r="F176" s="243">
        <f>('Pivot Table for Data Exchange'!$G$340)*100</f>
        <v>0.29110851914785779</v>
      </c>
      <c r="G176" s="245">
        <f>('Pivot Table for Data Exchange'!$G$343)*100</f>
        <v>0</v>
      </c>
      <c r="H176" s="243">
        <f>('Pivot Table for Data Exchange'!$G$346)*100</f>
        <v>0</v>
      </c>
      <c r="I176" s="87" t="s">
        <v>149</v>
      </c>
      <c r="J176" s="243">
        <f>('Pivot Table for Data Exchange'!$G$349)*100</f>
        <v>65.898557061652824</v>
      </c>
      <c r="K176" s="243">
        <f>('Pivot Table for Data Exchange'!$G$352)*100</f>
        <v>7.6213379973764761</v>
      </c>
      <c r="L176" s="249">
        <f>SUM(M176:O176)</f>
        <v>26.480104940970705</v>
      </c>
      <c r="M176" s="243">
        <f>('Pivot Table for Data Exchange'!$G$355)*100</f>
        <v>24.65675557498907</v>
      </c>
      <c r="N176" s="243">
        <f>('Pivot Table for Data Exchange'!$G$358)*100</f>
        <v>1.8233493659816353</v>
      </c>
      <c r="O176" s="245">
        <f>('Pivot Table for Data Exchange'!$G$361)*100</f>
        <v>0</v>
      </c>
      <c r="P176" s="243">
        <f>('Pivot Table for Data Exchange'!$G$364)*100</f>
        <v>0</v>
      </c>
      <c r="Q176" s="248">
        <f t="shared" si="24"/>
        <v>100.00000000000001</v>
      </c>
      <c r="R176" s="248">
        <f t="shared" si="25"/>
        <v>100</v>
      </c>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row>
    <row r="177" spans="1:41" ht="15.75" customHeight="1" x14ac:dyDescent="0.2">
      <c r="A177" s="65" t="s">
        <v>150</v>
      </c>
      <c r="B177" s="243">
        <f>('Pivot Table for Data Exchange'!$G$367)*100</f>
        <v>83.002856626599325</v>
      </c>
      <c r="C177" s="243">
        <f>('Pivot Table for Data Exchange'!$G$370)*100</f>
        <v>0.73975443336402202</v>
      </c>
      <c r="D177" s="249">
        <f>SUM(E177:G177)</f>
        <v>16.257388940036655</v>
      </c>
      <c r="E177" s="243">
        <f>('Pivot Table for Data Exchange'!$G$373)*100</f>
        <v>9.8536409082695897</v>
      </c>
      <c r="F177" s="243">
        <f>('Pivot Table for Data Exchange'!$G$376)*100</f>
        <v>5.322403008062226</v>
      </c>
      <c r="G177" s="245">
        <f>('Pivot Table for Data Exchange'!$G$379)*100</f>
        <v>1.0813450237048381</v>
      </c>
      <c r="H177" s="243">
        <f>('Pivot Table for Data Exchange'!$G$382)*100</f>
        <v>0</v>
      </c>
      <c r="I177" s="87" t="s">
        <v>150</v>
      </c>
      <c r="J177" s="243">
        <f>('Pivot Table for Data Exchange'!$G$385)*100</f>
        <v>48.545342328729227</v>
      </c>
      <c r="K177" s="243">
        <f>('Pivot Table for Data Exchange'!$G$388)*100</f>
        <v>5.4547002362355546</v>
      </c>
      <c r="L177" s="249">
        <f>SUM(M177:O177)</f>
        <v>45.99995743503522</v>
      </c>
      <c r="M177" s="243">
        <f>('Pivot Table for Data Exchange'!$G$391)*100</f>
        <v>29.056973205354673</v>
      </c>
      <c r="N177" s="243">
        <f>('Pivot Table for Data Exchange'!$G$394)*100</f>
        <v>15.212718411475516</v>
      </c>
      <c r="O177" s="245">
        <f>('Pivot Table for Data Exchange'!$G$397)*100</f>
        <v>1.7302658182050357</v>
      </c>
      <c r="P177" s="243">
        <f>('Pivot Table for Data Exchange'!$G$400)*100</f>
        <v>0</v>
      </c>
      <c r="Q177" s="248">
        <f t="shared" si="24"/>
        <v>100</v>
      </c>
      <c r="R177" s="248">
        <f t="shared" si="25"/>
        <v>100</v>
      </c>
      <c r="S177" s="98"/>
      <c r="T177" s="104"/>
      <c r="U177" s="98"/>
      <c r="V177" s="98"/>
      <c r="W177" s="98"/>
      <c r="X177" s="98"/>
      <c r="Y177" s="98"/>
      <c r="Z177" s="98"/>
      <c r="AA177" s="98"/>
      <c r="AB177" s="98"/>
      <c r="AC177" s="98"/>
      <c r="AD177" s="98"/>
      <c r="AE177" s="98"/>
      <c r="AF177" s="98"/>
      <c r="AG177" s="98"/>
      <c r="AH177" s="98"/>
      <c r="AI177" s="98"/>
      <c r="AJ177" s="98"/>
      <c r="AK177" s="98"/>
      <c r="AL177" s="98"/>
      <c r="AM177" s="98"/>
      <c r="AN177" s="98"/>
      <c r="AO177" s="98"/>
    </row>
    <row r="178" spans="1:41" ht="15.75" customHeight="1" x14ac:dyDescent="0.2">
      <c r="A178" s="65" t="s">
        <v>151</v>
      </c>
      <c r="B178" s="243">
        <f>('Pivot Table for Data Exchange'!$G$403)*100</f>
        <v>95.006142038722018</v>
      </c>
      <c r="C178" s="243">
        <f>('Pivot Table for Data Exchange'!$G$406)*100</f>
        <v>0.47614388676907021</v>
      </c>
      <c r="D178" s="249">
        <f>SUM(E178:G178)</f>
        <v>4.5177140745089082</v>
      </c>
      <c r="E178" s="243">
        <f>('Pivot Table for Data Exchange'!$G$409)*100</f>
        <v>4.5177140745089082</v>
      </c>
      <c r="F178" s="243">
        <f>('Pivot Table for Data Exchange'!$G$412)*100</f>
        <v>0</v>
      </c>
      <c r="G178" s="245">
        <f>('Pivot Table for Data Exchange'!$G$415)*100</f>
        <v>0</v>
      </c>
      <c r="H178" s="243">
        <f>('Pivot Table for Data Exchange'!$G$418)*100</f>
        <v>0</v>
      </c>
      <c r="I178" s="87" t="s">
        <v>151</v>
      </c>
      <c r="J178" s="243">
        <f>('Pivot Table for Data Exchange'!$G$421)*100</f>
        <v>70.390099983609247</v>
      </c>
      <c r="K178" s="243">
        <f>('Pivot Table for Data Exchange'!$G$424)*100</f>
        <v>14.682019341091623</v>
      </c>
      <c r="L178" s="249">
        <f>SUM(M178:O178)</f>
        <v>14.927880675299132</v>
      </c>
      <c r="M178" s="243">
        <f>('Pivot Table for Data Exchange'!$G$427)*100</f>
        <v>14.927880675299132</v>
      </c>
      <c r="N178" s="243">
        <f>('Pivot Table for Data Exchange'!$G$430)*100</f>
        <v>0</v>
      </c>
      <c r="O178" s="245">
        <f>('Pivot Table for Data Exchange'!$G$433)*100</f>
        <v>0</v>
      </c>
      <c r="P178" s="243">
        <f>('Pivot Table for Data Exchange'!$G$436)*100</f>
        <v>0</v>
      </c>
      <c r="Q178" s="248">
        <f t="shared" si="24"/>
        <v>99.999999999999986</v>
      </c>
      <c r="R178" s="248">
        <f t="shared" si="25"/>
        <v>100</v>
      </c>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row>
    <row r="179" spans="1:41" ht="11.25" customHeight="1" x14ac:dyDescent="0.2">
      <c r="A179" s="65"/>
      <c r="B179" s="243"/>
      <c r="C179" s="243"/>
      <c r="D179" s="249"/>
      <c r="E179" s="243"/>
      <c r="F179" s="243"/>
      <c r="G179" s="245"/>
      <c r="H179" s="243"/>
      <c r="I179" s="87"/>
      <c r="J179" s="243"/>
      <c r="K179" s="243"/>
      <c r="L179" s="249"/>
      <c r="M179" s="243"/>
      <c r="N179" s="243"/>
      <c r="O179" s="245"/>
      <c r="P179" s="243"/>
      <c r="Q179" s="248">
        <f t="shared" si="24"/>
        <v>0</v>
      </c>
      <c r="R179" s="248">
        <f t="shared" si="25"/>
        <v>0</v>
      </c>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row>
    <row r="180" spans="1:41" ht="15.75" customHeight="1" x14ac:dyDescent="0.2">
      <c r="A180" s="65" t="s">
        <v>152</v>
      </c>
      <c r="B180" s="243">
        <f>('Pivot Table for Data Exchange'!$G$439)*100</f>
        <v>84.095876988015377</v>
      </c>
      <c r="C180" s="243">
        <f>('Pivot Table for Data Exchange'!$G$442)*100</f>
        <v>8.7389764076279484</v>
      </c>
      <c r="D180" s="249">
        <f>SUM(E180:G180)</f>
        <v>7.0169091228863598</v>
      </c>
      <c r="E180" s="243">
        <f>('Pivot Table for Data Exchange'!$G$445)*100</f>
        <v>6.2385367201829096</v>
      </c>
      <c r="F180" s="243">
        <f>('Pivot Table for Data Exchange'!$G$448)*100</f>
        <v>0.76480490439938698</v>
      </c>
      <c r="G180" s="68">
        <f>('Pivot Table for Data Exchange'!$G$451)*100</f>
        <v>1.356749830406271E-2</v>
      </c>
      <c r="H180" s="243">
        <f>('Pivot Table for Data Exchange'!$G$454)*100</f>
        <v>0.14823748147031482</v>
      </c>
      <c r="I180" s="87" t="s">
        <v>152</v>
      </c>
      <c r="J180" s="243">
        <f>('Pivot Table for Data Exchange'!$G$457)*100</f>
        <v>21.351224105461394</v>
      </c>
      <c r="K180" s="243">
        <f>('Pivot Table for Data Exchange'!$G$460)*100</f>
        <v>7.0621468926553674E-2</v>
      </c>
      <c r="L180" s="249">
        <f>SUM(M180:O180)</f>
        <v>78.542843691148775</v>
      </c>
      <c r="M180" s="243">
        <f>('Pivot Table for Data Exchange'!$G$463)*100</f>
        <v>57.191619585687384</v>
      </c>
      <c r="N180" s="243">
        <f>('Pivot Table for Data Exchange'!$G$466)*100</f>
        <v>0</v>
      </c>
      <c r="O180" s="245">
        <f>('Pivot Table for Data Exchange'!$G$469)*100</f>
        <v>21.351224105461394</v>
      </c>
      <c r="P180" s="67">
        <f>('Pivot Table for Data Exchange'!$G$472)*100</f>
        <v>3.5310734463276837E-2</v>
      </c>
      <c r="Q180" s="248">
        <f t="shared" si="24"/>
        <v>100</v>
      </c>
      <c r="R180" s="248">
        <f t="shared" si="25"/>
        <v>100</v>
      </c>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row>
    <row r="181" spans="1:41" ht="15.75" customHeight="1" x14ac:dyDescent="0.2">
      <c r="A181" s="65" t="s">
        <v>153</v>
      </c>
      <c r="B181" s="243">
        <f>('Pivot Table for Data Exchange'!$G$475)*100</f>
        <v>63.052163350595592</v>
      </c>
      <c r="C181" s="243">
        <f>('Pivot Table for Data Exchange'!$G$478)*100</f>
        <v>4.1106634312912149</v>
      </c>
      <c r="D181" s="249">
        <f>SUM(E181:G181)</f>
        <v>32.837173218113193</v>
      </c>
      <c r="E181" s="243">
        <f>('Pivot Table for Data Exchange'!$G$481)*100</f>
        <v>31.62277485354452</v>
      </c>
      <c r="F181" s="243">
        <f>('Pivot Table for Data Exchange'!$G$484)*100</f>
        <v>1.2143983645686747</v>
      </c>
      <c r="G181" s="245">
        <f>('Pivot Table for Data Exchange'!$G$487)*100</f>
        <v>0</v>
      </c>
      <c r="H181" s="243">
        <f>('Pivot Table for Data Exchange'!$G$490)*100</f>
        <v>0</v>
      </c>
      <c r="I181" s="87" t="s">
        <v>153</v>
      </c>
      <c r="J181" s="243">
        <f>('Pivot Table for Data Exchange'!$G$493)*100</f>
        <v>33.928412032491295</v>
      </c>
      <c r="K181" s="243">
        <f>('Pivot Table for Data Exchange'!$G$496)*100</f>
        <v>1.981612068196019</v>
      </c>
      <c r="L181" s="249">
        <f>SUM(M181:O181)</f>
        <v>64.089975899312677</v>
      </c>
      <c r="M181" s="243">
        <f>('Pivot Table for Data Exchange'!$G$499)*100</f>
        <v>62.536820494510401</v>
      </c>
      <c r="N181" s="243">
        <f>('Pivot Table for Data Exchange'!$G$502)*100</f>
        <v>1.3790948852985807</v>
      </c>
      <c r="O181" s="245">
        <f>('Pivot Table for Data Exchange'!$G$505)*100</f>
        <v>0.17406051950370438</v>
      </c>
      <c r="P181" s="243">
        <f>('Pivot Table for Data Exchange'!$G$508)*100</f>
        <v>0</v>
      </c>
      <c r="Q181" s="248">
        <f t="shared" si="24"/>
        <v>100</v>
      </c>
      <c r="R181" s="248">
        <f t="shared" si="25"/>
        <v>100</v>
      </c>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row>
    <row r="182" spans="1:41" ht="15.75" customHeight="1" x14ac:dyDescent="0.2">
      <c r="A182" s="65" t="s">
        <v>154</v>
      </c>
      <c r="B182" s="243">
        <f>('Pivot Table for Data Exchange'!$G$511)*100</f>
        <v>98.41344272221771</v>
      </c>
      <c r="C182" s="243">
        <f>('Pivot Table for Data Exchange'!$G$514)*100</f>
        <v>0.11076732216306426</v>
      </c>
      <c r="D182" s="249">
        <f>SUM(E182:G182)</f>
        <v>1.4757899556192262</v>
      </c>
      <c r="E182" s="243">
        <f>('Pivot Table for Data Exchange'!$G$517)*100</f>
        <v>1.359853491755219</v>
      </c>
      <c r="F182" s="243">
        <f>('Pivot Table for Data Exchange'!$G$520)*100</f>
        <v>0.11593646386400727</v>
      </c>
      <c r="G182" s="245">
        <f>('Pivot Table for Data Exchange'!$G$523)*100</f>
        <v>0</v>
      </c>
      <c r="H182" s="243">
        <f>('Pivot Table for Data Exchange'!$G$526)*100</f>
        <v>0</v>
      </c>
      <c r="I182" s="87" t="s">
        <v>154</v>
      </c>
      <c r="J182" s="243">
        <f>('Pivot Table for Data Exchange'!$G$529)*100</f>
        <v>88.530986993113999</v>
      </c>
      <c r="K182" s="243">
        <f>('Pivot Table for Data Exchange'!$G$532)*100</f>
        <v>0.43611323641928079</v>
      </c>
      <c r="L182" s="249">
        <f>SUM(M182:O182)</f>
        <v>11.032899770466717</v>
      </c>
      <c r="M182" s="243">
        <f>('Pivot Table for Data Exchange'!$G$535)*100</f>
        <v>11.032899770466717</v>
      </c>
      <c r="N182" s="243">
        <f>('Pivot Table for Data Exchange'!$G$538)*100</f>
        <v>0</v>
      </c>
      <c r="O182" s="245">
        <f>('Pivot Table for Data Exchange'!$G$541)*100</f>
        <v>0</v>
      </c>
      <c r="P182" s="243">
        <f>('Pivot Table for Data Exchange'!$G$544)*100</f>
        <v>0</v>
      </c>
      <c r="Q182" s="248">
        <f t="shared" si="24"/>
        <v>100</v>
      </c>
      <c r="R182" s="248">
        <f t="shared" si="25"/>
        <v>99.999999999999986</v>
      </c>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row>
    <row r="183" spans="1:41" ht="15.75" customHeight="1" x14ac:dyDescent="0.2">
      <c r="A183" s="242" t="s">
        <v>155</v>
      </c>
      <c r="B183" s="246">
        <f>('Pivot Table for Data Exchange'!$G$547)*100</f>
        <v>86.908362066301407</v>
      </c>
      <c r="C183" s="246">
        <f>('Pivot Table for Data Exchange'!$G$550)*100</f>
        <v>5.7515970526817677</v>
      </c>
      <c r="D183" s="250">
        <f>SUM(E183:G183)</f>
        <v>7.3400408810168152</v>
      </c>
      <c r="E183" s="246">
        <f>('Pivot Table for Data Exchange'!$G$553)*100</f>
        <v>7.3400408810168152</v>
      </c>
      <c r="F183" s="246">
        <f>('Pivot Table for Data Exchange'!$G$556)*100</f>
        <v>0</v>
      </c>
      <c r="G183" s="247">
        <f>('Pivot Table for Data Exchange'!$G$559)*100</f>
        <v>0</v>
      </c>
      <c r="H183" s="246">
        <f>('Pivot Table for Data Exchange'!$G$562)*100</f>
        <v>0</v>
      </c>
      <c r="I183" s="252" t="s">
        <v>155</v>
      </c>
      <c r="J183" s="246">
        <f>('Pivot Table for Data Exchange'!$G$565)*100</f>
        <v>52.554513852312233</v>
      </c>
      <c r="K183" s="246">
        <f>('Pivot Table for Data Exchange'!$G$568)*100</f>
        <v>0</v>
      </c>
      <c r="L183" s="250">
        <f>SUM(M183:O183)</f>
        <v>47.445486147687774</v>
      </c>
      <c r="M183" s="246">
        <f>('Pivot Table for Data Exchange'!$G$571)*100</f>
        <v>47.445486147687774</v>
      </c>
      <c r="N183" s="246">
        <f>('Pivot Table for Data Exchange'!$G$574)*100</f>
        <v>0</v>
      </c>
      <c r="O183" s="247">
        <f>('Pivot Table for Data Exchange'!$G$577)*100</f>
        <v>0</v>
      </c>
      <c r="P183" s="246">
        <f>('Pivot Table for Data Exchange'!$G$580)*100</f>
        <v>0</v>
      </c>
      <c r="Q183" s="248">
        <f t="shared" si="24"/>
        <v>100</v>
      </c>
      <c r="R183" s="248">
        <f t="shared" si="25"/>
        <v>100</v>
      </c>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row>
    <row r="184" spans="1:41" s="103" customFormat="1" ht="18" customHeight="1" x14ac:dyDescent="0.2">
      <c r="A184" s="24" t="s">
        <v>175</v>
      </c>
      <c r="B184" s="69"/>
      <c r="C184" s="69"/>
      <c r="D184" s="70"/>
      <c r="E184" s="69"/>
      <c r="F184" s="70"/>
      <c r="G184" s="70"/>
      <c r="H184" s="69"/>
      <c r="I184" s="24" t="s">
        <v>175</v>
      </c>
      <c r="J184" s="69"/>
      <c r="K184" s="69"/>
      <c r="L184" s="70"/>
      <c r="M184" s="69"/>
      <c r="N184" s="70"/>
      <c r="O184" s="70"/>
      <c r="P184" s="69"/>
      <c r="Q184" s="248">
        <f t="shared" si="24"/>
        <v>0</v>
      </c>
      <c r="R184" s="248">
        <f t="shared" si="25"/>
        <v>0</v>
      </c>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row>
    <row r="185" spans="1:41" s="103" customFormat="1" ht="25.5" customHeight="1" x14ac:dyDescent="0.2">
      <c r="A185" s="666" t="s">
        <v>176</v>
      </c>
      <c r="B185" s="683"/>
      <c r="C185" s="683"/>
      <c r="D185" s="683"/>
      <c r="E185" s="683"/>
      <c r="F185" s="683"/>
      <c r="G185" s="683"/>
      <c r="H185" s="683"/>
      <c r="I185" s="666" t="s">
        <v>176</v>
      </c>
      <c r="J185" s="683"/>
      <c r="K185" s="683"/>
      <c r="L185" s="683"/>
      <c r="M185" s="683"/>
      <c r="N185" s="683"/>
      <c r="O185" s="683"/>
      <c r="P185" s="683"/>
      <c r="Q185" s="248">
        <f t="shared" si="24"/>
        <v>0</v>
      </c>
      <c r="R185" s="248">
        <f t="shared" si="25"/>
        <v>0</v>
      </c>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02"/>
    </row>
    <row r="186" spans="1:41" s="103" customFormat="1" ht="16.5" customHeight="1" x14ac:dyDescent="0.2">
      <c r="A186" s="78"/>
      <c r="B186" s="111"/>
      <c r="C186" s="111"/>
      <c r="D186" s="111"/>
      <c r="E186" s="111"/>
      <c r="F186" s="111"/>
      <c r="G186" s="112"/>
      <c r="H186" s="112"/>
      <c r="I186" s="78"/>
      <c r="J186" s="111"/>
      <c r="K186" s="111"/>
      <c r="L186" s="111"/>
      <c r="M186" s="111"/>
      <c r="N186" s="111"/>
      <c r="O186" s="111"/>
      <c r="P186" s="112"/>
      <c r="Q186" s="248">
        <f t="shared" si="24"/>
        <v>0</v>
      </c>
      <c r="R186" s="248">
        <f t="shared" si="25"/>
        <v>0</v>
      </c>
      <c r="S186" s="102"/>
      <c r="T186" s="102"/>
      <c r="U186" s="102"/>
      <c r="V186" s="102"/>
      <c r="W186" s="102"/>
      <c r="X186" s="102"/>
      <c r="Y186" s="102"/>
      <c r="Z186" s="102"/>
      <c r="AA186" s="102"/>
      <c r="AB186" s="102"/>
      <c r="AC186" s="102"/>
      <c r="AD186" s="102"/>
      <c r="AE186" s="102"/>
      <c r="AF186" s="102"/>
      <c r="AG186" s="102"/>
      <c r="AH186" s="102"/>
      <c r="AI186" s="102"/>
      <c r="AJ186" s="102"/>
      <c r="AK186" s="102"/>
      <c r="AL186" s="102"/>
      <c r="AM186" s="102"/>
      <c r="AN186" s="102"/>
      <c r="AO186" s="102"/>
    </row>
    <row r="187" spans="1:41" s="103" customFormat="1" ht="13.5" customHeight="1" x14ac:dyDescent="0.2">
      <c r="A187" s="24"/>
      <c r="B187" s="76"/>
      <c r="C187" s="25"/>
      <c r="D187" s="25"/>
      <c r="E187" s="25"/>
      <c r="F187" s="25"/>
      <c r="G187" s="25"/>
      <c r="H187" s="27" t="s">
        <v>914</v>
      </c>
      <c r="I187" s="24"/>
      <c r="J187" s="25"/>
      <c r="K187" s="25"/>
      <c r="L187" s="25"/>
      <c r="M187" s="25"/>
      <c r="N187" s="25"/>
      <c r="O187" s="25"/>
      <c r="P187" s="27" t="s">
        <v>914</v>
      </c>
      <c r="Q187" s="248">
        <f t="shared" si="24"/>
        <v>0</v>
      </c>
      <c r="R187" s="248">
        <f t="shared" si="25"/>
        <v>0</v>
      </c>
    </row>
    <row r="188" spans="1:41" ht="18" x14ac:dyDescent="0.25">
      <c r="A188" s="16" t="s">
        <v>207</v>
      </c>
      <c r="B188" s="34"/>
      <c r="C188" s="34"/>
      <c r="D188" s="34"/>
      <c r="E188" s="34"/>
      <c r="F188" s="34"/>
      <c r="G188" s="34"/>
      <c r="H188" s="35"/>
      <c r="I188" s="16" t="s">
        <v>222</v>
      </c>
      <c r="J188" s="19"/>
      <c r="K188" s="19"/>
      <c r="L188" s="34"/>
      <c r="M188" s="19"/>
      <c r="N188" s="19"/>
      <c r="O188" s="19"/>
      <c r="P188" s="19"/>
      <c r="Q188" s="248">
        <f t="shared" si="24"/>
        <v>0</v>
      </c>
      <c r="R188" s="248">
        <f t="shared" si="25"/>
        <v>0</v>
      </c>
    </row>
    <row r="189" spans="1:41" x14ac:dyDescent="0.2">
      <c r="A189" s="18"/>
      <c r="B189" s="19"/>
      <c r="C189" s="19"/>
      <c r="D189" s="19"/>
      <c r="E189" s="19"/>
      <c r="F189" s="19"/>
      <c r="G189" s="19"/>
      <c r="H189" s="36"/>
      <c r="I189" s="18"/>
      <c r="J189" s="19"/>
      <c r="K189" s="19"/>
      <c r="L189" s="19"/>
      <c r="M189" s="19"/>
      <c r="N189" s="19"/>
      <c r="O189" s="19"/>
      <c r="P189" s="19"/>
      <c r="Q189" s="248">
        <f t="shared" si="24"/>
        <v>0</v>
      </c>
      <c r="R189" s="248">
        <f t="shared" si="25"/>
        <v>0</v>
      </c>
    </row>
    <row r="190" spans="1:41" ht="15.75" x14ac:dyDescent="0.25">
      <c r="A190" s="37" t="s">
        <v>162</v>
      </c>
      <c r="B190" s="19"/>
      <c r="C190" s="19"/>
      <c r="D190" s="19"/>
      <c r="E190" s="19"/>
      <c r="F190" s="19"/>
      <c r="G190" s="19"/>
      <c r="H190" s="36"/>
      <c r="I190" s="37" t="s">
        <v>163</v>
      </c>
      <c r="J190" s="19"/>
      <c r="K190" s="19"/>
      <c r="L190" s="19"/>
      <c r="M190" s="19"/>
      <c r="N190" s="19"/>
      <c r="O190" s="19"/>
      <c r="P190" s="19"/>
      <c r="Q190" s="248">
        <f t="shared" si="24"/>
        <v>0</v>
      </c>
      <c r="R190" s="248">
        <f t="shared" si="25"/>
        <v>0</v>
      </c>
    </row>
    <row r="191" spans="1:41" ht="15.75" x14ac:dyDescent="0.25">
      <c r="A191" s="37" t="s">
        <v>872</v>
      </c>
      <c r="B191" s="19"/>
      <c r="C191" s="19"/>
      <c r="D191" s="19"/>
      <c r="E191" s="19"/>
      <c r="F191" s="19"/>
      <c r="G191" s="19"/>
      <c r="H191" s="36"/>
      <c r="I191" s="37" t="s">
        <v>872</v>
      </c>
      <c r="J191" s="19"/>
      <c r="K191" s="19"/>
      <c r="L191" s="19"/>
      <c r="M191" s="19"/>
      <c r="N191" s="19"/>
      <c r="O191" s="19"/>
      <c r="P191" s="19"/>
      <c r="Q191" s="248">
        <f t="shared" si="24"/>
        <v>0</v>
      </c>
      <c r="R191" s="248">
        <f t="shared" si="25"/>
        <v>0</v>
      </c>
    </row>
    <row r="192" spans="1:41" x14ac:dyDescent="0.2">
      <c r="A192" s="39"/>
      <c r="B192" s="40"/>
      <c r="C192" s="40"/>
      <c r="D192" s="40"/>
      <c r="E192" s="40"/>
      <c r="F192" s="40"/>
      <c r="G192" s="40"/>
      <c r="H192" s="40"/>
      <c r="I192" s="41"/>
      <c r="L192" s="42"/>
      <c r="P192" s="39"/>
      <c r="Q192" s="248">
        <f t="shared" si="24"/>
        <v>0</v>
      </c>
      <c r="R192" s="248">
        <f t="shared" si="25"/>
        <v>0</v>
      </c>
    </row>
    <row r="193" spans="1:41" s="57" customFormat="1" x14ac:dyDescent="0.2">
      <c r="A193" s="43"/>
      <c r="B193" s="44" t="s">
        <v>164</v>
      </c>
      <c r="C193" s="44"/>
      <c r="D193" s="44"/>
      <c r="E193" s="44"/>
      <c r="F193" s="44"/>
      <c r="G193" s="44"/>
      <c r="H193" s="45"/>
      <c r="I193" s="43"/>
      <c r="J193" s="44" t="s">
        <v>164</v>
      </c>
      <c r="K193" s="44"/>
      <c r="L193" s="44"/>
      <c r="M193" s="44"/>
      <c r="N193" s="44"/>
      <c r="O193" s="44"/>
      <c r="P193" s="45"/>
      <c r="Q193" s="248">
        <f t="shared" si="24"/>
        <v>0</v>
      </c>
      <c r="R193" s="248">
        <f t="shared" si="25"/>
        <v>0</v>
      </c>
    </row>
    <row r="194" spans="1:41" s="57" customFormat="1" x14ac:dyDescent="0.2">
      <c r="A194" s="43"/>
      <c r="B194" s="44" t="s">
        <v>165</v>
      </c>
      <c r="C194" s="44"/>
      <c r="D194" s="670" t="s">
        <v>166</v>
      </c>
      <c r="E194" s="668"/>
      <c r="F194" s="668"/>
      <c r="G194" s="668"/>
      <c r="H194" s="49" t="s">
        <v>39</v>
      </c>
      <c r="I194" s="43"/>
      <c r="J194" s="44" t="s">
        <v>165</v>
      </c>
      <c r="K194" s="44"/>
      <c r="L194" s="670" t="s">
        <v>166</v>
      </c>
      <c r="M194" s="668"/>
      <c r="N194" s="668"/>
      <c r="O194" s="668"/>
      <c r="P194" s="49" t="s">
        <v>39</v>
      </c>
      <c r="Q194" s="248">
        <f t="shared" si="24"/>
        <v>0</v>
      </c>
      <c r="R194" s="248">
        <f t="shared" si="25"/>
        <v>0</v>
      </c>
    </row>
    <row r="195" spans="1:41" s="57" customFormat="1" ht="40.5" customHeight="1" x14ac:dyDescent="0.2">
      <c r="A195" s="43"/>
      <c r="B195" s="50" t="s">
        <v>167</v>
      </c>
      <c r="C195" s="51" t="s">
        <v>168</v>
      </c>
      <c r="D195" s="52" t="s">
        <v>169</v>
      </c>
      <c r="E195" s="53" t="s">
        <v>7</v>
      </c>
      <c r="F195" s="50" t="s">
        <v>170</v>
      </c>
      <c r="G195" s="54" t="s">
        <v>171</v>
      </c>
      <c r="H195" s="55" t="s">
        <v>172</v>
      </c>
      <c r="I195" s="43"/>
      <c r="J195" s="50" t="s">
        <v>167</v>
      </c>
      <c r="K195" s="51" t="s">
        <v>168</v>
      </c>
      <c r="L195" s="52" t="s">
        <v>169</v>
      </c>
      <c r="M195" s="53" t="s">
        <v>7</v>
      </c>
      <c r="N195" s="50" t="s">
        <v>170</v>
      </c>
      <c r="O195" s="54" t="s">
        <v>171</v>
      </c>
      <c r="P195" s="55" t="s">
        <v>172</v>
      </c>
      <c r="Q195" s="248">
        <f t="shared" si="24"/>
        <v>0</v>
      </c>
      <c r="R195" s="248">
        <f t="shared" si="25"/>
        <v>0</v>
      </c>
      <c r="T195" s="56"/>
    </row>
    <row r="196" spans="1:41" ht="15.75" customHeight="1" x14ac:dyDescent="0.2">
      <c r="A196" s="62" t="s">
        <v>141</v>
      </c>
      <c r="B196" s="82">
        <f>('Pivot Table for Data Exchange'!$H$7)*100</f>
        <v>33.792740411073623</v>
      </c>
      <c r="C196" s="243">
        <f>('Pivot Table for Data Exchange'!$H$10)*100</f>
        <v>6.3766659488431081</v>
      </c>
      <c r="D196" s="249">
        <f>SUM(E196:G196)</f>
        <v>59.830593640083265</v>
      </c>
      <c r="E196" s="243">
        <f>('Pivot Table for Data Exchange'!$H$13)*100</f>
        <v>59.830593640083265</v>
      </c>
      <c r="F196" s="243">
        <f>('Pivot Table for Data Exchange'!$H$16)*100</f>
        <v>0</v>
      </c>
      <c r="G196" s="60">
        <f>('Pivot Table for Data Exchange'!$H$19)*100</f>
        <v>0</v>
      </c>
      <c r="H196" s="243">
        <f>('Pivot Table for Data Exchange'!$H$22)*100</f>
        <v>0</v>
      </c>
      <c r="I196" s="251" t="s">
        <v>141</v>
      </c>
      <c r="J196" s="243">
        <f>('Pivot Table for Data Exchange'!$H$25)*100</f>
        <v>0</v>
      </c>
      <c r="K196" s="243">
        <f>('Pivot Table for Data Exchange'!$H$28)*100</f>
        <v>0</v>
      </c>
      <c r="L196" s="249">
        <f>SUM(M196:O196)</f>
        <v>0</v>
      </c>
      <c r="M196" s="243">
        <f>('Pivot Table for Data Exchange'!$H$31)*100</f>
        <v>0</v>
      </c>
      <c r="N196" s="243">
        <f>('Pivot Table for Data Exchange'!$H$34)*100</f>
        <v>0</v>
      </c>
      <c r="O196" s="60">
        <f>('Pivot Table for Data Exchange'!$H$37)*100</f>
        <v>0</v>
      </c>
      <c r="P196" s="243">
        <f>('Pivot Table for Data Exchange'!$H$40)*100</f>
        <v>0</v>
      </c>
      <c r="Q196" s="248">
        <f t="shared" si="24"/>
        <v>100</v>
      </c>
      <c r="R196" s="248">
        <f t="shared" si="25"/>
        <v>0</v>
      </c>
      <c r="S196" s="98"/>
      <c r="T196" s="98"/>
      <c r="U196" s="98"/>
      <c r="V196" s="98"/>
      <c r="W196" s="98"/>
      <c r="X196" s="98"/>
      <c r="Y196" s="98"/>
      <c r="Z196" s="98"/>
      <c r="AA196" s="98"/>
      <c r="AB196" s="98"/>
      <c r="AC196" s="98"/>
      <c r="AD196" s="98"/>
      <c r="AE196" s="98"/>
      <c r="AF196" s="98"/>
      <c r="AG196" s="98"/>
      <c r="AH196" s="98"/>
      <c r="AI196" s="98"/>
      <c r="AJ196" s="98"/>
      <c r="AK196" s="98"/>
      <c r="AL196" s="98"/>
      <c r="AM196" s="98"/>
      <c r="AN196" s="98"/>
      <c r="AO196" s="98"/>
    </row>
    <row r="197" spans="1:41" ht="15.75" customHeight="1" x14ac:dyDescent="0.2">
      <c r="A197" s="65" t="s">
        <v>142</v>
      </c>
      <c r="B197" s="243">
        <f>('Pivot Table for Data Exchange'!$H$43)*100</f>
        <v>86.737412525483961</v>
      </c>
      <c r="C197" s="243">
        <f>('Pivot Table for Data Exchange'!$H$46)*100</f>
        <v>0.92062570893455387</v>
      </c>
      <c r="D197" s="249">
        <f t="shared" ref="D197:D199" si="30">SUM(E197:G197)</f>
        <v>12.341961765581487</v>
      </c>
      <c r="E197" s="243">
        <f>('Pivot Table for Data Exchange'!$H$49)*100</f>
        <v>12.17012168237471</v>
      </c>
      <c r="F197" s="243">
        <f>('Pivot Table for Data Exchange'!$H$52)*100</f>
        <v>0.17184008320677713</v>
      </c>
      <c r="G197" s="245">
        <f>('Pivot Table for Data Exchange'!$H$55)*100</f>
        <v>0</v>
      </c>
      <c r="H197" s="243">
        <f>('Pivot Table for Data Exchange'!$H$58)*100</f>
        <v>0</v>
      </c>
      <c r="I197" s="87" t="s">
        <v>142</v>
      </c>
      <c r="J197" s="243">
        <f>('Pivot Table for Data Exchange'!$H$61)*100</f>
        <v>77.02205882352942</v>
      </c>
      <c r="K197" s="243">
        <f>('Pivot Table for Data Exchange'!$H$64)*100</f>
        <v>0</v>
      </c>
      <c r="L197" s="249">
        <f t="shared" ref="L197:L199" si="31">SUM(M197:O197)</f>
        <v>22.977941176470587</v>
      </c>
      <c r="M197" s="243">
        <f>('Pivot Table for Data Exchange'!$H$67)*100</f>
        <v>22.977941176470587</v>
      </c>
      <c r="N197" s="243">
        <f>('Pivot Table for Data Exchange'!$H$70)*100</f>
        <v>0</v>
      </c>
      <c r="O197" s="245">
        <f>('Pivot Table for Data Exchange'!$H$73)*100</f>
        <v>0</v>
      </c>
      <c r="P197" s="243">
        <f>('Pivot Table for Data Exchange'!$H$76)*100</f>
        <v>0</v>
      </c>
      <c r="Q197" s="248">
        <f t="shared" si="24"/>
        <v>100</v>
      </c>
      <c r="R197" s="248">
        <f t="shared" si="25"/>
        <v>100</v>
      </c>
      <c r="S197" s="98"/>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row>
    <row r="198" spans="1:41" ht="15.75" customHeight="1" x14ac:dyDescent="0.2">
      <c r="A198" s="65" t="s">
        <v>143</v>
      </c>
      <c r="B198" s="243">
        <f>('Pivot Table for Data Exchange'!$H$79)*100</f>
        <v>0</v>
      </c>
      <c r="C198" s="243">
        <f>('Pivot Table for Data Exchange'!$H$82)*100</f>
        <v>0</v>
      </c>
      <c r="D198" s="249">
        <f t="shared" si="30"/>
        <v>0</v>
      </c>
      <c r="E198" s="243">
        <f>('Pivot Table for Data Exchange'!$H$85)*100</f>
        <v>0</v>
      </c>
      <c r="F198" s="243">
        <f>('Pivot Table for Data Exchange'!$H$88)*100</f>
        <v>0</v>
      </c>
      <c r="G198" s="245">
        <f>('Pivot Table for Data Exchange'!$H$91)*100</f>
        <v>0</v>
      </c>
      <c r="H198" s="243">
        <f>('Pivot Table for Data Exchange'!$H$94)*100</f>
        <v>0</v>
      </c>
      <c r="I198" s="87" t="s">
        <v>143</v>
      </c>
      <c r="J198" s="243">
        <f>('Pivot Table for Data Exchange'!$H$97)*100</f>
        <v>0</v>
      </c>
      <c r="K198" s="243">
        <f>('Pivot Table for Data Exchange'!$H$100)*100</f>
        <v>0</v>
      </c>
      <c r="L198" s="249">
        <f t="shared" si="31"/>
        <v>0</v>
      </c>
      <c r="M198" s="243">
        <f>('Pivot Table for Data Exchange'!$H$103)*100</f>
        <v>0</v>
      </c>
      <c r="N198" s="243">
        <f>('Pivot Table for Data Exchange'!$H$106)*100</f>
        <v>0</v>
      </c>
      <c r="O198" s="245">
        <f>('Pivot Table for Data Exchange'!$H$109)*100</f>
        <v>0</v>
      </c>
      <c r="P198" s="243">
        <f>('Pivot Table for Data Exchange'!$H$112)*100</f>
        <v>0</v>
      </c>
      <c r="Q198" s="248">
        <f t="shared" si="24"/>
        <v>0</v>
      </c>
      <c r="R198" s="248">
        <f t="shared" si="25"/>
        <v>0</v>
      </c>
      <c r="S198" s="98"/>
      <c r="T198" s="104"/>
      <c r="U198" s="98"/>
      <c r="V198" s="98"/>
      <c r="W198" s="98"/>
      <c r="X198" s="98"/>
      <c r="Y198" s="98"/>
      <c r="Z198" s="98"/>
      <c r="AA198" s="98"/>
      <c r="AB198" s="98"/>
      <c r="AC198" s="98"/>
      <c r="AD198" s="98"/>
      <c r="AE198" s="98"/>
      <c r="AF198" s="98"/>
      <c r="AG198" s="98"/>
      <c r="AH198" s="98"/>
      <c r="AI198" s="98"/>
      <c r="AJ198" s="98"/>
      <c r="AK198" s="98"/>
      <c r="AL198" s="98"/>
      <c r="AM198" s="98"/>
      <c r="AN198" s="98"/>
      <c r="AO198" s="98"/>
    </row>
    <row r="199" spans="1:41" ht="15.75" customHeight="1" x14ac:dyDescent="0.2">
      <c r="A199" s="65" t="s">
        <v>174</v>
      </c>
      <c r="B199" s="243">
        <f>('Pivot Table for Data Exchange'!$H$115)*100</f>
        <v>100</v>
      </c>
      <c r="C199" s="243">
        <f>('Pivot Table for Data Exchange'!$H$118)*100</f>
        <v>0</v>
      </c>
      <c r="D199" s="249">
        <f t="shared" si="30"/>
        <v>0</v>
      </c>
      <c r="E199" s="243">
        <f>('Pivot Table for Data Exchange'!$H$121)*100</f>
        <v>0</v>
      </c>
      <c r="F199" s="243">
        <f>('Pivot Table for Data Exchange'!$H$124)*100</f>
        <v>0</v>
      </c>
      <c r="G199" s="245">
        <f>('Pivot Table for Data Exchange'!$H$127)*100</f>
        <v>0</v>
      </c>
      <c r="H199" s="243">
        <f>('Pivot Table for Data Exchange'!$H$130)*100</f>
        <v>0</v>
      </c>
      <c r="I199" s="87" t="s">
        <v>174</v>
      </c>
      <c r="J199" s="243">
        <f>('Pivot Table for Data Exchange'!$H$133)*100</f>
        <v>0</v>
      </c>
      <c r="K199" s="243">
        <f>('Pivot Table for Data Exchange'!$H$136)*100</f>
        <v>0</v>
      </c>
      <c r="L199" s="249">
        <f t="shared" si="31"/>
        <v>0</v>
      </c>
      <c r="M199" s="243">
        <f>('Pivot Table for Data Exchange'!$H$139)*100</f>
        <v>0</v>
      </c>
      <c r="N199" s="243">
        <f>('Pivot Table for Data Exchange'!$H$142)*100</f>
        <v>0</v>
      </c>
      <c r="O199" s="245">
        <f>('Pivot Table for Data Exchange'!$H$145)*100</f>
        <v>0</v>
      </c>
      <c r="P199" s="243">
        <f>('Pivot Table for Data Exchange'!$H$148)*100</f>
        <v>0</v>
      </c>
      <c r="Q199" s="248">
        <f t="shared" si="24"/>
        <v>100</v>
      </c>
      <c r="R199" s="248">
        <f t="shared" si="25"/>
        <v>0</v>
      </c>
      <c r="S199" s="98"/>
      <c r="U199" s="98"/>
      <c r="V199" s="98"/>
      <c r="W199" s="98"/>
      <c r="X199" s="98"/>
      <c r="Y199" s="98"/>
      <c r="Z199" s="98"/>
      <c r="AA199" s="98"/>
      <c r="AB199" s="98"/>
      <c r="AC199" s="98"/>
      <c r="AD199" s="98"/>
      <c r="AE199" s="98"/>
      <c r="AF199" s="98"/>
      <c r="AG199" s="98"/>
      <c r="AH199" s="98"/>
      <c r="AI199" s="98"/>
      <c r="AJ199" s="98"/>
      <c r="AK199" s="98"/>
      <c r="AL199" s="98"/>
      <c r="AM199" s="98"/>
      <c r="AN199" s="98"/>
      <c r="AO199" s="98"/>
    </row>
    <row r="200" spans="1:41" ht="15.75" customHeight="1" x14ac:dyDescent="0.2">
      <c r="A200" s="65"/>
      <c r="B200" s="243"/>
      <c r="C200" s="243"/>
      <c r="D200" s="249"/>
      <c r="E200" s="243"/>
      <c r="F200" s="243"/>
      <c r="G200" s="245"/>
      <c r="H200" s="243"/>
      <c r="I200" s="87"/>
      <c r="J200" s="243"/>
      <c r="K200" s="243"/>
      <c r="L200" s="249"/>
      <c r="M200" s="243"/>
      <c r="N200" s="243"/>
      <c r="O200" s="245"/>
      <c r="P200" s="243"/>
      <c r="Q200" s="248">
        <f t="shared" si="24"/>
        <v>0</v>
      </c>
      <c r="R200" s="248">
        <f t="shared" si="25"/>
        <v>0</v>
      </c>
      <c r="S200" s="98"/>
      <c r="U200" s="98"/>
      <c r="V200" s="98"/>
      <c r="W200" s="98"/>
      <c r="X200" s="98"/>
      <c r="Y200" s="98"/>
      <c r="Z200" s="98"/>
      <c r="AA200" s="98"/>
      <c r="AB200" s="98"/>
      <c r="AC200" s="98"/>
      <c r="AD200" s="98"/>
      <c r="AE200" s="98"/>
      <c r="AF200" s="98"/>
      <c r="AG200" s="98"/>
      <c r="AH200" s="98"/>
      <c r="AI200" s="98"/>
      <c r="AJ200" s="98"/>
      <c r="AK200" s="98"/>
      <c r="AL200" s="98"/>
      <c r="AM200" s="98"/>
      <c r="AN200" s="98"/>
      <c r="AO200" s="98"/>
    </row>
    <row r="201" spans="1:41" ht="15.75" customHeight="1" x14ac:dyDescent="0.2">
      <c r="A201" s="65" t="s">
        <v>145</v>
      </c>
      <c r="B201" s="243">
        <f>('Pivot Table for Data Exchange'!$H$151)*100</f>
        <v>87.573320732012206</v>
      </c>
      <c r="C201" s="243">
        <f>('Pivot Table for Data Exchange'!$H$154)*100</f>
        <v>5.4777283554451719</v>
      </c>
      <c r="D201" s="249">
        <f t="shared" ref="D201:D202" si="32">SUM(E201:G201)</f>
        <v>6.9489509125426174</v>
      </c>
      <c r="E201" s="243">
        <f>('Pivot Table for Data Exchange'!$H$157)*100</f>
        <v>4.8364896162732869</v>
      </c>
      <c r="F201" s="243">
        <f>('Pivot Table for Data Exchange'!$H$160)*100</f>
        <v>0</v>
      </c>
      <c r="G201" s="245">
        <f>('Pivot Table for Data Exchange'!$H$163)*100</f>
        <v>2.112461296269331</v>
      </c>
      <c r="H201" s="243">
        <f>('Pivot Table for Data Exchange'!$H$166)*100</f>
        <v>0</v>
      </c>
      <c r="I201" s="87" t="s">
        <v>145</v>
      </c>
      <c r="J201" s="243">
        <f>('Pivot Table for Data Exchange'!$H$169)*100</f>
        <v>0</v>
      </c>
      <c r="K201" s="243">
        <f>('Pivot Table for Data Exchange'!$H$172)*100</f>
        <v>0</v>
      </c>
      <c r="L201" s="249">
        <f t="shared" ref="L201:L202" si="33">SUM(M201:O201)</f>
        <v>0</v>
      </c>
      <c r="M201" s="243">
        <f>('Pivot Table for Data Exchange'!$H$175)*100</f>
        <v>0</v>
      </c>
      <c r="N201" s="243">
        <f>('Pivot Table for Data Exchange'!$H$178)*100</f>
        <v>0</v>
      </c>
      <c r="O201" s="245">
        <f>('Pivot Table for Data Exchange'!$H$181)*100</f>
        <v>0</v>
      </c>
      <c r="P201" s="243">
        <f>('Pivot Table for Data Exchange'!$H$184)*100</f>
        <v>0</v>
      </c>
      <c r="Q201" s="248">
        <f t="shared" si="24"/>
        <v>99.999999999999986</v>
      </c>
      <c r="R201" s="248">
        <f t="shared" si="25"/>
        <v>0</v>
      </c>
      <c r="S201" s="98"/>
      <c r="T201" s="98"/>
      <c r="U201" s="98"/>
      <c r="V201" s="98"/>
      <c r="W201" s="98"/>
      <c r="X201" s="98"/>
      <c r="Y201" s="98"/>
      <c r="Z201" s="98"/>
      <c r="AA201" s="98"/>
      <c r="AB201" s="98"/>
      <c r="AC201" s="98"/>
      <c r="AD201" s="98"/>
      <c r="AE201" s="98"/>
      <c r="AF201" s="98"/>
      <c r="AG201" s="98"/>
      <c r="AH201" s="98"/>
      <c r="AI201" s="98"/>
      <c r="AJ201" s="98"/>
      <c r="AK201" s="98"/>
      <c r="AL201" s="98"/>
      <c r="AM201" s="98"/>
      <c r="AN201" s="98"/>
      <c r="AO201" s="98"/>
    </row>
    <row r="202" spans="1:41" ht="15.75" customHeight="1" x14ac:dyDescent="0.2">
      <c r="A202" s="65" t="s">
        <v>146</v>
      </c>
      <c r="B202" s="243">
        <f>('Pivot Table for Data Exchange'!$H$187)*100</f>
        <v>0</v>
      </c>
      <c r="C202" s="243">
        <f>('Pivot Table for Data Exchange'!$H$190)*100</f>
        <v>0</v>
      </c>
      <c r="D202" s="249">
        <f t="shared" si="32"/>
        <v>0</v>
      </c>
      <c r="E202" s="243">
        <f>('Pivot Table for Data Exchange'!$H$193)*100</f>
        <v>0</v>
      </c>
      <c r="F202" s="243">
        <f>('Pivot Table for Data Exchange'!$H$196)*100</f>
        <v>0</v>
      </c>
      <c r="G202" s="245">
        <f>('Pivot Table for Data Exchange'!$H$199)*100</f>
        <v>0</v>
      </c>
      <c r="H202" s="243">
        <f>('Pivot Table for Data Exchange'!$H$202)*100</f>
        <v>0</v>
      </c>
      <c r="I202" s="87" t="s">
        <v>146</v>
      </c>
      <c r="J202" s="243">
        <f>('Pivot Table for Data Exchange'!$H$205)*100</f>
        <v>0</v>
      </c>
      <c r="K202" s="243">
        <f>('Pivot Table for Data Exchange'!$H$208)*100</f>
        <v>0</v>
      </c>
      <c r="L202" s="249">
        <f t="shared" si="33"/>
        <v>0</v>
      </c>
      <c r="M202" s="243">
        <f>('Pivot Table for Data Exchange'!$H$211)*100</f>
        <v>0</v>
      </c>
      <c r="N202" s="243">
        <f>('Pivot Table for Data Exchange'!$H$214)*100</f>
        <v>0</v>
      </c>
      <c r="O202" s="245">
        <f>('Pivot Table for Data Exchange'!$H$217)*100</f>
        <v>0</v>
      </c>
      <c r="P202" s="243">
        <f>('Pivot Table for Data Exchange'!$H$220)*100</f>
        <v>0</v>
      </c>
      <c r="Q202" s="248">
        <f t="shared" si="24"/>
        <v>0</v>
      </c>
      <c r="R202" s="248">
        <f t="shared" si="25"/>
        <v>0</v>
      </c>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row>
    <row r="203" spans="1:41" ht="15.75" customHeight="1" x14ac:dyDescent="0.2">
      <c r="A203" s="244" t="s">
        <v>147</v>
      </c>
      <c r="B203" s="243">
        <f>('Pivot Table for Data Exchange'!$H$223)*100</f>
        <v>0</v>
      </c>
      <c r="C203" s="243">
        <f>('Pivot Table for Data Exchange'!$H$226)*100</f>
        <v>0</v>
      </c>
      <c r="D203" s="249">
        <f>SUM(E203:G203)</f>
        <v>0</v>
      </c>
      <c r="E203" s="243">
        <f>('Pivot Table for Data Exchange'!$H$229)*100</f>
        <v>0</v>
      </c>
      <c r="F203" s="243">
        <f>('Pivot Table for Data Exchange'!$H$232)*100</f>
        <v>0</v>
      </c>
      <c r="G203" s="245">
        <f>('Pivot Table for Data Exchange'!$H$235)*100</f>
        <v>0</v>
      </c>
      <c r="H203" s="243">
        <f>('Pivot Table for Data Exchange'!$H$238)*100</f>
        <v>0</v>
      </c>
      <c r="I203" s="87" t="s">
        <v>147</v>
      </c>
      <c r="J203" s="243">
        <f>('Pivot Table for Data Exchange'!$H$241)*100</f>
        <v>0</v>
      </c>
      <c r="K203" s="243">
        <f>('Pivot Table for Data Exchange'!$H$244)*100</f>
        <v>0</v>
      </c>
      <c r="L203" s="249">
        <f>SUM(M203:O203)</f>
        <v>0</v>
      </c>
      <c r="M203" s="243">
        <f>('Pivot Table for Data Exchange'!$H$247)*100</f>
        <v>0</v>
      </c>
      <c r="N203" s="243">
        <f>('Pivot Table for Data Exchange'!$H$250)*100</f>
        <v>0</v>
      </c>
      <c r="O203" s="245">
        <f>('Pivot Table for Data Exchange'!$H$253)*100</f>
        <v>0</v>
      </c>
      <c r="P203" s="243">
        <f>('Pivot Table for Data Exchange'!$H$256)*100</f>
        <v>0</v>
      </c>
      <c r="Q203" s="248">
        <f t="shared" si="24"/>
        <v>0</v>
      </c>
      <c r="R203" s="248">
        <f t="shared" si="25"/>
        <v>0</v>
      </c>
      <c r="S203" s="98"/>
      <c r="T203" s="104"/>
      <c r="U203" s="98"/>
      <c r="V203" s="98"/>
      <c r="W203" s="98"/>
      <c r="X203" s="98"/>
      <c r="Y203" s="98"/>
      <c r="Z203" s="98"/>
      <c r="AA203" s="98"/>
      <c r="AB203" s="98"/>
      <c r="AC203" s="98"/>
      <c r="AD203" s="98"/>
      <c r="AE203" s="98"/>
      <c r="AF203" s="98"/>
      <c r="AG203" s="98"/>
      <c r="AH203" s="98"/>
      <c r="AI203" s="98"/>
      <c r="AJ203" s="98"/>
      <c r="AK203" s="98"/>
      <c r="AL203" s="98"/>
      <c r="AM203" s="98"/>
      <c r="AN203" s="98"/>
      <c r="AO203" s="98"/>
    </row>
    <row r="204" spans="1:41" ht="15.75" customHeight="1" x14ac:dyDescent="0.2">
      <c r="A204" s="65" t="s">
        <v>177</v>
      </c>
      <c r="B204" s="243">
        <f>('Pivot Table for Data Exchange'!$H$259)*100</f>
        <v>100</v>
      </c>
      <c r="C204" s="243">
        <f>('Pivot Table for Data Exchange'!$H$262)*100</f>
        <v>0</v>
      </c>
      <c r="D204" s="249">
        <f>SUM(E204:G204)</f>
        <v>0</v>
      </c>
      <c r="E204" s="243">
        <f>('Pivot Table for Data Exchange'!$H$265)*100</f>
        <v>0</v>
      </c>
      <c r="F204" s="243">
        <f>('Pivot Table for Data Exchange'!$H$268)*100</f>
        <v>0</v>
      </c>
      <c r="G204" s="245">
        <f>('Pivot Table for Data Exchange'!$H$271)*100</f>
        <v>0</v>
      </c>
      <c r="H204" s="243">
        <f>('Pivot Table for Data Exchange'!$H$274)*100</f>
        <v>0</v>
      </c>
      <c r="I204" s="87" t="s">
        <v>177</v>
      </c>
      <c r="J204" s="243">
        <f>('Pivot Table for Data Exchange'!$H$277)*100</f>
        <v>100</v>
      </c>
      <c r="K204" s="243">
        <f>('Pivot Table for Data Exchange'!$H$280)*100</f>
        <v>0</v>
      </c>
      <c r="L204" s="249">
        <f>SUM(M204:O204)</f>
        <v>0</v>
      </c>
      <c r="M204" s="243">
        <f>('Pivot Table for Data Exchange'!$H$283)*100</f>
        <v>0</v>
      </c>
      <c r="N204" s="243">
        <f>('Pivot Table for Data Exchange'!$H$286)*100</f>
        <v>0</v>
      </c>
      <c r="O204" s="245">
        <f>('Pivot Table for Data Exchange'!$H$289)*100</f>
        <v>0</v>
      </c>
      <c r="P204" s="243">
        <f>('Pivot Table for Data Exchange'!$H$292)*100</f>
        <v>0</v>
      </c>
      <c r="Q204" s="248">
        <f t="shared" si="24"/>
        <v>100</v>
      </c>
      <c r="R204" s="248">
        <f t="shared" si="25"/>
        <v>100</v>
      </c>
      <c r="S204" s="98"/>
      <c r="U204" s="98"/>
      <c r="V204" s="98"/>
      <c r="W204" s="98"/>
      <c r="X204" s="98"/>
      <c r="Y204" s="98"/>
      <c r="Z204" s="98"/>
      <c r="AA204" s="98"/>
      <c r="AB204" s="98"/>
      <c r="AC204" s="98"/>
      <c r="AD204" s="98"/>
      <c r="AE204" s="98"/>
      <c r="AF204" s="98"/>
      <c r="AG204" s="98"/>
      <c r="AH204" s="98"/>
      <c r="AI204" s="98"/>
      <c r="AJ204" s="98"/>
      <c r="AK204" s="98"/>
      <c r="AL204" s="98"/>
      <c r="AM204" s="98"/>
      <c r="AN204" s="98"/>
      <c r="AO204" s="98"/>
    </row>
    <row r="205" spans="1:41" ht="11.25" customHeight="1" x14ac:dyDescent="0.2">
      <c r="A205" s="65"/>
      <c r="B205" s="243"/>
      <c r="C205" s="243"/>
      <c r="D205" s="249"/>
      <c r="E205" s="243"/>
      <c r="F205" s="243"/>
      <c r="G205" s="245"/>
      <c r="H205" s="243"/>
      <c r="I205" s="87"/>
      <c r="J205" s="243"/>
      <c r="K205" s="243"/>
      <c r="L205" s="249"/>
      <c r="M205" s="243"/>
      <c r="N205" s="243"/>
      <c r="O205" s="245"/>
      <c r="P205" s="243"/>
      <c r="Q205" s="248">
        <f t="shared" si="24"/>
        <v>0</v>
      </c>
      <c r="R205" s="248">
        <f t="shared" si="25"/>
        <v>0</v>
      </c>
      <c r="S205" s="98"/>
      <c r="U205" s="98"/>
      <c r="V205" s="98"/>
      <c r="W205" s="98"/>
      <c r="X205" s="98"/>
      <c r="Y205" s="98"/>
      <c r="Z205" s="98"/>
      <c r="AA205" s="98"/>
      <c r="AB205" s="98"/>
      <c r="AC205" s="98"/>
      <c r="AD205" s="98"/>
      <c r="AE205" s="98"/>
      <c r="AF205" s="98"/>
      <c r="AG205" s="98"/>
      <c r="AH205" s="98"/>
      <c r="AI205" s="98"/>
      <c r="AJ205" s="98"/>
      <c r="AK205" s="98"/>
      <c r="AL205" s="98"/>
      <c r="AM205" s="98"/>
      <c r="AN205" s="98"/>
      <c r="AO205" s="98"/>
    </row>
    <row r="206" spans="1:41" ht="15.75" customHeight="1" x14ac:dyDescent="0.2">
      <c r="A206" s="65" t="s">
        <v>148</v>
      </c>
      <c r="B206" s="243">
        <f>('Pivot Table for Data Exchange'!$H$295)*100</f>
        <v>0</v>
      </c>
      <c r="C206" s="243">
        <f>('Pivot Table for Data Exchange'!$H$298)*100</f>
        <v>0</v>
      </c>
      <c r="D206" s="249">
        <f>SUM(E206:G206)</f>
        <v>0</v>
      </c>
      <c r="E206" s="243">
        <f>('Pivot Table for Data Exchange'!$H$301)*100</f>
        <v>0</v>
      </c>
      <c r="F206" s="243">
        <f>('Pivot Table for Data Exchange'!$H$304)*100</f>
        <v>0</v>
      </c>
      <c r="G206" s="245">
        <f>('Pivot Table for Data Exchange'!$H$307)*100</f>
        <v>0</v>
      </c>
      <c r="H206" s="243">
        <f>('Pivot Table for Data Exchange'!$H$310)*100</f>
        <v>0</v>
      </c>
      <c r="I206" s="87" t="s">
        <v>148</v>
      </c>
      <c r="J206" s="243">
        <f>('Pivot Table for Data Exchange'!$H$313)*100</f>
        <v>0</v>
      </c>
      <c r="K206" s="243">
        <f>('Pivot Table for Data Exchange'!$H$316)*100</f>
        <v>0</v>
      </c>
      <c r="L206" s="249">
        <f>SUM(M206:O206)</f>
        <v>0</v>
      </c>
      <c r="M206" s="243">
        <f>('Pivot Table for Data Exchange'!$H$319)*100</f>
        <v>0</v>
      </c>
      <c r="N206" s="243">
        <f>('Pivot Table for Data Exchange'!$H$322)*100</f>
        <v>0</v>
      </c>
      <c r="O206" s="245">
        <f>('Pivot Table for Data Exchange'!$H$325)*100</f>
        <v>0</v>
      </c>
      <c r="P206" s="243">
        <f>('Pivot Table for Data Exchange'!$H$328)*100</f>
        <v>0</v>
      </c>
      <c r="Q206" s="248">
        <f t="shared" si="24"/>
        <v>0</v>
      </c>
      <c r="R206" s="248">
        <f t="shared" si="25"/>
        <v>0</v>
      </c>
      <c r="S206" s="98"/>
      <c r="T206" s="98"/>
      <c r="U206" s="98"/>
      <c r="V206" s="98"/>
      <c r="W206" s="98"/>
      <c r="X206" s="98"/>
      <c r="Y206" s="98"/>
      <c r="Z206" s="98"/>
      <c r="AA206" s="98"/>
      <c r="AB206" s="98"/>
      <c r="AC206" s="98"/>
      <c r="AD206" s="98"/>
      <c r="AE206" s="98"/>
      <c r="AF206" s="98"/>
      <c r="AG206" s="98"/>
      <c r="AH206" s="98"/>
      <c r="AI206" s="98"/>
      <c r="AJ206" s="98"/>
      <c r="AK206" s="98"/>
      <c r="AL206" s="98"/>
      <c r="AM206" s="98"/>
      <c r="AN206" s="98"/>
      <c r="AO206" s="98"/>
    </row>
    <row r="207" spans="1:41" ht="15.75" customHeight="1" x14ac:dyDescent="0.2">
      <c r="A207" s="65" t="s">
        <v>149</v>
      </c>
      <c r="B207" s="243">
        <f>('Pivot Table for Data Exchange'!$H$331)*100</f>
        <v>87.972540597400894</v>
      </c>
      <c r="C207" s="243">
        <f>('Pivot Table for Data Exchange'!$H$334)*100</f>
        <v>1.3510552036992396</v>
      </c>
      <c r="D207" s="249">
        <f>SUM(E207:G207)</f>
        <v>10.676404198899871</v>
      </c>
      <c r="E207" s="243">
        <f>('Pivot Table for Data Exchange'!$H$337)*100</f>
        <v>10.378909074970963</v>
      </c>
      <c r="F207" s="243">
        <f>('Pivot Table for Data Exchange'!$H$340)*100</f>
        <v>0.29749512392890798</v>
      </c>
      <c r="G207" s="245">
        <f>('Pivot Table for Data Exchange'!$H$343)*100</f>
        <v>0</v>
      </c>
      <c r="H207" s="243">
        <f>('Pivot Table for Data Exchange'!$H$346)*100</f>
        <v>0</v>
      </c>
      <c r="I207" s="87" t="s">
        <v>149</v>
      </c>
      <c r="J207" s="243">
        <f>('Pivot Table for Data Exchange'!$H$349)*100</f>
        <v>64.819837272375054</v>
      </c>
      <c r="K207" s="243">
        <f>('Pivot Table for Data Exchange'!$H$352)*100</f>
        <v>0</v>
      </c>
      <c r="L207" s="249">
        <f>SUM(M207:O207)</f>
        <v>35.180162727624953</v>
      </c>
      <c r="M207" s="243">
        <f>('Pivot Table for Data Exchange'!$H$355)*100</f>
        <v>35.180162727624953</v>
      </c>
      <c r="N207" s="243">
        <f>('Pivot Table for Data Exchange'!$H$358)*100</f>
        <v>0</v>
      </c>
      <c r="O207" s="245">
        <f>('Pivot Table for Data Exchange'!$H$361)*100</f>
        <v>0</v>
      </c>
      <c r="P207" s="243">
        <f>('Pivot Table for Data Exchange'!$H$364)*100</f>
        <v>0</v>
      </c>
      <c r="Q207" s="248">
        <f t="shared" si="24"/>
        <v>100.00000000000001</v>
      </c>
      <c r="R207" s="248">
        <f t="shared" si="25"/>
        <v>100</v>
      </c>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row>
    <row r="208" spans="1:41" ht="15.75" customHeight="1" x14ac:dyDescent="0.2">
      <c r="A208" s="65" t="s">
        <v>150</v>
      </c>
      <c r="B208" s="243">
        <f>('Pivot Table for Data Exchange'!$H$367)*100</f>
        <v>77.845356283671606</v>
      </c>
      <c r="C208" s="243">
        <f>('Pivot Table for Data Exchange'!$H$370)*100</f>
        <v>1.6856978280757631</v>
      </c>
      <c r="D208" s="249">
        <f>SUM(E208:G208)</f>
        <v>20.468945888252634</v>
      </c>
      <c r="E208" s="243">
        <f>('Pivot Table for Data Exchange'!$H$373)*100</f>
        <v>19.14749432453495</v>
      </c>
      <c r="F208" s="243">
        <f>('Pivot Table for Data Exchange'!$H$376)*100</f>
        <v>1.3214515637176838</v>
      </c>
      <c r="G208" s="245">
        <f>('Pivot Table for Data Exchange'!$H$379)*100</f>
        <v>0</v>
      </c>
      <c r="H208" s="243">
        <f>('Pivot Table for Data Exchange'!$H$382)*100</f>
        <v>0</v>
      </c>
      <c r="I208" s="87" t="s">
        <v>150</v>
      </c>
      <c r="J208" s="243">
        <f>('Pivot Table for Data Exchange'!$H$385)*100</f>
        <v>0</v>
      </c>
      <c r="K208" s="243">
        <f>('Pivot Table for Data Exchange'!$H$388)*100</f>
        <v>0</v>
      </c>
      <c r="L208" s="249">
        <f>SUM(M208:O208)</f>
        <v>0</v>
      </c>
      <c r="M208" s="243">
        <f>('Pivot Table for Data Exchange'!$H$391)*100</f>
        <v>0</v>
      </c>
      <c r="N208" s="243">
        <f>('Pivot Table for Data Exchange'!$H$394)*100</f>
        <v>0</v>
      </c>
      <c r="O208" s="245">
        <f>('Pivot Table for Data Exchange'!$H$397)*100</f>
        <v>0</v>
      </c>
      <c r="P208" s="243">
        <f>('Pivot Table for Data Exchange'!$H$400)*100</f>
        <v>0</v>
      </c>
      <c r="Q208" s="248">
        <f t="shared" si="24"/>
        <v>100</v>
      </c>
      <c r="R208" s="248">
        <f t="shared" si="25"/>
        <v>0</v>
      </c>
      <c r="S208" s="98"/>
      <c r="T208" s="104"/>
      <c r="U208" s="98"/>
      <c r="V208" s="98"/>
      <c r="W208" s="98"/>
      <c r="X208" s="98"/>
      <c r="Y208" s="98"/>
      <c r="Z208" s="98"/>
      <c r="AA208" s="98"/>
      <c r="AB208" s="98"/>
      <c r="AC208" s="98"/>
      <c r="AD208" s="98"/>
      <c r="AE208" s="98"/>
      <c r="AF208" s="98"/>
      <c r="AG208" s="98"/>
      <c r="AH208" s="98"/>
      <c r="AI208" s="98"/>
      <c r="AJ208" s="98"/>
      <c r="AK208" s="98"/>
      <c r="AL208" s="98"/>
      <c r="AM208" s="98"/>
      <c r="AN208" s="98"/>
      <c r="AO208" s="98"/>
    </row>
    <row r="209" spans="1:41" ht="15.75" customHeight="1" x14ac:dyDescent="0.2">
      <c r="A209" s="65" t="s">
        <v>151</v>
      </c>
      <c r="B209" s="243">
        <f>('Pivot Table for Data Exchange'!$H$403)*100</f>
        <v>87.249627338687091</v>
      </c>
      <c r="C209" s="243">
        <f>('Pivot Table for Data Exchange'!$H$406)*100</f>
        <v>5.4896210422580989</v>
      </c>
      <c r="D209" s="249">
        <f>SUM(E209:G209)</f>
        <v>7.260751619054818</v>
      </c>
      <c r="E209" s="243">
        <f>('Pivot Table for Data Exchange'!$H$409)*100</f>
        <v>7.2342392447030033</v>
      </c>
      <c r="F209" s="67">
        <f>('Pivot Table for Data Exchange'!$H$412)*100</f>
        <v>1.0137084310987967E-2</v>
      </c>
      <c r="G209" s="68">
        <f>('Pivot Table for Data Exchange'!$H$415)*100</f>
        <v>1.6375290040826718E-2</v>
      </c>
      <c r="H209" s="243">
        <f>('Pivot Table for Data Exchange'!$H$418)*100</f>
        <v>0</v>
      </c>
      <c r="I209" s="87" t="s">
        <v>151</v>
      </c>
      <c r="J209" s="243">
        <f>('Pivot Table for Data Exchange'!$H$421)*100</f>
        <v>50.154862688416266</v>
      </c>
      <c r="K209" s="243">
        <f>('Pivot Table for Data Exchange'!$H$424)*100</f>
        <v>11.934751187280611</v>
      </c>
      <c r="L209" s="249">
        <f>SUM(M209:O209)</f>
        <v>37.910386124303116</v>
      </c>
      <c r="M209" s="243">
        <f>('Pivot Table for Data Exchange'!$H$427)*100</f>
        <v>37.910386124303116</v>
      </c>
      <c r="N209" s="243">
        <f>('Pivot Table for Data Exchange'!$H$430)*100</f>
        <v>0</v>
      </c>
      <c r="O209" s="245">
        <f>('Pivot Table for Data Exchange'!$H$433)*100</f>
        <v>0</v>
      </c>
      <c r="P209" s="243">
        <f>('Pivot Table for Data Exchange'!$H$436)*100</f>
        <v>0</v>
      </c>
      <c r="Q209" s="248">
        <f t="shared" si="24"/>
        <v>100</v>
      </c>
      <c r="R209" s="248">
        <f t="shared" si="25"/>
        <v>100</v>
      </c>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row>
    <row r="210" spans="1:41" ht="11.25" customHeight="1" x14ac:dyDescent="0.2">
      <c r="A210" s="65"/>
      <c r="B210" s="243"/>
      <c r="C210" s="243"/>
      <c r="D210" s="249"/>
      <c r="E210" s="243"/>
      <c r="F210" s="243"/>
      <c r="G210" s="245"/>
      <c r="H210" s="243"/>
      <c r="I210" s="87"/>
      <c r="J210" s="243"/>
      <c r="K210" s="243"/>
      <c r="L210" s="249"/>
      <c r="M210" s="243"/>
      <c r="N210" s="243"/>
      <c r="O210" s="245"/>
      <c r="P210" s="243"/>
      <c r="Q210" s="248">
        <f t="shared" si="24"/>
        <v>0</v>
      </c>
      <c r="R210" s="248">
        <f t="shared" si="25"/>
        <v>0</v>
      </c>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row>
    <row r="211" spans="1:41" ht="15.75" customHeight="1" x14ac:dyDescent="0.2">
      <c r="A211" s="65" t="s">
        <v>152</v>
      </c>
      <c r="B211" s="243">
        <f>('Pivot Table for Data Exchange'!$H$439)*100</f>
        <v>0</v>
      </c>
      <c r="C211" s="243">
        <f>('Pivot Table for Data Exchange'!$H$442)*100</f>
        <v>0</v>
      </c>
      <c r="D211" s="249">
        <f>SUM(E211:G211)</f>
        <v>0</v>
      </c>
      <c r="E211" s="243">
        <f>('Pivot Table for Data Exchange'!$H$445)*100</f>
        <v>0</v>
      </c>
      <c r="F211" s="243">
        <f>('Pivot Table for Data Exchange'!$H$448)*100</f>
        <v>0</v>
      </c>
      <c r="G211" s="245">
        <f>('Pivot Table for Data Exchange'!$H$451)*100</f>
        <v>0</v>
      </c>
      <c r="H211" s="243">
        <f>('Pivot Table for Data Exchange'!$H$454)*100</f>
        <v>0</v>
      </c>
      <c r="I211" s="87" t="s">
        <v>152</v>
      </c>
      <c r="J211" s="243">
        <f>('Pivot Table for Data Exchange'!$H$457)*100</f>
        <v>0</v>
      </c>
      <c r="K211" s="243">
        <f>('Pivot Table for Data Exchange'!$H$460)*100</f>
        <v>0</v>
      </c>
      <c r="L211" s="249">
        <f>SUM(M211:O211)</f>
        <v>0</v>
      </c>
      <c r="M211" s="243">
        <f>('Pivot Table for Data Exchange'!$H$463)*100</f>
        <v>0</v>
      </c>
      <c r="N211" s="243">
        <f>('Pivot Table for Data Exchange'!$H$466)*100</f>
        <v>0</v>
      </c>
      <c r="O211" s="245">
        <f>('Pivot Table for Data Exchange'!$H$469)*100</f>
        <v>0</v>
      </c>
      <c r="P211" s="243">
        <f>('Pivot Table for Data Exchange'!$H$472)*100</f>
        <v>0</v>
      </c>
      <c r="Q211" s="248">
        <f t="shared" si="24"/>
        <v>0</v>
      </c>
      <c r="R211" s="248">
        <f t="shared" si="25"/>
        <v>0</v>
      </c>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row>
    <row r="212" spans="1:41" ht="15.75" customHeight="1" x14ac:dyDescent="0.2">
      <c r="A212" s="65" t="s">
        <v>153</v>
      </c>
      <c r="B212" s="243">
        <f>('Pivot Table for Data Exchange'!$H$475)*100</f>
        <v>99.894473757289632</v>
      </c>
      <c r="C212" s="243">
        <f>('Pivot Table for Data Exchange'!$H$478)*100</f>
        <v>0</v>
      </c>
      <c r="D212" s="249">
        <f>SUM(E212:G212)</f>
        <v>0.10552624271035822</v>
      </c>
      <c r="E212" s="243">
        <f>('Pivot Table for Data Exchange'!$H$481)*100</f>
        <v>0.10552624271035822</v>
      </c>
      <c r="F212" s="243">
        <f>('Pivot Table for Data Exchange'!$H$484)*100</f>
        <v>0</v>
      </c>
      <c r="G212" s="245">
        <f>('Pivot Table for Data Exchange'!$H$487)*100</f>
        <v>0</v>
      </c>
      <c r="H212" s="243">
        <f>('Pivot Table for Data Exchange'!$H$490)*100</f>
        <v>0</v>
      </c>
      <c r="I212" s="87" t="s">
        <v>153</v>
      </c>
      <c r="J212" s="243">
        <f>('Pivot Table for Data Exchange'!$H$493)*100</f>
        <v>91.935483870967744</v>
      </c>
      <c r="K212" s="243">
        <f>('Pivot Table for Data Exchange'!$H$496)*100</f>
        <v>1.2096774193548387</v>
      </c>
      <c r="L212" s="249">
        <f>SUM(M212:O212)</f>
        <v>6.854838709677419</v>
      </c>
      <c r="M212" s="243">
        <f>('Pivot Table for Data Exchange'!$H$499)*100</f>
        <v>6.854838709677419</v>
      </c>
      <c r="N212" s="243">
        <f>('Pivot Table for Data Exchange'!$H$502)*100</f>
        <v>0</v>
      </c>
      <c r="O212" s="245">
        <f>('Pivot Table for Data Exchange'!$H$505)*100</f>
        <v>0</v>
      </c>
      <c r="P212" s="243">
        <f>('Pivot Table for Data Exchange'!$H$508)*100</f>
        <v>0</v>
      </c>
      <c r="Q212" s="248">
        <f t="shared" si="24"/>
        <v>99.999999999999986</v>
      </c>
      <c r="R212" s="248">
        <f t="shared" si="25"/>
        <v>100</v>
      </c>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row>
    <row r="213" spans="1:41" ht="15.75" customHeight="1" x14ac:dyDescent="0.2">
      <c r="A213" s="65" t="s">
        <v>154</v>
      </c>
      <c r="B213" s="243">
        <f>('Pivot Table for Data Exchange'!$H$511)*100</f>
        <v>87.523678639081822</v>
      </c>
      <c r="C213" s="243">
        <f>('Pivot Table for Data Exchange'!$H$514)*100</f>
        <v>1.1700033428666938</v>
      </c>
      <c r="D213" s="249">
        <f>SUM(E213:G213)</f>
        <v>11.306318018051481</v>
      </c>
      <c r="E213" s="243">
        <f>('Pivot Table for Data Exchange'!$H$517)*100</f>
        <v>6.3588753110723175</v>
      </c>
      <c r="F213" s="243">
        <f>('Pivot Table for Data Exchange'!$H$520)*100</f>
        <v>4.9474427069791629</v>
      </c>
      <c r="G213" s="245">
        <f>('Pivot Table for Data Exchange'!$H$523)*100</f>
        <v>0</v>
      </c>
      <c r="H213" s="243">
        <f>('Pivot Table for Data Exchange'!$H$526)*100</f>
        <v>0</v>
      </c>
      <c r="I213" s="87" t="s">
        <v>154</v>
      </c>
      <c r="J213" s="243">
        <f>('Pivot Table for Data Exchange'!$H$529)*100</f>
        <v>0</v>
      </c>
      <c r="K213" s="243">
        <f>('Pivot Table for Data Exchange'!$H$532)*100</f>
        <v>0</v>
      </c>
      <c r="L213" s="249">
        <f>SUM(M213:O213)</f>
        <v>0</v>
      </c>
      <c r="M213" s="243">
        <f>('Pivot Table for Data Exchange'!$H$535)*100</f>
        <v>0</v>
      </c>
      <c r="N213" s="243">
        <f>('Pivot Table for Data Exchange'!$H$538)*100</f>
        <v>0</v>
      </c>
      <c r="O213" s="245">
        <f>('Pivot Table for Data Exchange'!$H$541)*100</f>
        <v>0</v>
      </c>
      <c r="P213" s="243">
        <f>('Pivot Table for Data Exchange'!$H$544)*100</f>
        <v>0</v>
      </c>
      <c r="Q213" s="248">
        <f t="shared" si="24"/>
        <v>100</v>
      </c>
      <c r="R213" s="248">
        <f t="shared" si="25"/>
        <v>0</v>
      </c>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row>
    <row r="214" spans="1:41" ht="15.75" customHeight="1" x14ac:dyDescent="0.2">
      <c r="A214" s="242" t="s">
        <v>155</v>
      </c>
      <c r="B214" s="246">
        <f>('Pivot Table for Data Exchange'!$H$547)*100</f>
        <v>76.336312437007493</v>
      </c>
      <c r="C214" s="246">
        <f>('Pivot Table for Data Exchange'!$H$550)*100</f>
        <v>7.8306761510019252</v>
      </c>
      <c r="D214" s="250">
        <f>SUM(E214:G214)</f>
        <v>15.833011411990578</v>
      </c>
      <c r="E214" s="246">
        <f>('Pivot Table for Data Exchange'!$H$553)*100</f>
        <v>14.503306834123855</v>
      </c>
      <c r="F214" s="246">
        <f>('Pivot Table for Data Exchange'!$H$556)*100</f>
        <v>1.2867171865333282</v>
      </c>
      <c r="G214" s="255">
        <f>('Pivot Table for Data Exchange'!$H$559)*100</f>
        <v>4.2987391333393361E-2</v>
      </c>
      <c r="H214" s="246">
        <f>('Pivot Table for Data Exchange'!$H$562)*100</f>
        <v>0</v>
      </c>
      <c r="I214" s="252" t="s">
        <v>155</v>
      </c>
      <c r="J214" s="246">
        <f>('Pivot Table for Data Exchange'!$H$565)*100</f>
        <v>39.021507917749943</v>
      </c>
      <c r="K214" s="246">
        <f>('Pivot Table for Data Exchange'!$H$568)*100</f>
        <v>25.135901678090285</v>
      </c>
      <c r="L214" s="250">
        <f>SUM(M214:O214)</f>
        <v>35.842590404159772</v>
      </c>
      <c r="M214" s="246">
        <f>('Pivot Table for Data Exchange'!$H$571)*100</f>
        <v>35.842590404159772</v>
      </c>
      <c r="N214" s="246">
        <f>('Pivot Table for Data Exchange'!$H$574)*100</f>
        <v>0</v>
      </c>
      <c r="O214" s="247">
        <f>('Pivot Table for Data Exchange'!$H$577)*100</f>
        <v>0</v>
      </c>
      <c r="P214" s="246">
        <f>('Pivot Table for Data Exchange'!$H$580)*100</f>
        <v>0</v>
      </c>
      <c r="Q214" s="248">
        <f t="shared" si="24"/>
        <v>100</v>
      </c>
      <c r="R214" s="248">
        <f t="shared" si="25"/>
        <v>100</v>
      </c>
      <c r="S214" s="98"/>
      <c r="T214" s="98"/>
      <c r="U214" s="98"/>
      <c r="V214" s="98"/>
      <c r="W214" s="98"/>
      <c r="X214" s="98"/>
      <c r="Y214" s="98"/>
      <c r="Z214" s="98"/>
      <c r="AA214" s="98"/>
      <c r="AB214" s="98"/>
      <c r="AC214" s="98"/>
      <c r="AD214" s="98"/>
      <c r="AE214" s="98"/>
      <c r="AF214" s="98"/>
      <c r="AG214" s="98"/>
      <c r="AH214" s="98"/>
      <c r="AI214" s="98"/>
      <c r="AJ214" s="98"/>
      <c r="AK214" s="98"/>
      <c r="AL214" s="98"/>
      <c r="AM214" s="98"/>
      <c r="AN214" s="98"/>
      <c r="AO214" s="98"/>
    </row>
    <row r="215" spans="1:41" s="103" customFormat="1" ht="18" customHeight="1" x14ac:dyDescent="0.2">
      <c r="A215" s="24" t="s">
        <v>175</v>
      </c>
      <c r="B215" s="69"/>
      <c r="C215" s="69"/>
      <c r="D215" s="70"/>
      <c r="E215" s="69"/>
      <c r="F215" s="70"/>
      <c r="G215" s="70"/>
      <c r="H215" s="69"/>
      <c r="I215" s="24" t="s">
        <v>175</v>
      </c>
      <c r="J215" s="69"/>
      <c r="K215" s="69"/>
      <c r="L215" s="70"/>
      <c r="M215" s="69"/>
      <c r="N215" s="70"/>
      <c r="O215" s="70"/>
      <c r="P215" s="69"/>
      <c r="Q215" s="248">
        <f t="shared" si="24"/>
        <v>0</v>
      </c>
      <c r="R215" s="248">
        <f t="shared" si="25"/>
        <v>0</v>
      </c>
      <c r="S215" s="102"/>
      <c r="T215" s="102"/>
      <c r="U215" s="102"/>
      <c r="V215" s="102"/>
      <c r="W215" s="102"/>
      <c r="X215" s="102"/>
      <c r="Y215" s="102"/>
      <c r="Z215" s="102"/>
      <c r="AA215" s="102"/>
      <c r="AB215" s="102"/>
      <c r="AC215" s="102"/>
      <c r="AD215" s="102"/>
      <c r="AE215" s="102"/>
      <c r="AF215" s="102"/>
      <c r="AG215" s="102"/>
      <c r="AH215" s="102"/>
      <c r="AI215" s="102"/>
      <c r="AJ215" s="102"/>
      <c r="AK215" s="102"/>
      <c r="AL215" s="102"/>
      <c r="AM215" s="102"/>
      <c r="AN215" s="102"/>
      <c r="AO215" s="102"/>
    </row>
    <row r="216" spans="1:41" s="103" customFormat="1" ht="26.25" customHeight="1" x14ac:dyDescent="0.2">
      <c r="A216" s="666" t="s">
        <v>176</v>
      </c>
      <c r="B216" s="683"/>
      <c r="C216" s="683"/>
      <c r="D216" s="683"/>
      <c r="E216" s="683"/>
      <c r="F216" s="683"/>
      <c r="G216" s="683"/>
      <c r="H216" s="683"/>
      <c r="I216" s="666" t="s">
        <v>176</v>
      </c>
      <c r="J216" s="683"/>
      <c r="K216" s="683"/>
      <c r="L216" s="683"/>
      <c r="M216" s="683"/>
      <c r="N216" s="683"/>
      <c r="O216" s="683"/>
      <c r="P216" s="683"/>
      <c r="Q216" s="248">
        <f t="shared" si="24"/>
        <v>0</v>
      </c>
      <c r="R216" s="248">
        <f t="shared" si="25"/>
        <v>0</v>
      </c>
    </row>
    <row r="217" spans="1:41" s="103" customFormat="1" ht="10.5" customHeight="1" x14ac:dyDescent="0.2">
      <c r="A217" s="78"/>
      <c r="B217" s="111"/>
      <c r="C217" s="111"/>
      <c r="D217" s="111"/>
      <c r="E217" s="111"/>
      <c r="F217" s="111"/>
      <c r="G217" s="112"/>
      <c r="H217" s="112"/>
      <c r="I217" s="78"/>
      <c r="J217" s="111"/>
      <c r="K217" s="111"/>
      <c r="L217" s="111"/>
      <c r="M217" s="111"/>
      <c r="N217" s="111"/>
      <c r="O217" s="111"/>
      <c r="P217" s="112"/>
      <c r="Q217" s="248">
        <f t="shared" si="24"/>
        <v>0</v>
      </c>
      <c r="R217" s="248">
        <f t="shared" si="25"/>
        <v>0</v>
      </c>
    </row>
    <row r="218" spans="1:41" s="103" customFormat="1" x14ac:dyDescent="0.2">
      <c r="A218" s="25"/>
      <c r="B218" s="25"/>
      <c r="C218" s="25"/>
      <c r="D218" s="25"/>
      <c r="E218" s="25"/>
      <c r="F218" s="25"/>
      <c r="G218" s="25"/>
      <c r="H218" s="27" t="s">
        <v>914</v>
      </c>
      <c r="I218" s="25"/>
      <c r="J218" s="25"/>
      <c r="K218" s="25"/>
      <c r="L218" s="25"/>
      <c r="M218" s="25"/>
      <c r="N218" s="25"/>
      <c r="O218" s="25"/>
      <c r="P218" s="27" t="s">
        <v>914</v>
      </c>
      <c r="Q218" s="248">
        <f t="shared" si="24"/>
        <v>0</v>
      </c>
      <c r="R218" s="248">
        <f t="shared" si="25"/>
        <v>0</v>
      </c>
    </row>
    <row r="219" spans="1:41" ht="18" x14ac:dyDescent="0.25">
      <c r="A219" s="16" t="s">
        <v>208</v>
      </c>
      <c r="B219" s="34"/>
      <c r="C219" s="34"/>
      <c r="D219" s="34"/>
      <c r="E219" s="34"/>
      <c r="F219" s="34"/>
      <c r="G219" s="34"/>
      <c r="H219" s="35"/>
      <c r="I219" s="65"/>
      <c r="J219" s="65"/>
      <c r="K219" s="65"/>
      <c r="L219" s="65"/>
      <c r="M219" s="65"/>
      <c r="N219" s="65"/>
      <c r="O219" s="65"/>
      <c r="P219" s="65"/>
      <c r="Q219" s="248">
        <f>SUM(B219,C219,D219,H219)</f>
        <v>0</v>
      </c>
    </row>
    <row r="220" spans="1:41" x14ac:dyDescent="0.2">
      <c r="A220" s="18"/>
      <c r="B220" s="19"/>
      <c r="C220" s="19"/>
      <c r="D220" s="19"/>
      <c r="E220" s="19"/>
      <c r="F220" s="19"/>
      <c r="G220" s="19"/>
      <c r="H220" s="36"/>
      <c r="I220" s="65"/>
      <c r="J220" s="65"/>
      <c r="K220" s="65"/>
      <c r="L220" s="65"/>
      <c r="M220" s="65"/>
      <c r="N220" s="65"/>
      <c r="O220" s="65"/>
      <c r="P220" s="65"/>
      <c r="Q220" s="248">
        <f t="shared" ref="Q220:Q283" si="34">SUM(B220,C220,D220,H220)</f>
        <v>0</v>
      </c>
    </row>
    <row r="221" spans="1:41" ht="15.75" x14ac:dyDescent="0.25">
      <c r="A221" s="37" t="s">
        <v>162</v>
      </c>
      <c r="B221" s="19"/>
      <c r="C221" s="19"/>
      <c r="D221" s="19"/>
      <c r="E221" s="19"/>
      <c r="F221" s="19"/>
      <c r="G221" s="19"/>
      <c r="H221" s="36"/>
      <c r="I221" s="80"/>
      <c r="J221" s="65"/>
      <c r="K221" s="65"/>
      <c r="L221" s="36"/>
      <c r="M221" s="65"/>
      <c r="N221" s="65"/>
      <c r="O221" s="65"/>
      <c r="P221" s="65"/>
      <c r="Q221" s="248">
        <f t="shared" si="34"/>
        <v>0</v>
      </c>
    </row>
    <row r="222" spans="1:41" ht="15.75" x14ac:dyDescent="0.25">
      <c r="A222" s="37" t="s">
        <v>873</v>
      </c>
      <c r="B222" s="19"/>
      <c r="C222" s="19"/>
      <c r="D222" s="19"/>
      <c r="E222" s="19"/>
      <c r="F222" s="19"/>
      <c r="G222" s="19"/>
      <c r="H222" s="36"/>
      <c r="I222" s="80"/>
      <c r="J222" s="65"/>
      <c r="K222" s="65"/>
      <c r="L222" s="65"/>
      <c r="M222" s="65"/>
      <c r="N222" s="65"/>
      <c r="O222" s="65"/>
      <c r="P222" s="65"/>
      <c r="Q222" s="248">
        <f t="shared" si="34"/>
        <v>0</v>
      </c>
    </row>
    <row r="223" spans="1:41" x14ac:dyDescent="0.2">
      <c r="A223" s="39"/>
      <c r="B223" s="40"/>
      <c r="C223" s="40"/>
      <c r="D223" s="40"/>
      <c r="E223" s="40"/>
      <c r="F223" s="40"/>
      <c r="G223" s="40"/>
      <c r="H223" s="40"/>
      <c r="I223" s="80"/>
      <c r="J223" s="65"/>
      <c r="K223" s="65"/>
      <c r="L223" s="65"/>
      <c r="M223" s="65"/>
      <c r="N223" s="65"/>
      <c r="O223" s="65"/>
      <c r="P223" s="65"/>
      <c r="Q223" s="248">
        <f t="shared" si="34"/>
        <v>0</v>
      </c>
    </row>
    <row r="224" spans="1:41" x14ac:dyDescent="0.2">
      <c r="A224" s="43"/>
      <c r="B224" s="44" t="s">
        <v>164</v>
      </c>
      <c r="C224" s="44"/>
      <c r="D224" s="44"/>
      <c r="E224" s="44"/>
      <c r="F224" s="44"/>
      <c r="G224" s="44"/>
      <c r="H224" s="45"/>
      <c r="I224" s="80"/>
      <c r="J224" s="65"/>
      <c r="K224" s="65"/>
      <c r="L224" s="65"/>
      <c r="M224" s="65"/>
      <c r="N224" s="65"/>
      <c r="O224" s="65"/>
      <c r="P224" s="65"/>
      <c r="Q224" s="248">
        <f t="shared" si="34"/>
        <v>0</v>
      </c>
    </row>
    <row r="225" spans="1:41" x14ac:dyDescent="0.2">
      <c r="A225" s="43"/>
      <c r="B225" s="44" t="s">
        <v>165</v>
      </c>
      <c r="C225" s="44"/>
      <c r="D225" s="670" t="s">
        <v>166</v>
      </c>
      <c r="E225" s="668"/>
      <c r="F225" s="668"/>
      <c r="G225" s="668"/>
      <c r="H225" s="49" t="s">
        <v>39</v>
      </c>
      <c r="I225" s="80"/>
      <c r="J225" s="65"/>
      <c r="K225" s="65"/>
      <c r="L225" s="65"/>
      <c r="M225" s="65"/>
      <c r="N225" s="65"/>
      <c r="O225" s="65"/>
      <c r="P225" s="65"/>
      <c r="Q225" s="248">
        <f t="shared" si="34"/>
        <v>0</v>
      </c>
    </row>
    <row r="226" spans="1:41" ht="36" x14ac:dyDescent="0.2">
      <c r="A226" s="43"/>
      <c r="B226" s="50" t="s">
        <v>167</v>
      </c>
      <c r="C226" s="51" t="s">
        <v>168</v>
      </c>
      <c r="D226" s="52" t="s">
        <v>169</v>
      </c>
      <c r="E226" s="53" t="s">
        <v>7</v>
      </c>
      <c r="F226" s="50" t="s">
        <v>170</v>
      </c>
      <c r="G226" s="54" t="s">
        <v>171</v>
      </c>
      <c r="H226" s="55" t="s">
        <v>172</v>
      </c>
      <c r="I226" s="73"/>
      <c r="J226" s="48"/>
      <c r="K226" s="48"/>
      <c r="L226" s="48"/>
      <c r="M226" s="48"/>
      <c r="N226" s="48"/>
      <c r="O226" s="48"/>
      <c r="P226" s="65"/>
      <c r="Q226" s="248">
        <f t="shared" si="34"/>
        <v>0</v>
      </c>
    </row>
    <row r="227" spans="1:41" ht="15.75" customHeight="1" x14ac:dyDescent="0.2">
      <c r="A227" s="62" t="s">
        <v>141</v>
      </c>
      <c r="B227" s="82">
        <f>('Pivot Table for Data Exchange'!$O$7)*100</f>
        <v>69.2861820887871</v>
      </c>
      <c r="C227" s="243">
        <f>('Pivot Table for Data Exchange'!$O$10)*100</f>
        <v>12.955850367892943</v>
      </c>
      <c r="D227" s="249">
        <f>SUM(E227:G227)</f>
        <v>17.757967543319946</v>
      </c>
      <c r="E227" s="243">
        <f>('Pivot Table for Data Exchange'!$O$13)*100</f>
        <v>16.581781007393555</v>
      </c>
      <c r="F227" s="243">
        <f>('Pivot Table for Data Exchange'!$O$16)*100</f>
        <v>0.31288624297047091</v>
      </c>
      <c r="G227" s="60">
        <f>('Pivot Table for Data Exchange'!$O$19)*100</f>
        <v>0.86330029295591981</v>
      </c>
      <c r="H227" s="243">
        <f>('Pivot Table for Data Exchange'!$O$22)*100</f>
        <v>0</v>
      </c>
      <c r="I227" s="64"/>
      <c r="J227" s="64"/>
      <c r="K227" s="64"/>
      <c r="L227" s="64"/>
      <c r="M227" s="64"/>
      <c r="N227" s="64"/>
      <c r="O227" s="64"/>
      <c r="P227" s="81"/>
      <c r="Q227" s="248">
        <f t="shared" si="34"/>
        <v>100</v>
      </c>
      <c r="R227" s="97"/>
      <c r="Z227" s="98"/>
      <c r="AA227" s="98"/>
      <c r="AB227" s="98"/>
      <c r="AC227" s="98"/>
      <c r="AD227" s="98"/>
      <c r="AE227" s="98"/>
      <c r="AF227" s="98"/>
      <c r="AG227" s="98"/>
      <c r="AH227" s="98"/>
      <c r="AI227" s="98"/>
      <c r="AJ227" s="98"/>
      <c r="AK227" s="98"/>
      <c r="AL227" s="98"/>
      <c r="AM227" s="98"/>
      <c r="AN227" s="98"/>
      <c r="AO227" s="98"/>
    </row>
    <row r="228" spans="1:41" ht="15.75" customHeight="1" x14ac:dyDescent="0.2">
      <c r="A228" s="65" t="s">
        <v>142</v>
      </c>
      <c r="B228" s="243">
        <f>('Pivot Table for Data Exchange'!$O$43)*100</f>
        <v>66.273567527865325</v>
      </c>
      <c r="C228" s="243">
        <f>('Pivot Table for Data Exchange'!$O$46)*100</f>
        <v>11.15721612903476</v>
      </c>
      <c r="D228" s="249">
        <f t="shared" ref="D228:D230" si="35">SUM(E228:G228)</f>
        <v>22.567354906862267</v>
      </c>
      <c r="E228" s="243">
        <f>('Pivot Table for Data Exchange'!$O$49)*100</f>
        <v>21.777097664130203</v>
      </c>
      <c r="F228" s="243">
        <f>('Pivot Table for Data Exchange'!$O$52)*100</f>
        <v>0.77404723549572763</v>
      </c>
      <c r="G228" s="68">
        <f>('Pivot Table for Data Exchange'!$O$55)*100</f>
        <v>1.6210007236333375E-2</v>
      </c>
      <c r="H228" s="61">
        <f>('Pivot Table for Data Exchange'!$O$58)*100</f>
        <v>1.8614362376650762E-3</v>
      </c>
      <c r="I228" s="64"/>
      <c r="J228" s="64"/>
      <c r="K228" s="64"/>
      <c r="L228" s="64"/>
      <c r="M228" s="64"/>
      <c r="N228" s="64"/>
      <c r="O228" s="64"/>
      <c r="P228" s="81"/>
      <c r="Q228" s="248">
        <f t="shared" si="34"/>
        <v>100.00000000000001</v>
      </c>
      <c r="R228" s="97"/>
      <c r="Z228" s="98"/>
      <c r="AA228" s="98"/>
      <c r="AB228" s="98"/>
      <c r="AC228" s="98"/>
      <c r="AD228" s="98"/>
      <c r="AE228" s="98"/>
      <c r="AF228" s="98"/>
      <c r="AG228" s="98"/>
      <c r="AH228" s="98"/>
      <c r="AI228" s="98"/>
      <c r="AJ228" s="98"/>
      <c r="AK228" s="98"/>
      <c r="AL228" s="98"/>
      <c r="AM228" s="98"/>
      <c r="AN228" s="98"/>
      <c r="AO228" s="98"/>
    </row>
    <row r="229" spans="1:41" ht="15.75" customHeight="1" x14ac:dyDescent="0.2">
      <c r="A229" s="65" t="s">
        <v>143</v>
      </c>
      <c r="B229" s="243">
        <f>('Pivot Table for Data Exchange'!$O$79)*100</f>
        <v>84.864609016578555</v>
      </c>
      <c r="C229" s="243">
        <f>('Pivot Table for Data Exchange'!$O$82)*100</f>
        <v>0</v>
      </c>
      <c r="D229" s="249">
        <f t="shared" si="35"/>
        <v>15.135390983421448</v>
      </c>
      <c r="E229" s="243">
        <f>('Pivot Table for Data Exchange'!$O$85)*100</f>
        <v>14.467175459166153</v>
      </c>
      <c r="F229" s="243">
        <f>('Pivot Table for Data Exchange'!$O$88)*100</f>
        <v>0.27471082663828811</v>
      </c>
      <c r="G229" s="245">
        <f>('Pivot Table for Data Exchange'!$O$91)*100</f>
        <v>0.39350469761700729</v>
      </c>
      <c r="H229" s="243">
        <f>('Pivot Table for Data Exchange'!$O$94)*100</f>
        <v>0</v>
      </c>
      <c r="I229" s="64"/>
      <c r="J229" s="64"/>
      <c r="K229" s="64"/>
      <c r="L229" s="64"/>
      <c r="M229" s="64"/>
      <c r="N229" s="64"/>
      <c r="O229" s="64"/>
      <c r="P229" s="81"/>
      <c r="Q229" s="248">
        <f t="shared" si="34"/>
        <v>100</v>
      </c>
      <c r="R229" s="97"/>
      <c r="Z229" s="98"/>
      <c r="AA229" s="98"/>
      <c r="AB229" s="98"/>
      <c r="AC229" s="98"/>
      <c r="AD229" s="98"/>
      <c r="AE229" s="98"/>
      <c r="AF229" s="98"/>
      <c r="AG229" s="98"/>
      <c r="AH229" s="98"/>
      <c r="AI229" s="98"/>
      <c r="AJ229" s="98"/>
      <c r="AK229" s="98"/>
      <c r="AL229" s="98"/>
      <c r="AM229" s="98"/>
      <c r="AN229" s="98"/>
      <c r="AO229" s="98"/>
    </row>
    <row r="230" spans="1:41" ht="15.75" customHeight="1" x14ac:dyDescent="0.2">
      <c r="A230" s="65" t="s">
        <v>174</v>
      </c>
      <c r="B230" s="243">
        <f>('Pivot Table for Data Exchange'!$O$115)*100</f>
        <v>73.616349050412083</v>
      </c>
      <c r="C230" s="243">
        <f>('Pivot Table for Data Exchange'!$O$118)*100</f>
        <v>2.7052470169684528</v>
      </c>
      <c r="D230" s="249">
        <f t="shared" si="35"/>
        <v>23.503770822229168</v>
      </c>
      <c r="E230" s="243">
        <f>('Pivot Table for Data Exchange'!$O$121)*100</f>
        <v>19.331558247498982</v>
      </c>
      <c r="F230" s="243">
        <f>('Pivot Table for Data Exchange'!$O$124)*100</f>
        <v>0.57058871308648529</v>
      </c>
      <c r="G230" s="245">
        <f>('Pivot Table for Data Exchange'!$O$127)*100</f>
        <v>3.6016238616437</v>
      </c>
      <c r="H230" s="243">
        <f>('Pivot Table for Data Exchange'!$O$130)*100</f>
        <v>0.17463311039029952</v>
      </c>
      <c r="I230" s="64"/>
      <c r="J230" s="64"/>
      <c r="K230" s="64"/>
      <c r="L230" s="64"/>
      <c r="M230" s="64"/>
      <c r="N230" s="64"/>
      <c r="O230" s="64"/>
      <c r="P230" s="81"/>
      <c r="Q230" s="248">
        <f t="shared" si="34"/>
        <v>100.00000000000001</v>
      </c>
      <c r="R230" s="97"/>
      <c r="Z230" s="98"/>
      <c r="AA230" s="98"/>
      <c r="AB230" s="98"/>
      <c r="AC230" s="98"/>
      <c r="AD230" s="98"/>
      <c r="AE230" s="98"/>
      <c r="AF230" s="98"/>
      <c r="AG230" s="98"/>
      <c r="AH230" s="98"/>
      <c r="AI230" s="98"/>
      <c r="AJ230" s="98"/>
      <c r="AK230" s="98"/>
      <c r="AL230" s="98"/>
      <c r="AM230" s="98"/>
      <c r="AN230" s="98"/>
      <c r="AO230" s="98"/>
    </row>
    <row r="231" spans="1:41" ht="15.75" customHeight="1" x14ac:dyDescent="0.2">
      <c r="A231" s="65"/>
      <c r="B231" s="243"/>
      <c r="C231" s="243"/>
      <c r="D231" s="249"/>
      <c r="E231" s="243"/>
      <c r="F231" s="243"/>
      <c r="G231" s="245"/>
      <c r="H231" s="243"/>
      <c r="I231" s="64"/>
      <c r="J231" s="64"/>
      <c r="K231" s="64"/>
      <c r="L231" s="64"/>
      <c r="M231" s="64"/>
      <c r="N231" s="64"/>
      <c r="O231" s="64"/>
      <c r="P231" s="81"/>
      <c r="Q231" s="248">
        <f t="shared" si="34"/>
        <v>0</v>
      </c>
      <c r="R231" s="97"/>
      <c r="Z231" s="98"/>
      <c r="AA231" s="98"/>
      <c r="AB231" s="98"/>
      <c r="AC231" s="98"/>
      <c r="AD231" s="98"/>
      <c r="AE231" s="98"/>
      <c r="AF231" s="98"/>
      <c r="AG231" s="98"/>
      <c r="AH231" s="98"/>
      <c r="AI231" s="98"/>
      <c r="AJ231" s="98"/>
      <c r="AK231" s="98"/>
      <c r="AL231" s="98"/>
      <c r="AM231" s="98"/>
      <c r="AN231" s="98"/>
      <c r="AO231" s="98"/>
    </row>
    <row r="232" spans="1:41" ht="15.75" customHeight="1" x14ac:dyDescent="0.2">
      <c r="A232" s="65" t="s">
        <v>145</v>
      </c>
      <c r="B232" s="243">
        <f>('Pivot Table for Data Exchange'!$O$151)*100</f>
        <v>73.555392700852195</v>
      </c>
      <c r="C232" s="243">
        <f>('Pivot Table for Data Exchange'!$O$154)*100</f>
        <v>8.8939327317015291</v>
      </c>
      <c r="D232" s="249">
        <f t="shared" ref="D232:D233" si="36">SUM(E232:G232)</f>
        <v>17.526553459382875</v>
      </c>
      <c r="E232" s="243">
        <f>('Pivot Table for Data Exchange'!$O$157)*100</f>
        <v>15.434214842577665</v>
      </c>
      <c r="F232" s="243">
        <f>('Pivot Table for Data Exchange'!$O$160)*100</f>
        <v>0</v>
      </c>
      <c r="G232" s="245">
        <f>('Pivot Table for Data Exchange'!$O$163)*100</f>
        <v>2.0923386168052094</v>
      </c>
      <c r="H232" s="67">
        <f>('Pivot Table for Data Exchange'!$O$166)*100</f>
        <v>2.4121108063401661E-2</v>
      </c>
      <c r="I232" s="64"/>
      <c r="J232" s="64"/>
      <c r="K232" s="64"/>
      <c r="L232" s="64"/>
      <c r="M232" s="64"/>
      <c r="N232" s="64"/>
      <c r="O232" s="64"/>
      <c r="P232" s="81"/>
      <c r="Q232" s="248">
        <f t="shared" si="34"/>
        <v>99.999999999999986</v>
      </c>
      <c r="R232" s="97"/>
      <c r="Z232" s="98"/>
      <c r="AA232" s="98"/>
      <c r="AB232" s="98"/>
      <c r="AC232" s="98"/>
      <c r="AD232" s="98"/>
      <c r="AE232" s="98"/>
      <c r="AF232" s="98"/>
      <c r="AG232" s="98"/>
      <c r="AH232" s="98"/>
      <c r="AI232" s="98"/>
      <c r="AJ232" s="98"/>
      <c r="AK232" s="98"/>
      <c r="AL232" s="98"/>
      <c r="AM232" s="98"/>
      <c r="AN232" s="98"/>
      <c r="AO232" s="98"/>
    </row>
    <row r="233" spans="1:41" ht="15.75" customHeight="1" x14ac:dyDescent="0.2">
      <c r="A233" s="65" t="s">
        <v>146</v>
      </c>
      <c r="B233" s="243">
        <f>('Pivot Table for Data Exchange'!$O$187)*100</f>
        <v>61.289789620825744</v>
      </c>
      <c r="C233" s="243">
        <f>('Pivot Table for Data Exchange'!$O$190)*100</f>
        <v>6.5111973913841004</v>
      </c>
      <c r="D233" s="249">
        <f t="shared" si="36"/>
        <v>32.199012987790162</v>
      </c>
      <c r="E233" s="243">
        <f>('Pivot Table for Data Exchange'!$O$193)*100</f>
        <v>31.459957186540365</v>
      </c>
      <c r="F233" s="243">
        <f>('Pivot Table for Data Exchange'!$O$196)*100</f>
        <v>0.73905580124979919</v>
      </c>
      <c r="G233" s="245">
        <f>('Pivot Table for Data Exchange'!$O$199)*100</f>
        <v>0</v>
      </c>
      <c r="H233" s="243">
        <f>('Pivot Table for Data Exchange'!$O$202)*100</f>
        <v>0</v>
      </c>
      <c r="I233" s="64"/>
      <c r="J233" s="64"/>
      <c r="K233" s="64"/>
      <c r="L233" s="64"/>
      <c r="M233" s="64"/>
      <c r="N233" s="64"/>
      <c r="O233" s="64"/>
      <c r="P233" s="81"/>
      <c r="Q233" s="248">
        <f t="shared" si="34"/>
        <v>100</v>
      </c>
      <c r="R233" s="97"/>
      <c r="Z233" s="98"/>
      <c r="AA233" s="98"/>
      <c r="AB233" s="98"/>
      <c r="AC233" s="98"/>
      <c r="AD233" s="98"/>
      <c r="AE233" s="98"/>
      <c r="AF233" s="98"/>
      <c r="AG233" s="98"/>
      <c r="AH233" s="98"/>
      <c r="AI233" s="98"/>
      <c r="AJ233" s="98"/>
      <c r="AK233" s="98"/>
      <c r="AL233" s="98"/>
      <c r="AM233" s="98"/>
      <c r="AN233" s="98"/>
      <c r="AO233" s="98"/>
    </row>
    <row r="234" spans="1:41" ht="15.75" customHeight="1" x14ac:dyDescent="0.2">
      <c r="A234" s="244" t="s">
        <v>147</v>
      </c>
      <c r="B234" s="243">
        <f>('Pivot Table for Data Exchange'!$O$223)*100</f>
        <v>0</v>
      </c>
      <c r="C234" s="243">
        <f>('Pivot Table for Data Exchange'!$O$226)*100</f>
        <v>0</v>
      </c>
      <c r="D234" s="249">
        <f>SUM(E234:G234)</f>
        <v>0</v>
      </c>
      <c r="E234" s="243">
        <f>('Pivot Table for Data Exchange'!$O$229)*100</f>
        <v>0</v>
      </c>
      <c r="F234" s="243">
        <f>('Pivot Table for Data Exchange'!$O$232)*100</f>
        <v>0</v>
      </c>
      <c r="G234" s="245">
        <f>('Pivot Table for Data Exchange'!$O$235)*100</f>
        <v>0</v>
      </c>
      <c r="H234" s="243">
        <f>('Pivot Table for Data Exchange'!$O$238)*100</f>
        <v>0</v>
      </c>
      <c r="Q234" s="248">
        <f t="shared" si="34"/>
        <v>0</v>
      </c>
      <c r="R234" s="97"/>
      <c r="Z234" s="98"/>
      <c r="AA234" s="98"/>
      <c r="AB234" s="98"/>
      <c r="AC234" s="98"/>
      <c r="AD234" s="98"/>
      <c r="AE234" s="98"/>
      <c r="AF234" s="98"/>
      <c r="AG234" s="98"/>
      <c r="AH234" s="98"/>
      <c r="AI234" s="98"/>
      <c r="AJ234" s="98"/>
      <c r="AK234" s="98"/>
      <c r="AL234" s="98"/>
      <c r="AM234" s="98"/>
      <c r="AN234" s="98"/>
      <c r="AO234" s="98"/>
    </row>
    <row r="235" spans="1:41" ht="15.75" customHeight="1" x14ac:dyDescent="0.2">
      <c r="A235" s="65" t="s">
        <v>177</v>
      </c>
      <c r="B235" s="243">
        <f>('Pivot Table for Data Exchange'!$O$259)*100</f>
        <v>73.350742699553095</v>
      </c>
      <c r="C235" s="243">
        <f>('Pivot Table for Data Exchange'!$O$262)*100</f>
        <v>10.934038826868155</v>
      </c>
      <c r="D235" s="249">
        <f>SUM(E235:G235)</f>
        <v>15.71521847357875</v>
      </c>
      <c r="E235" s="243">
        <f>('Pivot Table for Data Exchange'!$O$265)*100</f>
        <v>15.573747305072171</v>
      </c>
      <c r="F235" s="243">
        <f>('Pivot Table for Data Exchange'!$O$268)*100</f>
        <v>0.12994412595236571</v>
      </c>
      <c r="G235" s="68">
        <f>('Pivot Table for Data Exchange'!$O$271)*100</f>
        <v>1.1527042554212821E-2</v>
      </c>
      <c r="H235" s="243">
        <f>('Pivot Table for Data Exchange'!$O$274)*100</f>
        <v>0</v>
      </c>
      <c r="I235" s="64"/>
      <c r="J235" s="64"/>
      <c r="K235" s="64"/>
      <c r="L235" s="64"/>
      <c r="M235" s="64"/>
      <c r="N235" s="64"/>
      <c r="O235" s="64"/>
      <c r="P235" s="81"/>
      <c r="Q235" s="248">
        <f t="shared" si="34"/>
        <v>100</v>
      </c>
      <c r="R235" s="97"/>
      <c r="Z235" s="98"/>
      <c r="AA235" s="98"/>
      <c r="AB235" s="98"/>
      <c r="AC235" s="98"/>
      <c r="AD235" s="98"/>
      <c r="AE235" s="98"/>
      <c r="AF235" s="98"/>
      <c r="AG235" s="98"/>
      <c r="AH235" s="98"/>
      <c r="AI235" s="98"/>
      <c r="AJ235" s="98"/>
      <c r="AK235" s="98"/>
      <c r="AL235" s="98"/>
      <c r="AM235" s="98"/>
      <c r="AN235" s="98"/>
      <c r="AO235" s="98"/>
    </row>
    <row r="236" spans="1:41" ht="15.75" customHeight="1" x14ac:dyDescent="0.2">
      <c r="A236" s="65"/>
      <c r="B236" s="243"/>
      <c r="C236" s="243"/>
      <c r="D236" s="249"/>
      <c r="E236" s="243"/>
      <c r="F236" s="243"/>
      <c r="G236" s="245"/>
      <c r="H236" s="243"/>
      <c r="I236" s="64"/>
      <c r="J236" s="64"/>
      <c r="K236" s="64"/>
      <c r="L236" s="64"/>
      <c r="M236" s="64"/>
      <c r="N236" s="64"/>
      <c r="O236" s="64"/>
      <c r="P236" s="81"/>
      <c r="Q236" s="248">
        <f t="shared" si="34"/>
        <v>0</v>
      </c>
      <c r="R236" s="97"/>
      <c r="Z236" s="98"/>
      <c r="AA236" s="98"/>
      <c r="AB236" s="98"/>
      <c r="AC236" s="98"/>
      <c r="AD236" s="98"/>
      <c r="AE236" s="98"/>
      <c r="AF236" s="98"/>
      <c r="AG236" s="98"/>
      <c r="AH236" s="98"/>
      <c r="AI236" s="98"/>
      <c r="AJ236" s="98"/>
      <c r="AK236" s="98"/>
      <c r="AL236" s="98"/>
      <c r="AM236" s="98"/>
      <c r="AN236" s="98"/>
      <c r="AO236" s="98"/>
    </row>
    <row r="237" spans="1:41" ht="15.75" customHeight="1" x14ac:dyDescent="0.2">
      <c r="A237" s="65" t="s">
        <v>179</v>
      </c>
      <c r="B237" s="243">
        <f>('Pivot Table for Data Exchange'!$O$295)*100</f>
        <v>80.636710982963265</v>
      </c>
      <c r="C237" s="243">
        <f>('Pivot Table for Data Exchange'!$O$298)*100</f>
        <v>0</v>
      </c>
      <c r="D237" s="249">
        <f>SUM(E237:G237)</f>
        <v>19.363289017036735</v>
      </c>
      <c r="E237" s="243">
        <f>('Pivot Table for Data Exchange'!$O$301)*100</f>
        <v>19.363289017036735</v>
      </c>
      <c r="F237" s="243">
        <f>('Pivot Table for Data Exchange'!$O$304)*100</f>
        <v>0</v>
      </c>
      <c r="G237" s="245">
        <f>('Pivot Table for Data Exchange'!$O$307)*100</f>
        <v>0</v>
      </c>
      <c r="H237" s="243">
        <f>('Pivot Table for Data Exchange'!$O$310)*100</f>
        <v>0</v>
      </c>
      <c r="I237" s="64"/>
      <c r="J237" s="64"/>
      <c r="K237" s="64"/>
      <c r="L237" s="64"/>
      <c r="M237" s="64"/>
      <c r="N237" s="64"/>
      <c r="O237" s="64"/>
      <c r="P237" s="81"/>
      <c r="Q237" s="248">
        <f t="shared" si="34"/>
        <v>100</v>
      </c>
      <c r="R237" s="97"/>
      <c r="Z237" s="98"/>
      <c r="AA237" s="98"/>
      <c r="AB237" s="98"/>
      <c r="AC237" s="98"/>
      <c r="AD237" s="98"/>
      <c r="AE237" s="98"/>
      <c r="AF237" s="98"/>
      <c r="AG237" s="98"/>
      <c r="AH237" s="98"/>
      <c r="AI237" s="98"/>
      <c r="AJ237" s="98"/>
      <c r="AK237" s="98"/>
      <c r="AL237" s="98"/>
      <c r="AM237" s="98"/>
      <c r="AN237" s="98"/>
      <c r="AO237" s="98"/>
    </row>
    <row r="238" spans="1:41" ht="15.75" customHeight="1" x14ac:dyDescent="0.2">
      <c r="A238" s="65" t="s">
        <v>149</v>
      </c>
      <c r="B238" s="243">
        <f>('Pivot Table for Data Exchange'!$O$331)*100</f>
        <v>64.082668925932367</v>
      </c>
      <c r="C238" s="243">
        <f>('Pivot Table for Data Exchange'!$O$334)*100</f>
        <v>1.5233024180501864</v>
      </c>
      <c r="D238" s="249">
        <f>SUM(E238:G238)</f>
        <v>34.394028656017447</v>
      </c>
      <c r="E238" s="243">
        <f>('Pivot Table for Data Exchange'!$O$337)*100</f>
        <v>33.74682758324029</v>
      </c>
      <c r="F238" s="243">
        <f>('Pivot Table for Data Exchange'!$O$340)*100</f>
        <v>0.47195836068578439</v>
      </c>
      <c r="G238" s="245">
        <f>('Pivot Table for Data Exchange'!$O$343)*100</f>
        <v>0.17524271209137307</v>
      </c>
      <c r="H238" s="243">
        <f>('Pivot Table for Data Exchange'!$O$346)*100</f>
        <v>0</v>
      </c>
      <c r="I238" s="64"/>
      <c r="J238" s="64"/>
      <c r="K238" s="64"/>
      <c r="L238" s="64"/>
      <c r="M238" s="64"/>
      <c r="N238" s="64"/>
      <c r="O238" s="64"/>
      <c r="P238" s="81"/>
      <c r="Q238" s="248">
        <f t="shared" si="34"/>
        <v>100</v>
      </c>
      <c r="R238" s="97"/>
      <c r="Z238" s="98"/>
      <c r="AA238" s="98"/>
      <c r="AB238" s="98"/>
      <c r="AC238" s="98"/>
      <c r="AD238" s="98"/>
      <c r="AE238" s="98"/>
      <c r="AF238" s="98"/>
      <c r="AG238" s="98"/>
      <c r="AH238" s="98"/>
      <c r="AI238" s="98"/>
      <c r="AJ238" s="98"/>
      <c r="AK238" s="98"/>
      <c r="AL238" s="98"/>
      <c r="AM238" s="98"/>
      <c r="AN238" s="98"/>
      <c r="AO238" s="98"/>
    </row>
    <row r="239" spans="1:41" ht="15.75" customHeight="1" x14ac:dyDescent="0.2">
      <c r="A239" s="65" t="s">
        <v>150</v>
      </c>
      <c r="B239" s="243">
        <f>('Pivot Table for Data Exchange'!$O$367)*100</f>
        <v>69.185761879536344</v>
      </c>
      <c r="C239" s="243">
        <f>('Pivot Table for Data Exchange'!$O$370)*100</f>
        <v>4.6604286600169216</v>
      </c>
      <c r="D239" s="249">
        <f>SUM(E239:G239)</f>
        <v>26.121108882255321</v>
      </c>
      <c r="E239" s="243">
        <f>('Pivot Table for Data Exchange'!$O$373)*100</f>
        <v>23.466524901396145</v>
      </c>
      <c r="F239" s="243">
        <f>('Pivot Table for Data Exchange'!$O$376)*100</f>
        <v>2.4934661608642497</v>
      </c>
      <c r="G239" s="245">
        <f>('Pivot Table for Data Exchange'!$O$379)*100</f>
        <v>0.16111781999492858</v>
      </c>
      <c r="H239" s="67">
        <f>('Pivot Table for Data Exchange'!$O$382)*100</f>
        <v>3.270057819141324E-2</v>
      </c>
      <c r="I239" s="64"/>
      <c r="J239" s="64"/>
      <c r="K239" s="64"/>
      <c r="L239" s="64"/>
      <c r="M239" s="64"/>
      <c r="N239" s="64"/>
      <c r="O239" s="64"/>
      <c r="P239" s="81"/>
      <c r="Q239" s="248">
        <f t="shared" si="34"/>
        <v>99.999999999999986</v>
      </c>
      <c r="R239" s="97"/>
      <c r="Z239" s="98"/>
      <c r="AA239" s="98"/>
      <c r="AB239" s="98"/>
      <c r="AC239" s="98"/>
      <c r="AD239" s="98"/>
      <c r="AE239" s="98"/>
      <c r="AF239" s="98"/>
      <c r="AG239" s="98"/>
      <c r="AH239" s="98"/>
      <c r="AI239" s="98"/>
      <c r="AJ239" s="98"/>
      <c r="AK239" s="98"/>
      <c r="AL239" s="98"/>
      <c r="AM239" s="98"/>
      <c r="AN239" s="98"/>
      <c r="AO239" s="98"/>
    </row>
    <row r="240" spans="1:41" ht="15.75" customHeight="1" x14ac:dyDescent="0.2">
      <c r="A240" s="65" t="s">
        <v>151</v>
      </c>
      <c r="B240" s="243">
        <f>('Pivot Table for Data Exchange'!$O$403)*100</f>
        <v>76.296777394358429</v>
      </c>
      <c r="C240" s="243">
        <f>('Pivot Table for Data Exchange'!$O$406)*100</f>
        <v>4.9928996617953043</v>
      </c>
      <c r="D240" s="249">
        <f>SUM(E240:G240)</f>
        <v>18.710322943846254</v>
      </c>
      <c r="E240" s="243">
        <f>('Pivot Table for Data Exchange'!$O$409)*100</f>
        <v>17.807258285532892</v>
      </c>
      <c r="F240" s="243">
        <f>('Pivot Table for Data Exchange'!$O$412)*100</f>
        <v>0.90306465831336191</v>
      </c>
      <c r="G240" s="245">
        <f>('Pivot Table for Data Exchange'!$O$415)*100</f>
        <v>0</v>
      </c>
      <c r="H240" s="243">
        <f>('Pivot Table for Data Exchange'!$O$418)*100</f>
        <v>0</v>
      </c>
      <c r="I240" s="64"/>
      <c r="J240" s="64"/>
      <c r="K240" s="64"/>
      <c r="L240" s="64"/>
      <c r="M240" s="64"/>
      <c r="N240" s="64"/>
      <c r="O240" s="64"/>
      <c r="P240" s="81"/>
      <c r="Q240" s="248">
        <f t="shared" si="34"/>
        <v>99.999999999999986</v>
      </c>
      <c r="R240" s="97"/>
      <c r="Z240" s="98"/>
      <c r="AA240" s="98"/>
      <c r="AB240" s="98"/>
      <c r="AC240" s="98"/>
      <c r="AD240" s="98"/>
      <c r="AE240" s="98"/>
      <c r="AF240" s="98"/>
      <c r="AG240" s="98"/>
      <c r="AH240" s="98"/>
      <c r="AI240" s="98"/>
      <c r="AJ240" s="98"/>
      <c r="AK240" s="98"/>
      <c r="AL240" s="98"/>
      <c r="AM240" s="98"/>
      <c r="AN240" s="98"/>
      <c r="AO240" s="98"/>
    </row>
    <row r="241" spans="1:41" ht="10.5" customHeight="1" x14ac:dyDescent="0.2">
      <c r="A241" s="65"/>
      <c r="B241" s="243"/>
      <c r="C241" s="243"/>
      <c r="D241" s="249"/>
      <c r="E241" s="243"/>
      <c r="F241" s="243"/>
      <c r="G241" s="245"/>
      <c r="H241" s="243"/>
      <c r="I241" s="64"/>
      <c r="J241" s="64"/>
      <c r="K241" s="64"/>
      <c r="L241" s="64"/>
      <c r="M241" s="64"/>
      <c r="N241" s="64"/>
      <c r="O241" s="64"/>
      <c r="P241" s="81"/>
      <c r="Q241" s="248">
        <f t="shared" si="34"/>
        <v>0</v>
      </c>
      <c r="R241" s="97"/>
      <c r="Z241" s="98"/>
      <c r="AA241" s="98"/>
      <c r="AB241" s="98"/>
      <c r="AC241" s="98"/>
      <c r="AD241" s="98"/>
      <c r="AE241" s="98"/>
      <c r="AF241" s="98"/>
      <c r="AG241" s="98"/>
      <c r="AH241" s="98"/>
      <c r="AI241" s="98"/>
      <c r="AJ241" s="98"/>
      <c r="AK241" s="98"/>
      <c r="AL241" s="98"/>
      <c r="AM241" s="98"/>
      <c r="AN241" s="98"/>
      <c r="AO241" s="98"/>
    </row>
    <row r="242" spans="1:41" ht="15.75" customHeight="1" x14ac:dyDescent="0.2">
      <c r="A242" s="65" t="s">
        <v>152</v>
      </c>
      <c r="B242" s="243">
        <f>('Pivot Table for Data Exchange'!$O$439)*100</f>
        <v>44.245690247431412</v>
      </c>
      <c r="C242" s="243">
        <f>('Pivot Table for Data Exchange'!$O$442)*100</f>
        <v>30.260275357790906</v>
      </c>
      <c r="D242" s="249">
        <f>SUM(E242:G242)</f>
        <v>25.296385952339726</v>
      </c>
      <c r="E242" s="243">
        <f>('Pivot Table for Data Exchange'!$O$445)*100</f>
        <v>17.555226437933776</v>
      </c>
      <c r="F242" s="243">
        <f>('Pivot Table for Data Exchange'!$O$448)*100</f>
        <v>1.8665077937465933</v>
      </c>
      <c r="G242" s="245">
        <f>('Pivot Table for Data Exchange'!$O$451)*100</f>
        <v>5.874651720659358</v>
      </c>
      <c r="H242" s="243">
        <f>('Pivot Table for Data Exchange'!$O$454)*100</f>
        <v>0.19764844243795937</v>
      </c>
      <c r="I242" s="64"/>
      <c r="J242" s="64"/>
      <c r="K242" s="64"/>
      <c r="L242" s="64"/>
      <c r="M242" s="64"/>
      <c r="N242" s="64"/>
      <c r="O242" s="64"/>
      <c r="P242" s="81"/>
      <c r="Q242" s="248">
        <f t="shared" si="34"/>
        <v>100.00000000000001</v>
      </c>
      <c r="R242" s="97"/>
      <c r="Z242" s="98"/>
      <c r="AA242" s="98"/>
      <c r="AB242" s="98"/>
      <c r="AC242" s="98"/>
      <c r="AD242" s="98"/>
      <c r="AE242" s="98"/>
      <c r="AF242" s="98"/>
      <c r="AG242" s="98"/>
      <c r="AH242" s="98"/>
      <c r="AI242" s="98"/>
      <c r="AJ242" s="98"/>
      <c r="AK242" s="98"/>
      <c r="AL242" s="98"/>
      <c r="AM242" s="98"/>
      <c r="AN242" s="98"/>
      <c r="AO242" s="98"/>
    </row>
    <row r="243" spans="1:41" ht="15.75" customHeight="1" x14ac:dyDescent="0.2">
      <c r="A243" s="65" t="s">
        <v>153</v>
      </c>
      <c r="B243" s="243">
        <f>('Pivot Table for Data Exchange'!$O$475)*100</f>
        <v>66.944374378887971</v>
      </c>
      <c r="C243" s="243">
        <f>('Pivot Table for Data Exchange'!$O$478)*100</f>
        <v>12.198998485331844</v>
      </c>
      <c r="D243" s="249">
        <f>SUM(E243:G243)</f>
        <v>20.856627135780183</v>
      </c>
      <c r="E243" s="243">
        <f>('Pivot Table for Data Exchange'!$O$481)*100</f>
        <v>19.977418408330994</v>
      </c>
      <c r="F243" s="243">
        <f>('Pivot Table for Data Exchange'!$O$484)*100</f>
        <v>0.52261407766281154</v>
      </c>
      <c r="G243" s="245">
        <f>('Pivot Table for Data Exchange'!$O$487)*100</f>
        <v>0.3565946497863785</v>
      </c>
      <c r="H243" s="243">
        <f>('Pivot Table for Data Exchange'!$O$490)*100</f>
        <v>0</v>
      </c>
      <c r="I243" s="64"/>
      <c r="J243" s="64"/>
      <c r="K243" s="64"/>
      <c r="L243" s="64"/>
      <c r="M243" s="64"/>
      <c r="N243" s="64"/>
      <c r="O243" s="64"/>
      <c r="P243" s="81"/>
      <c r="Q243" s="248">
        <f t="shared" si="34"/>
        <v>100</v>
      </c>
      <c r="R243" s="97"/>
      <c r="Z243" s="98"/>
      <c r="AA243" s="98"/>
      <c r="AB243" s="98"/>
      <c r="AC243" s="98"/>
      <c r="AD243" s="98"/>
      <c r="AE243" s="98"/>
      <c r="AF243" s="98"/>
      <c r="AG243" s="98"/>
      <c r="AH243" s="98"/>
      <c r="AI243" s="98"/>
      <c r="AJ243" s="98"/>
      <c r="AK243" s="98"/>
      <c r="AL243" s="98"/>
      <c r="AM243" s="98"/>
      <c r="AN243" s="98"/>
      <c r="AO243" s="98"/>
    </row>
    <row r="244" spans="1:41" ht="15.75" customHeight="1" x14ac:dyDescent="0.2">
      <c r="A244" s="65" t="s">
        <v>154</v>
      </c>
      <c r="B244" s="243">
        <f>('Pivot Table for Data Exchange'!$O$511)*100</f>
        <v>61.374204094968867</v>
      </c>
      <c r="C244" s="243">
        <f>('Pivot Table for Data Exchange'!$O$514)*100</f>
        <v>11.964838523561271</v>
      </c>
      <c r="D244" s="249">
        <f>SUM(E244:G244)</f>
        <v>26.660957381469863</v>
      </c>
      <c r="E244" s="243">
        <f>('Pivot Table for Data Exchange'!$O$517)*100</f>
        <v>24.621615529531464</v>
      </c>
      <c r="F244" s="243">
        <f>('Pivot Table for Data Exchange'!$O$520)*100</f>
        <v>2.0393418519383997</v>
      </c>
      <c r="G244" s="245">
        <f>('Pivot Table for Data Exchange'!$O$523)*100</f>
        <v>0</v>
      </c>
      <c r="H244" s="243">
        <f>('Pivot Table for Data Exchange'!$O$526)*100</f>
        <v>0</v>
      </c>
      <c r="I244" s="64"/>
      <c r="J244" s="64"/>
      <c r="K244" s="64"/>
      <c r="L244" s="64"/>
      <c r="M244" s="64"/>
      <c r="N244" s="64"/>
      <c r="O244" s="64"/>
      <c r="P244" s="81"/>
      <c r="Q244" s="248">
        <f t="shared" si="34"/>
        <v>100</v>
      </c>
      <c r="R244" s="97"/>
      <c r="Z244" s="98"/>
      <c r="AA244" s="98"/>
      <c r="AB244" s="98"/>
      <c r="AC244" s="98"/>
      <c r="AD244" s="98"/>
      <c r="AE244" s="98"/>
      <c r="AF244" s="98"/>
      <c r="AG244" s="98"/>
      <c r="AH244" s="98"/>
      <c r="AI244" s="98"/>
      <c r="AJ244" s="98"/>
      <c r="AK244" s="98"/>
      <c r="AL244" s="98"/>
      <c r="AM244" s="98"/>
      <c r="AN244" s="98"/>
      <c r="AO244" s="98"/>
    </row>
    <row r="245" spans="1:41" ht="15.75" customHeight="1" x14ac:dyDescent="0.2">
      <c r="A245" s="242" t="s">
        <v>155</v>
      </c>
      <c r="B245" s="246">
        <f>('Pivot Table for Data Exchange'!$O$547)*100</f>
        <v>62.366487167340921</v>
      </c>
      <c r="C245" s="246">
        <f>('Pivot Table for Data Exchange'!$O$550)*100</f>
        <v>17.253351773304512</v>
      </c>
      <c r="D245" s="250">
        <f>SUM(E245:G245)</f>
        <v>20.380161059354563</v>
      </c>
      <c r="E245" s="246">
        <f>('Pivot Table for Data Exchange'!$O$553)*100</f>
        <v>18.419462155407576</v>
      </c>
      <c r="F245" s="246">
        <f>('Pivot Table for Data Exchange'!$O$556)*100</f>
        <v>1.6189423514956158</v>
      </c>
      <c r="G245" s="247">
        <f>('Pivot Table for Data Exchange'!$O$559)*100</f>
        <v>0.34175655245137276</v>
      </c>
      <c r="H245" s="246">
        <f>('Pivot Table for Data Exchange'!$O$562)*100</f>
        <v>0</v>
      </c>
      <c r="I245" s="64"/>
      <c r="J245" s="64"/>
      <c r="K245" s="64"/>
      <c r="L245" s="64"/>
      <c r="M245" s="64"/>
      <c r="N245" s="64"/>
      <c r="O245" s="64"/>
      <c r="P245" s="81"/>
      <c r="Q245" s="248">
        <f t="shared" si="34"/>
        <v>100</v>
      </c>
      <c r="R245" s="97"/>
      <c r="Z245" s="98"/>
      <c r="AA245" s="98"/>
      <c r="AB245" s="98"/>
      <c r="AC245" s="98"/>
      <c r="AD245" s="98"/>
      <c r="AE245" s="98"/>
      <c r="AF245" s="98"/>
      <c r="AG245" s="98"/>
      <c r="AH245" s="98"/>
      <c r="AI245" s="98"/>
      <c r="AJ245" s="98"/>
      <c r="AK245" s="98"/>
      <c r="AL245" s="98"/>
      <c r="AM245" s="98"/>
      <c r="AN245" s="98"/>
      <c r="AO245" s="98"/>
    </row>
    <row r="246" spans="1:41" s="103" customFormat="1" ht="18" customHeight="1" x14ac:dyDescent="0.2">
      <c r="A246" s="24" t="s">
        <v>175</v>
      </c>
      <c r="B246" s="69"/>
      <c r="C246" s="69"/>
      <c r="D246" s="70"/>
      <c r="E246" s="69"/>
      <c r="F246" s="70"/>
      <c r="G246" s="70"/>
      <c r="H246" s="69"/>
      <c r="I246" s="24"/>
      <c r="J246" s="69"/>
      <c r="K246" s="69"/>
      <c r="L246" s="70"/>
      <c r="M246" s="69"/>
      <c r="N246" s="70"/>
      <c r="O246" s="70"/>
      <c r="P246" s="69"/>
      <c r="Q246" s="248">
        <f t="shared" si="34"/>
        <v>0</v>
      </c>
      <c r="R246" s="101"/>
      <c r="S246" s="102"/>
      <c r="T246" s="102"/>
      <c r="U246" s="102"/>
      <c r="V246" s="102"/>
      <c r="W246" s="102"/>
      <c r="X246" s="102"/>
      <c r="Y246" s="102"/>
      <c r="Z246" s="102"/>
      <c r="AA246" s="102"/>
      <c r="AB246" s="102"/>
      <c r="AC246" s="102"/>
      <c r="AD246" s="102"/>
      <c r="AE246" s="102"/>
      <c r="AF246" s="102"/>
      <c r="AG246" s="102"/>
      <c r="AH246" s="102"/>
      <c r="AI246" s="102"/>
      <c r="AJ246" s="102"/>
      <c r="AK246" s="102"/>
      <c r="AL246" s="102"/>
      <c r="AM246" s="102"/>
      <c r="AN246" s="102"/>
      <c r="AO246" s="102"/>
    </row>
    <row r="247" spans="1:41" s="103" customFormat="1" ht="28.5" customHeight="1" x14ac:dyDescent="0.25">
      <c r="A247" s="680" t="s">
        <v>180</v>
      </c>
      <c r="B247" s="682"/>
      <c r="C247" s="682"/>
      <c r="D247" s="682"/>
      <c r="E247" s="682"/>
      <c r="F247" s="682"/>
      <c r="G247" s="682"/>
      <c r="H247" s="682"/>
      <c r="I247" s="24"/>
      <c r="J247" s="25"/>
      <c r="K247" s="25"/>
      <c r="L247" s="25"/>
      <c r="M247" s="25"/>
      <c r="N247" s="25"/>
      <c r="O247" s="25"/>
      <c r="P247" s="77"/>
      <c r="Q247" s="248">
        <f t="shared" si="34"/>
        <v>0</v>
      </c>
      <c r="R247" s="106"/>
    </row>
    <row r="248" spans="1:41" ht="12" customHeight="1" x14ac:dyDescent="0.2">
      <c r="A248" s="65"/>
      <c r="B248" s="83"/>
      <c r="C248" s="83"/>
      <c r="D248" s="84"/>
      <c r="E248" s="83"/>
      <c r="F248" s="84"/>
      <c r="G248" s="84"/>
      <c r="H248" s="83"/>
      <c r="I248" s="65"/>
      <c r="J248" s="83"/>
      <c r="K248" s="83"/>
      <c r="L248" s="84"/>
      <c r="M248" s="83"/>
      <c r="N248" s="84"/>
      <c r="O248" s="84"/>
      <c r="P248" s="83"/>
      <c r="Q248" s="248">
        <f t="shared" si="34"/>
        <v>0</v>
      </c>
      <c r="R248" s="97"/>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row>
    <row r="249" spans="1:41" s="103" customFormat="1" x14ac:dyDescent="0.2">
      <c r="A249" s="25"/>
      <c r="B249" s="25"/>
      <c r="C249" s="25"/>
      <c r="D249" s="25"/>
      <c r="E249" s="25"/>
      <c r="F249" s="25"/>
      <c r="G249" s="25"/>
      <c r="H249" s="27" t="s">
        <v>914</v>
      </c>
      <c r="I249" s="26"/>
      <c r="J249" s="26"/>
      <c r="K249" s="26"/>
      <c r="L249" s="26"/>
      <c r="M249" s="26"/>
      <c r="N249" s="26"/>
      <c r="O249" s="26"/>
      <c r="P249" s="26"/>
      <c r="Q249" s="248">
        <f t="shared" si="34"/>
        <v>0</v>
      </c>
      <c r="R249" s="105"/>
    </row>
    <row r="250" spans="1:41" ht="18" x14ac:dyDescent="0.25">
      <c r="A250" s="16" t="s">
        <v>209</v>
      </c>
      <c r="B250" s="34"/>
      <c r="C250" s="34"/>
      <c r="D250" s="34"/>
      <c r="E250" s="34"/>
      <c r="F250" s="34"/>
      <c r="G250" s="34"/>
      <c r="H250" s="35"/>
      <c r="I250" s="80"/>
      <c r="J250" s="65"/>
      <c r="K250" s="65"/>
      <c r="L250" s="65"/>
      <c r="M250" s="65"/>
      <c r="N250" s="65"/>
      <c r="O250" s="65"/>
      <c r="P250" s="65"/>
      <c r="Q250" s="248">
        <f t="shared" si="34"/>
        <v>0</v>
      </c>
    </row>
    <row r="251" spans="1:41" x14ac:dyDescent="0.2">
      <c r="A251" s="18"/>
      <c r="B251" s="19"/>
      <c r="C251" s="19"/>
      <c r="D251" s="19"/>
      <c r="E251" s="19"/>
      <c r="F251" s="19"/>
      <c r="G251" s="19"/>
      <c r="H251" s="36"/>
      <c r="I251" s="80"/>
      <c r="J251" s="65"/>
      <c r="K251" s="65"/>
      <c r="L251" s="65"/>
      <c r="M251" s="65"/>
      <c r="N251" s="65"/>
      <c r="O251" s="65"/>
      <c r="P251" s="65"/>
      <c r="Q251" s="248">
        <f t="shared" si="34"/>
        <v>0</v>
      </c>
    </row>
    <row r="252" spans="1:41" ht="15.75" x14ac:dyDescent="0.25">
      <c r="A252" s="37" t="s">
        <v>162</v>
      </c>
      <c r="B252" s="19"/>
      <c r="C252" s="19"/>
      <c r="D252" s="19"/>
      <c r="E252" s="19"/>
      <c r="F252" s="19"/>
      <c r="G252" s="19"/>
      <c r="H252" s="36"/>
      <c r="I252" s="80"/>
      <c r="J252" s="65"/>
      <c r="K252" s="65"/>
      <c r="L252" s="65"/>
      <c r="M252" s="65"/>
      <c r="N252" s="65"/>
      <c r="O252" s="65"/>
      <c r="P252" s="65"/>
      <c r="Q252" s="248">
        <f t="shared" si="34"/>
        <v>0</v>
      </c>
    </row>
    <row r="253" spans="1:41" ht="15.75" x14ac:dyDescent="0.25">
      <c r="A253" s="37" t="s">
        <v>874</v>
      </c>
      <c r="B253" s="19"/>
      <c r="C253" s="19"/>
      <c r="D253" s="19"/>
      <c r="E253" s="19"/>
      <c r="F253" s="19"/>
      <c r="G253" s="19"/>
      <c r="H253" s="36"/>
      <c r="I253" s="80"/>
      <c r="J253" s="65"/>
      <c r="K253" s="65"/>
      <c r="L253" s="65"/>
      <c r="M253" s="65"/>
      <c r="N253" s="65"/>
      <c r="O253" s="65"/>
      <c r="P253" s="65"/>
      <c r="Q253" s="248">
        <f t="shared" si="34"/>
        <v>0</v>
      </c>
    </row>
    <row r="254" spans="1:41" x14ac:dyDescent="0.2">
      <c r="A254" s="39"/>
      <c r="B254" s="40"/>
      <c r="C254" s="40"/>
      <c r="D254" s="40"/>
      <c r="E254" s="40"/>
      <c r="F254" s="40"/>
      <c r="G254" s="40"/>
      <c r="H254" s="40"/>
      <c r="I254" s="80"/>
      <c r="J254" s="65"/>
      <c r="K254" s="65"/>
      <c r="L254" s="65"/>
      <c r="M254" s="65"/>
      <c r="N254" s="65"/>
      <c r="O254" s="65"/>
      <c r="P254" s="65"/>
      <c r="Q254" s="248">
        <f t="shared" si="34"/>
        <v>0</v>
      </c>
    </row>
    <row r="255" spans="1:41" x14ac:dyDescent="0.2">
      <c r="A255" s="43"/>
      <c r="B255" s="44" t="s">
        <v>164</v>
      </c>
      <c r="C255" s="44"/>
      <c r="D255" s="44"/>
      <c r="E255" s="44"/>
      <c r="F255" s="44"/>
      <c r="G255" s="44"/>
      <c r="H255" s="45"/>
      <c r="I255" s="80"/>
      <c r="J255" s="65"/>
      <c r="K255" s="65"/>
      <c r="L255" s="65"/>
      <c r="M255" s="65"/>
      <c r="N255" s="65"/>
      <c r="O255" s="65"/>
      <c r="P255" s="65"/>
      <c r="Q255" s="248">
        <f t="shared" si="34"/>
        <v>0</v>
      </c>
    </row>
    <row r="256" spans="1:41" x14ac:dyDescent="0.2">
      <c r="A256" s="43"/>
      <c r="B256" s="44" t="s">
        <v>165</v>
      </c>
      <c r="C256" s="44"/>
      <c r="D256" s="670" t="s">
        <v>166</v>
      </c>
      <c r="E256" s="668"/>
      <c r="F256" s="668"/>
      <c r="G256" s="668"/>
      <c r="H256" s="49" t="s">
        <v>39</v>
      </c>
      <c r="I256" s="80"/>
      <c r="J256" s="65"/>
      <c r="K256" s="65"/>
      <c r="L256" s="65"/>
      <c r="M256" s="65"/>
      <c r="N256" s="65"/>
      <c r="O256" s="65"/>
      <c r="P256" s="65"/>
      <c r="Q256" s="248">
        <f t="shared" si="34"/>
        <v>0</v>
      </c>
    </row>
    <row r="257" spans="1:41" ht="36" x14ac:dyDescent="0.2">
      <c r="A257" s="43"/>
      <c r="B257" s="50" t="s">
        <v>167</v>
      </c>
      <c r="C257" s="51" t="s">
        <v>168</v>
      </c>
      <c r="D257" s="52" t="s">
        <v>169</v>
      </c>
      <c r="E257" s="53" t="s">
        <v>7</v>
      </c>
      <c r="F257" s="50" t="s">
        <v>170</v>
      </c>
      <c r="G257" s="54" t="s">
        <v>171</v>
      </c>
      <c r="H257" s="55" t="s">
        <v>172</v>
      </c>
      <c r="I257" s="80"/>
      <c r="J257" s="65"/>
      <c r="K257" s="65"/>
      <c r="L257" s="65"/>
      <c r="M257" s="65"/>
      <c r="N257" s="65"/>
      <c r="O257" s="65"/>
      <c r="P257" s="65"/>
      <c r="Q257" s="248">
        <f t="shared" si="34"/>
        <v>0</v>
      </c>
    </row>
    <row r="258" spans="1:41" ht="15.75" customHeight="1" x14ac:dyDescent="0.2">
      <c r="A258" s="62" t="s">
        <v>141</v>
      </c>
      <c r="B258" s="82">
        <f>('Pivot Table for Data Exchange'!$K$7)*100</f>
        <v>0</v>
      </c>
      <c r="C258" s="243">
        <f>('Pivot Table for Data Exchange'!$K$10)*100</f>
        <v>0</v>
      </c>
      <c r="D258" s="249">
        <f>SUM(E258:G258)</f>
        <v>0</v>
      </c>
      <c r="E258" s="243">
        <f>('Pivot Table for Data Exchange'!$K$13)*100</f>
        <v>0</v>
      </c>
      <c r="F258" s="243">
        <f>('Pivot Table for Data Exchange'!$K$16)*100</f>
        <v>0</v>
      </c>
      <c r="G258" s="60">
        <f>('Pivot Table for Data Exchange'!$K$19)*100</f>
        <v>0</v>
      </c>
      <c r="H258" s="243">
        <f>('Pivot Table for Data Exchange'!$K$22)*100</f>
        <v>0</v>
      </c>
      <c r="I258" s="65"/>
      <c r="J258" s="81"/>
      <c r="K258" s="81"/>
      <c r="L258" s="81"/>
      <c r="M258" s="81"/>
      <c r="N258" s="81"/>
      <c r="O258" s="81"/>
      <c r="P258" s="81"/>
      <c r="Q258" s="248">
        <f t="shared" si="34"/>
        <v>0</v>
      </c>
      <c r="R258" s="97"/>
      <c r="S258" s="98"/>
      <c r="T258" s="98"/>
      <c r="U258" s="98"/>
      <c r="V258" s="98"/>
      <c r="W258" s="98"/>
      <c r="X258" s="98"/>
      <c r="Y258" s="98"/>
      <c r="Z258" s="98"/>
      <c r="AA258" s="98"/>
      <c r="AB258" s="98"/>
      <c r="AC258" s="98"/>
      <c r="AD258" s="98"/>
      <c r="AE258" s="98"/>
      <c r="AF258" s="98"/>
      <c r="AG258" s="98"/>
      <c r="AH258" s="98"/>
      <c r="AI258" s="98"/>
      <c r="AJ258" s="98"/>
      <c r="AK258" s="98"/>
      <c r="AL258" s="98"/>
      <c r="AM258" s="98"/>
      <c r="AN258" s="98"/>
      <c r="AO258" s="98"/>
    </row>
    <row r="259" spans="1:41" ht="15.75" customHeight="1" x14ac:dyDescent="0.2">
      <c r="A259" s="65" t="s">
        <v>142</v>
      </c>
      <c r="B259" s="243">
        <f>('Pivot Table for Data Exchange'!$K$43)*100</f>
        <v>0</v>
      </c>
      <c r="C259" s="243">
        <f>('Pivot Table for Data Exchange'!$K$46)*100</f>
        <v>0</v>
      </c>
      <c r="D259" s="249">
        <f t="shared" ref="D259:D261" si="37">SUM(E259:G259)</f>
        <v>0</v>
      </c>
      <c r="E259" s="243">
        <f>('Pivot Table for Data Exchange'!$K$49)*100</f>
        <v>0</v>
      </c>
      <c r="F259" s="243">
        <f>('Pivot Table for Data Exchange'!$K$52)*100</f>
        <v>0</v>
      </c>
      <c r="G259" s="245">
        <f>('Pivot Table for Data Exchange'!$K$55)*100</f>
        <v>0</v>
      </c>
      <c r="H259" s="243">
        <f>('Pivot Table for Data Exchange'!$K$58)*100</f>
        <v>0</v>
      </c>
      <c r="I259" s="65"/>
      <c r="J259" s="81"/>
      <c r="K259" s="81"/>
      <c r="L259" s="81"/>
      <c r="M259" s="81"/>
      <c r="N259" s="81"/>
      <c r="O259" s="81"/>
      <c r="P259" s="81"/>
      <c r="Q259" s="248">
        <f t="shared" si="34"/>
        <v>0</v>
      </c>
      <c r="R259" s="97"/>
      <c r="S259" s="98"/>
      <c r="T259" s="98"/>
      <c r="U259" s="98"/>
      <c r="V259" s="98"/>
      <c r="W259" s="98"/>
      <c r="X259" s="98"/>
      <c r="Y259" s="98"/>
      <c r="Z259" s="98"/>
      <c r="AA259" s="98"/>
      <c r="AB259" s="98"/>
      <c r="AC259" s="98"/>
      <c r="AD259" s="98"/>
      <c r="AE259" s="98"/>
      <c r="AF259" s="98"/>
      <c r="AG259" s="98"/>
      <c r="AH259" s="98"/>
      <c r="AI259" s="98"/>
      <c r="AJ259" s="98"/>
      <c r="AK259" s="98"/>
      <c r="AL259" s="98"/>
      <c r="AM259" s="98"/>
      <c r="AN259" s="98"/>
      <c r="AO259" s="98"/>
    </row>
    <row r="260" spans="1:41" ht="15.75" customHeight="1" x14ac:dyDescent="0.2">
      <c r="A260" s="65" t="s">
        <v>143</v>
      </c>
      <c r="B260" s="243">
        <f>('Pivot Table for Data Exchange'!$K$79)*100</f>
        <v>0</v>
      </c>
      <c r="C260" s="243">
        <f>('Pivot Table for Data Exchange'!$K$82)*100</f>
        <v>0</v>
      </c>
      <c r="D260" s="249">
        <f t="shared" si="37"/>
        <v>0</v>
      </c>
      <c r="E260" s="243">
        <f>('Pivot Table for Data Exchange'!$K$85)*100</f>
        <v>0</v>
      </c>
      <c r="F260" s="243">
        <f>('Pivot Table for Data Exchange'!$K$88)*100</f>
        <v>0</v>
      </c>
      <c r="G260" s="245">
        <f>('Pivot Table for Data Exchange'!$K$91)*100</f>
        <v>0</v>
      </c>
      <c r="H260" s="243">
        <f>('Pivot Table for Data Exchange'!$K$94)*100</f>
        <v>0</v>
      </c>
      <c r="I260" s="65"/>
      <c r="J260" s="81"/>
      <c r="K260" s="81"/>
      <c r="L260" s="81"/>
      <c r="M260" s="81"/>
      <c r="N260" s="81"/>
      <c r="O260" s="81"/>
      <c r="P260" s="81"/>
      <c r="Q260" s="248">
        <f t="shared" si="34"/>
        <v>0</v>
      </c>
      <c r="R260" s="97"/>
      <c r="S260" s="98"/>
      <c r="T260" s="104"/>
      <c r="U260" s="98"/>
      <c r="V260" s="98"/>
      <c r="W260" s="98"/>
      <c r="X260" s="98"/>
      <c r="Y260" s="98"/>
      <c r="Z260" s="98"/>
      <c r="AA260" s="98"/>
      <c r="AB260" s="98"/>
      <c r="AC260" s="98"/>
      <c r="AD260" s="98"/>
      <c r="AE260" s="98"/>
      <c r="AF260" s="98"/>
      <c r="AG260" s="98"/>
      <c r="AH260" s="98"/>
      <c r="AI260" s="98"/>
      <c r="AJ260" s="98"/>
      <c r="AK260" s="98"/>
      <c r="AL260" s="98"/>
      <c r="AM260" s="98"/>
      <c r="AN260" s="98"/>
      <c r="AO260" s="98"/>
    </row>
    <row r="261" spans="1:41" ht="15.75" customHeight="1" x14ac:dyDescent="0.2">
      <c r="A261" s="65" t="s">
        <v>174</v>
      </c>
      <c r="B261" s="243">
        <f>('Pivot Table for Data Exchange'!$K$115)*100</f>
        <v>72.541161991753128</v>
      </c>
      <c r="C261" s="243">
        <f>('Pivot Table for Data Exchange'!$K$118)*100</f>
        <v>1.759588353093412</v>
      </c>
      <c r="D261" s="249">
        <f t="shared" si="37"/>
        <v>25.420231880160738</v>
      </c>
      <c r="E261" s="243">
        <f>('Pivot Table for Data Exchange'!$K$121)*100</f>
        <v>23.746370585265055</v>
      </c>
      <c r="F261" s="243">
        <f>('Pivot Table for Data Exchange'!$K$124)*100</f>
        <v>7.7949302774524096E-2</v>
      </c>
      <c r="G261" s="245">
        <f>('Pivot Table for Data Exchange'!$K$127)*100</f>
        <v>1.5959119921211584</v>
      </c>
      <c r="H261" s="243">
        <f>('Pivot Table for Data Exchange'!$K$130)*100</f>
        <v>0.27901777499272523</v>
      </c>
      <c r="I261" s="65"/>
      <c r="J261" s="81"/>
      <c r="K261" s="81"/>
      <c r="L261" s="81"/>
      <c r="M261" s="81"/>
      <c r="N261" s="81"/>
      <c r="O261" s="81"/>
      <c r="P261" s="81"/>
      <c r="Q261" s="248">
        <f t="shared" si="34"/>
        <v>100</v>
      </c>
      <c r="R261" s="97"/>
      <c r="S261" s="98"/>
      <c r="U261" s="98"/>
      <c r="V261" s="98"/>
      <c r="W261" s="98"/>
      <c r="X261" s="98"/>
      <c r="Y261" s="98"/>
      <c r="Z261" s="98"/>
      <c r="AA261" s="98"/>
      <c r="AB261" s="98"/>
      <c r="AC261" s="98"/>
      <c r="AD261" s="98"/>
      <c r="AE261" s="98"/>
      <c r="AF261" s="98"/>
      <c r="AG261" s="98"/>
      <c r="AH261" s="98"/>
      <c r="AI261" s="98"/>
      <c r="AJ261" s="98"/>
      <c r="AK261" s="98"/>
      <c r="AL261" s="98"/>
      <c r="AM261" s="98"/>
      <c r="AN261" s="98"/>
      <c r="AO261" s="98"/>
    </row>
    <row r="262" spans="1:41" ht="15.75" customHeight="1" x14ac:dyDescent="0.2">
      <c r="A262" s="65"/>
      <c r="B262" s="243"/>
      <c r="C262" s="243"/>
      <c r="D262" s="249"/>
      <c r="E262" s="243"/>
      <c r="F262" s="243"/>
      <c r="G262" s="245"/>
      <c r="H262" s="243"/>
      <c r="I262" s="65"/>
      <c r="J262" s="81"/>
      <c r="K262" s="81"/>
      <c r="L262" s="81"/>
      <c r="M262" s="81"/>
      <c r="N262" s="81"/>
      <c r="O262" s="81"/>
      <c r="P262" s="81"/>
      <c r="Q262" s="248">
        <f t="shared" si="34"/>
        <v>0</v>
      </c>
      <c r="R262" s="97"/>
      <c r="S262" s="98"/>
      <c r="U262" s="98"/>
      <c r="V262" s="98"/>
      <c r="W262" s="98"/>
      <c r="X262" s="98"/>
      <c r="Y262" s="98"/>
      <c r="Z262" s="98"/>
      <c r="AA262" s="98"/>
      <c r="AB262" s="98"/>
      <c r="AC262" s="98"/>
      <c r="AD262" s="98"/>
      <c r="AE262" s="98"/>
      <c r="AF262" s="98"/>
      <c r="AG262" s="98"/>
      <c r="AH262" s="98"/>
      <c r="AI262" s="98"/>
      <c r="AJ262" s="98"/>
      <c r="AK262" s="98"/>
      <c r="AL262" s="98"/>
      <c r="AM262" s="98"/>
      <c r="AN262" s="98"/>
      <c r="AO262" s="98"/>
    </row>
    <row r="263" spans="1:41" ht="15.75" customHeight="1" x14ac:dyDescent="0.2">
      <c r="A263" s="65" t="s">
        <v>145</v>
      </c>
      <c r="B263" s="243">
        <f>('Pivot Table for Data Exchange'!$K$151)*100</f>
        <v>81.029053447514286</v>
      </c>
      <c r="C263" s="243">
        <f>('Pivot Table for Data Exchange'!$K$154)*100</f>
        <v>15.359332772877748</v>
      </c>
      <c r="D263" s="249">
        <f t="shared" ref="D263:D264" si="38">SUM(E263:G263)</f>
        <v>3.6116137796079659</v>
      </c>
      <c r="E263" s="243">
        <f>('Pivot Table for Data Exchange'!$K$157)*100</f>
        <v>2.8656853944324912</v>
      </c>
      <c r="F263" s="243">
        <f>('Pivot Table for Data Exchange'!$K$160)*100</f>
        <v>0</v>
      </c>
      <c r="G263" s="245">
        <f>('Pivot Table for Data Exchange'!$K$163)*100</f>
        <v>0.74592838517547477</v>
      </c>
      <c r="H263" s="243">
        <f>('Pivot Table for Data Exchange'!$K$166)*100</f>
        <v>0</v>
      </c>
      <c r="I263" s="65"/>
      <c r="J263" s="81"/>
      <c r="K263" s="81"/>
      <c r="L263" s="81"/>
      <c r="M263" s="81"/>
      <c r="N263" s="81"/>
      <c r="O263" s="81"/>
      <c r="P263" s="81"/>
      <c r="Q263" s="248">
        <f t="shared" si="34"/>
        <v>100</v>
      </c>
      <c r="R263" s="97"/>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row>
    <row r="264" spans="1:41" ht="15.75" customHeight="1" x14ac:dyDescent="0.2">
      <c r="A264" s="65" t="s">
        <v>146</v>
      </c>
      <c r="B264" s="243">
        <f>('Pivot Table for Data Exchange'!$K$187)*100</f>
        <v>0</v>
      </c>
      <c r="C264" s="243">
        <f>('Pivot Table for Data Exchange'!$K$190)*100</f>
        <v>0</v>
      </c>
      <c r="D264" s="249">
        <f t="shared" si="38"/>
        <v>0</v>
      </c>
      <c r="E264" s="243">
        <f>('Pivot Table for Data Exchange'!$K$193)*100</f>
        <v>0</v>
      </c>
      <c r="F264" s="243">
        <f>('Pivot Table for Data Exchange'!$K$196)*100</f>
        <v>0</v>
      </c>
      <c r="G264" s="245">
        <f>('Pivot Table for Data Exchange'!$K$199)*100</f>
        <v>0</v>
      </c>
      <c r="H264" s="243">
        <f>('Pivot Table for Data Exchange'!$K$202)*100</f>
        <v>0</v>
      </c>
      <c r="I264" s="65"/>
      <c r="J264" s="81"/>
      <c r="K264" s="81"/>
      <c r="L264" s="81"/>
      <c r="M264" s="81"/>
      <c r="N264" s="81"/>
      <c r="O264" s="81"/>
      <c r="P264" s="81"/>
      <c r="Q264" s="248">
        <f t="shared" si="34"/>
        <v>0</v>
      </c>
      <c r="R264" s="97"/>
      <c r="S264" s="98"/>
      <c r="T264" s="98"/>
      <c r="U264" s="98"/>
      <c r="V264" s="98"/>
      <c r="W264" s="98"/>
      <c r="X264" s="98"/>
      <c r="Y264" s="98"/>
      <c r="Z264" s="98"/>
      <c r="AA264" s="98"/>
      <c r="AB264" s="98"/>
      <c r="AC264" s="98"/>
      <c r="AD264" s="98"/>
      <c r="AE264" s="98"/>
      <c r="AF264" s="98"/>
      <c r="AG264" s="98"/>
      <c r="AH264" s="98"/>
      <c r="AI264" s="98"/>
      <c r="AJ264" s="98"/>
      <c r="AK264" s="98"/>
      <c r="AL264" s="98"/>
      <c r="AM264" s="98"/>
      <c r="AN264" s="98"/>
      <c r="AO264" s="98"/>
    </row>
    <row r="265" spans="1:41" ht="15.75" customHeight="1" x14ac:dyDescent="0.2">
      <c r="A265" s="65" t="s">
        <v>147</v>
      </c>
      <c r="B265" s="243">
        <f>('Pivot Table for Data Exchange'!$K$223)*100</f>
        <v>0</v>
      </c>
      <c r="C265" s="243">
        <f>('Pivot Table for Data Exchange'!$K$226)*100</f>
        <v>0</v>
      </c>
      <c r="D265" s="249">
        <f>SUM(E265:G265)</f>
        <v>0</v>
      </c>
      <c r="E265" s="243">
        <f>('Pivot Table for Data Exchange'!$K$229)*100</f>
        <v>0</v>
      </c>
      <c r="F265" s="243">
        <f>('Pivot Table for Data Exchange'!$K$232)*100</f>
        <v>0</v>
      </c>
      <c r="G265" s="245">
        <f>('Pivot Table for Data Exchange'!$K$235)*100</f>
        <v>0</v>
      </c>
      <c r="H265" s="243">
        <f>('Pivot Table for Data Exchange'!$K$238)*100</f>
        <v>0</v>
      </c>
      <c r="I265" s="65"/>
      <c r="J265" s="81"/>
      <c r="K265" s="81"/>
      <c r="L265" s="81"/>
      <c r="M265" s="81"/>
      <c r="N265" s="81"/>
      <c r="O265" s="81"/>
      <c r="P265" s="81"/>
      <c r="Q265" s="248">
        <f t="shared" si="34"/>
        <v>0</v>
      </c>
      <c r="R265" s="97"/>
      <c r="S265" s="98"/>
      <c r="T265" s="104"/>
      <c r="U265" s="98"/>
      <c r="V265" s="98"/>
      <c r="W265" s="98"/>
      <c r="X265" s="98"/>
      <c r="Y265" s="98"/>
      <c r="Z265" s="98"/>
      <c r="AA265" s="98"/>
      <c r="AB265" s="98"/>
      <c r="AC265" s="98"/>
      <c r="AD265" s="98"/>
      <c r="AE265" s="98"/>
      <c r="AF265" s="98"/>
      <c r="AG265" s="98"/>
      <c r="AH265" s="98"/>
      <c r="AI265" s="98"/>
      <c r="AJ265" s="98"/>
      <c r="AK265" s="98"/>
      <c r="AL265" s="98"/>
      <c r="AM265" s="98"/>
      <c r="AN265" s="98"/>
      <c r="AO265" s="98"/>
    </row>
    <row r="266" spans="1:41" ht="15.75" customHeight="1" x14ac:dyDescent="0.2">
      <c r="A266" s="65" t="s">
        <v>177</v>
      </c>
      <c r="B266" s="243">
        <f>('Pivot Table for Data Exchange'!$K$259)*100</f>
        <v>0</v>
      </c>
      <c r="C266" s="243">
        <f>('Pivot Table for Data Exchange'!$K$262)*100</f>
        <v>0</v>
      </c>
      <c r="D266" s="249">
        <f>SUM(E266:G266)</f>
        <v>0</v>
      </c>
      <c r="E266" s="243">
        <f>('Pivot Table for Data Exchange'!$K$265)*100</f>
        <v>0</v>
      </c>
      <c r="F266" s="243">
        <f>('Pivot Table for Data Exchange'!$K$268)*100</f>
        <v>0</v>
      </c>
      <c r="G266" s="245">
        <f>('Pivot Table for Data Exchange'!$K$271)*100</f>
        <v>0</v>
      </c>
      <c r="H266" s="243">
        <f>('Pivot Table for Data Exchange'!$K$274)*100</f>
        <v>0</v>
      </c>
      <c r="I266" s="65"/>
      <c r="J266" s="81"/>
      <c r="K266" s="81"/>
      <c r="L266" s="81"/>
      <c r="M266" s="81"/>
      <c r="N266" s="81"/>
      <c r="O266" s="81"/>
      <c r="P266" s="81"/>
      <c r="Q266" s="248">
        <f t="shared" si="34"/>
        <v>0</v>
      </c>
      <c r="R266" s="97"/>
      <c r="S266" s="98"/>
      <c r="U266" s="98"/>
      <c r="V266" s="98"/>
      <c r="W266" s="98"/>
      <c r="X266" s="98"/>
      <c r="Y266" s="98"/>
      <c r="Z266" s="98"/>
      <c r="AA266" s="98"/>
      <c r="AB266" s="98"/>
      <c r="AC266" s="98"/>
      <c r="AD266" s="98"/>
      <c r="AE266" s="98"/>
      <c r="AF266" s="98"/>
      <c r="AG266" s="98"/>
      <c r="AH266" s="98"/>
      <c r="AI266" s="98"/>
      <c r="AJ266" s="98"/>
      <c r="AK266" s="98"/>
      <c r="AL266" s="98"/>
      <c r="AM266" s="98"/>
      <c r="AN266" s="98"/>
      <c r="AO266" s="98"/>
    </row>
    <row r="267" spans="1:41" ht="15.75" customHeight="1" x14ac:dyDescent="0.2">
      <c r="A267" s="65"/>
      <c r="B267" s="243"/>
      <c r="C267" s="243"/>
      <c r="D267" s="249"/>
      <c r="E267" s="243"/>
      <c r="F267" s="243"/>
      <c r="G267" s="245"/>
      <c r="H267" s="243"/>
      <c r="I267" s="65"/>
      <c r="J267" s="81"/>
      <c r="K267" s="81"/>
      <c r="L267" s="81"/>
      <c r="M267" s="81"/>
      <c r="N267" s="81"/>
      <c r="O267" s="81"/>
      <c r="P267" s="81"/>
      <c r="Q267" s="248">
        <f t="shared" si="34"/>
        <v>0</v>
      </c>
      <c r="R267" s="97"/>
      <c r="S267" s="98"/>
      <c r="U267" s="98"/>
      <c r="V267" s="98"/>
      <c r="W267" s="98"/>
      <c r="X267" s="98"/>
      <c r="Y267" s="98"/>
      <c r="Z267" s="98"/>
      <c r="AA267" s="98"/>
      <c r="AB267" s="98"/>
      <c r="AC267" s="98"/>
      <c r="AD267" s="98"/>
      <c r="AE267" s="98"/>
      <c r="AF267" s="98"/>
      <c r="AG267" s="98"/>
      <c r="AH267" s="98"/>
      <c r="AI267" s="98"/>
      <c r="AJ267" s="98"/>
      <c r="AK267" s="98"/>
      <c r="AL267" s="98"/>
      <c r="AM267" s="98"/>
      <c r="AN267" s="98"/>
      <c r="AO267" s="98"/>
    </row>
    <row r="268" spans="1:41" ht="15.75" customHeight="1" x14ac:dyDescent="0.2">
      <c r="A268" s="65" t="s">
        <v>179</v>
      </c>
      <c r="B268" s="243">
        <f>('Pivot Table for Data Exchange'!$K$295)*100</f>
        <v>0</v>
      </c>
      <c r="C268" s="243">
        <f>('Pivot Table for Data Exchange'!$K$298)*100</f>
        <v>0</v>
      </c>
      <c r="D268" s="249">
        <f>SUM(E268:G268)</f>
        <v>0</v>
      </c>
      <c r="E268" s="243">
        <f>('Pivot Table for Data Exchange'!$K$301)*100</f>
        <v>0</v>
      </c>
      <c r="F268" s="243">
        <f>('Pivot Table for Data Exchange'!$K$304)*100</f>
        <v>0</v>
      </c>
      <c r="G268" s="245">
        <f>('Pivot Table for Data Exchange'!$K$307)*100</f>
        <v>0</v>
      </c>
      <c r="H268" s="243">
        <f>('Pivot Table for Data Exchange'!$K$310)*100</f>
        <v>0</v>
      </c>
      <c r="I268" s="65"/>
      <c r="J268" s="81"/>
      <c r="K268" s="81"/>
      <c r="L268" s="81"/>
      <c r="M268" s="81"/>
      <c r="N268" s="81"/>
      <c r="O268" s="81"/>
      <c r="P268" s="81"/>
      <c r="Q268" s="248">
        <f t="shared" si="34"/>
        <v>0</v>
      </c>
      <c r="R268" s="97"/>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row>
    <row r="269" spans="1:41" ht="15.75" customHeight="1" x14ac:dyDescent="0.2">
      <c r="A269" s="65" t="s">
        <v>149</v>
      </c>
      <c r="B269" s="243">
        <f>('Pivot Table for Data Exchange'!$K$331)*100</f>
        <v>0</v>
      </c>
      <c r="C269" s="243">
        <f>('Pivot Table for Data Exchange'!$K$334)*100</f>
        <v>0</v>
      </c>
      <c r="D269" s="249">
        <f>SUM(E269:G269)</f>
        <v>0</v>
      </c>
      <c r="E269" s="243">
        <f>('Pivot Table for Data Exchange'!$K$337)*100</f>
        <v>0</v>
      </c>
      <c r="F269" s="243">
        <f>('Pivot Table for Data Exchange'!$K$340)*100</f>
        <v>0</v>
      </c>
      <c r="G269" s="245">
        <f>('Pivot Table for Data Exchange'!$K$343)*100</f>
        <v>0</v>
      </c>
      <c r="H269" s="243">
        <f>('Pivot Table for Data Exchange'!$K$346)*100</f>
        <v>0</v>
      </c>
      <c r="I269" s="65"/>
      <c r="J269" s="81"/>
      <c r="K269" s="81"/>
      <c r="L269" s="81"/>
      <c r="M269" s="81"/>
      <c r="N269" s="81"/>
      <c r="O269" s="81"/>
      <c r="P269" s="81"/>
      <c r="Q269" s="248">
        <f t="shared" si="34"/>
        <v>0</v>
      </c>
      <c r="R269" s="97"/>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row>
    <row r="270" spans="1:41" ht="15.75" customHeight="1" x14ac:dyDescent="0.2">
      <c r="A270" s="65" t="s">
        <v>150</v>
      </c>
      <c r="B270" s="243">
        <f>('Pivot Table for Data Exchange'!$K$367)*100</f>
        <v>68.351700913814454</v>
      </c>
      <c r="C270" s="243">
        <f>('Pivot Table for Data Exchange'!$K$370)*100</f>
        <v>5.5503909459464671</v>
      </c>
      <c r="D270" s="249">
        <f>SUM(E270:G270)</f>
        <v>26.059334292536345</v>
      </c>
      <c r="E270" s="243">
        <f>('Pivot Table for Data Exchange'!$K$373)*100</f>
        <v>24.289566159934886</v>
      </c>
      <c r="F270" s="243">
        <f>('Pivot Table for Data Exchange'!$K$376)*100</f>
        <v>1.7697681326014589</v>
      </c>
      <c r="G270" s="245">
        <f>('Pivot Table for Data Exchange'!$K$379)*100</f>
        <v>0</v>
      </c>
      <c r="H270" s="67">
        <f>('Pivot Table for Data Exchange'!$K$382)*100</f>
        <v>3.8573847702734497E-2</v>
      </c>
      <c r="I270" s="65"/>
      <c r="J270" s="81"/>
      <c r="K270" s="81"/>
      <c r="L270" s="81"/>
      <c r="M270" s="81"/>
      <c r="N270" s="81"/>
      <c r="O270" s="81"/>
      <c r="P270" s="81"/>
      <c r="Q270" s="248">
        <f t="shared" si="34"/>
        <v>100</v>
      </c>
      <c r="R270" s="97"/>
      <c r="S270" s="98"/>
      <c r="T270" s="104"/>
      <c r="U270" s="98"/>
      <c r="V270" s="98"/>
      <c r="W270" s="98"/>
      <c r="X270" s="98"/>
      <c r="Y270" s="98"/>
      <c r="Z270" s="98"/>
      <c r="AA270" s="98"/>
      <c r="AB270" s="98"/>
      <c r="AC270" s="98"/>
      <c r="AD270" s="98"/>
      <c r="AE270" s="98"/>
      <c r="AF270" s="98"/>
      <c r="AG270" s="98"/>
      <c r="AH270" s="98"/>
      <c r="AI270" s="98"/>
      <c r="AJ270" s="98"/>
      <c r="AK270" s="98"/>
      <c r="AL270" s="98"/>
      <c r="AM270" s="98"/>
      <c r="AN270" s="98"/>
      <c r="AO270" s="98"/>
    </row>
    <row r="271" spans="1:41" ht="15.75" customHeight="1" x14ac:dyDescent="0.2">
      <c r="A271" s="65" t="s">
        <v>151</v>
      </c>
      <c r="B271" s="243">
        <f>('Pivot Table for Data Exchange'!$K$403)*100</f>
        <v>0</v>
      </c>
      <c r="C271" s="243">
        <f>('Pivot Table for Data Exchange'!$K$406)*100</f>
        <v>0</v>
      </c>
      <c r="D271" s="249">
        <f>SUM(E271:G271)</f>
        <v>0</v>
      </c>
      <c r="E271" s="243">
        <f>('Pivot Table for Data Exchange'!$K$409)*100</f>
        <v>0</v>
      </c>
      <c r="F271" s="243">
        <f>('Pivot Table for Data Exchange'!$K$412)*100</f>
        <v>0</v>
      </c>
      <c r="G271" s="245">
        <f>('Pivot Table for Data Exchange'!$K$415)*100</f>
        <v>0</v>
      </c>
      <c r="H271" s="243">
        <f>('Pivot Table for Data Exchange'!$K$418)*100</f>
        <v>0</v>
      </c>
      <c r="I271" s="65"/>
      <c r="J271" s="81"/>
      <c r="K271" s="81"/>
      <c r="L271" s="81"/>
      <c r="M271" s="81"/>
      <c r="N271" s="81"/>
      <c r="O271" s="81"/>
      <c r="P271" s="81"/>
      <c r="Q271" s="248">
        <f t="shared" si="34"/>
        <v>0</v>
      </c>
      <c r="R271" s="97"/>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row>
    <row r="272" spans="1:41" ht="15.75" customHeight="1" x14ac:dyDescent="0.2">
      <c r="A272" s="65"/>
      <c r="B272" s="243"/>
      <c r="C272" s="243"/>
      <c r="D272" s="249"/>
      <c r="E272" s="243"/>
      <c r="F272" s="243"/>
      <c r="G272" s="245"/>
      <c r="H272" s="243"/>
      <c r="I272" s="65"/>
      <c r="J272" s="81"/>
      <c r="K272" s="81"/>
      <c r="L272" s="81"/>
      <c r="M272" s="81"/>
      <c r="N272" s="81"/>
      <c r="O272" s="81"/>
      <c r="P272" s="81"/>
      <c r="Q272" s="248">
        <f t="shared" si="34"/>
        <v>0</v>
      </c>
      <c r="R272" s="97"/>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row>
    <row r="273" spans="1:41" ht="15.75" customHeight="1" x14ac:dyDescent="0.2">
      <c r="A273" s="65" t="s">
        <v>152</v>
      </c>
      <c r="B273" s="243">
        <f>('Pivot Table for Data Exchange'!$K$439)*100</f>
        <v>0</v>
      </c>
      <c r="C273" s="243">
        <f>('Pivot Table for Data Exchange'!$K$442)*100</f>
        <v>0</v>
      </c>
      <c r="D273" s="249">
        <f>SUM(E273:G273)</f>
        <v>0</v>
      </c>
      <c r="E273" s="243">
        <f>('Pivot Table for Data Exchange'!$K$445)*100</f>
        <v>0</v>
      </c>
      <c r="F273" s="243">
        <f>('Pivot Table for Data Exchange'!$K$448)*100</f>
        <v>0</v>
      </c>
      <c r="G273" s="245">
        <f>('Pivot Table for Data Exchange'!$K$451)*100</f>
        <v>0</v>
      </c>
      <c r="H273" s="243">
        <f>('Pivot Table for Data Exchange'!$K$454)*100</f>
        <v>0</v>
      </c>
      <c r="I273" s="65"/>
      <c r="J273" s="81"/>
      <c r="K273" s="81"/>
      <c r="L273" s="81"/>
      <c r="M273" s="81"/>
      <c r="N273" s="81"/>
      <c r="O273" s="81"/>
      <c r="P273" s="81"/>
      <c r="Q273" s="248">
        <f t="shared" si="34"/>
        <v>0</v>
      </c>
      <c r="R273" s="97"/>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row>
    <row r="274" spans="1:41" ht="15.75" customHeight="1" x14ac:dyDescent="0.2">
      <c r="A274" s="65" t="s">
        <v>153</v>
      </c>
      <c r="B274" s="243">
        <f>('Pivot Table for Data Exchange'!$K$475)*100</f>
        <v>79.240002797172707</v>
      </c>
      <c r="C274" s="243">
        <f>('Pivot Table for Data Exchange'!$K$478)*100</f>
        <v>0.96905896655226953</v>
      </c>
      <c r="D274" s="249">
        <f>SUM(E274:G274)</f>
        <v>19.790938236275025</v>
      </c>
      <c r="E274" s="243">
        <f>('Pivot Table for Data Exchange'!$K$481)*100</f>
        <v>19.644086669320394</v>
      </c>
      <c r="F274" s="243">
        <f>('Pivot Table for Data Exchange'!$K$484)*100</f>
        <v>0.14362405998859615</v>
      </c>
      <c r="G274" s="254">
        <f>('Pivot Table for Data Exchange'!$K$487)*100</f>
        <v>3.2275069660358683E-3</v>
      </c>
      <c r="H274" s="243">
        <f>('Pivot Table for Data Exchange'!$K$490)*100</f>
        <v>0</v>
      </c>
      <c r="I274" s="65"/>
      <c r="J274" s="81"/>
      <c r="K274" s="81"/>
      <c r="L274" s="81"/>
      <c r="M274" s="81"/>
      <c r="N274" s="81"/>
      <c r="O274" s="81"/>
      <c r="P274" s="81"/>
      <c r="Q274" s="248">
        <f t="shared" si="34"/>
        <v>100</v>
      </c>
      <c r="R274" s="97"/>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row>
    <row r="275" spans="1:41" ht="15.75" customHeight="1" x14ac:dyDescent="0.2">
      <c r="A275" s="65" t="s">
        <v>154</v>
      </c>
      <c r="B275" s="243">
        <f>('Pivot Table for Data Exchange'!$K$511)*100</f>
        <v>0</v>
      </c>
      <c r="C275" s="243">
        <f>('Pivot Table for Data Exchange'!$K$514)*100</f>
        <v>0</v>
      </c>
      <c r="D275" s="249">
        <f>SUM(E275:G275)</f>
        <v>0</v>
      </c>
      <c r="E275" s="243">
        <f>('Pivot Table for Data Exchange'!$K$517)*100</f>
        <v>0</v>
      </c>
      <c r="F275" s="243">
        <f>('Pivot Table for Data Exchange'!$K$520)*100</f>
        <v>0</v>
      </c>
      <c r="G275" s="245">
        <f>('Pivot Table for Data Exchange'!$K$523)*100</f>
        <v>0</v>
      </c>
      <c r="H275" s="243">
        <f>('Pivot Table for Data Exchange'!$K$526)*100</f>
        <v>0</v>
      </c>
      <c r="I275" s="65"/>
      <c r="J275" s="81"/>
      <c r="K275" s="81"/>
      <c r="L275" s="81"/>
      <c r="M275" s="81"/>
      <c r="N275" s="81"/>
      <c r="O275" s="81"/>
      <c r="P275" s="81"/>
      <c r="Q275" s="248">
        <f t="shared" si="34"/>
        <v>0</v>
      </c>
      <c r="R275" s="97"/>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row>
    <row r="276" spans="1:41" ht="15.75" customHeight="1" x14ac:dyDescent="0.2">
      <c r="A276" s="39" t="s">
        <v>155</v>
      </c>
      <c r="B276" s="246">
        <f>('Pivot Table for Data Exchange'!$K$547)*100</f>
        <v>66.138997577790207</v>
      </c>
      <c r="C276" s="246">
        <f>('Pivot Table for Data Exchange'!$K$550)*100</f>
        <v>11.922489286379728</v>
      </c>
      <c r="D276" s="250">
        <f>SUM(E276:G276)</f>
        <v>21.938513135830075</v>
      </c>
      <c r="E276" s="246">
        <f>('Pivot Table for Data Exchange'!$K$553)*100</f>
        <v>20.955468604434508</v>
      </c>
      <c r="F276" s="246">
        <f>('Pivot Table for Data Exchange'!$K$556)*100</f>
        <v>0</v>
      </c>
      <c r="G276" s="247">
        <f>('Pivot Table for Data Exchange'!$K$559)*100</f>
        <v>0.98304453139556547</v>
      </c>
      <c r="H276" s="246">
        <f>('Pivot Table for Data Exchange'!$K$562)*100</f>
        <v>0</v>
      </c>
      <c r="I276" s="65"/>
      <c r="J276" s="81"/>
      <c r="K276" s="81"/>
      <c r="L276" s="81"/>
      <c r="M276" s="81"/>
      <c r="N276" s="81"/>
      <c r="O276" s="81"/>
      <c r="P276" s="81"/>
      <c r="Q276" s="248">
        <f t="shared" si="34"/>
        <v>100.00000000000001</v>
      </c>
      <c r="R276" s="97"/>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row>
    <row r="277" spans="1:41" s="103" customFormat="1" ht="18" customHeight="1" x14ac:dyDescent="0.2">
      <c r="A277" s="24" t="s">
        <v>175</v>
      </c>
      <c r="B277" s="69"/>
      <c r="C277" s="69"/>
      <c r="D277" s="70"/>
      <c r="E277" s="69"/>
      <c r="F277" s="70"/>
      <c r="G277" s="70"/>
      <c r="H277" s="69"/>
      <c r="I277" s="24"/>
      <c r="J277" s="69"/>
      <c r="K277" s="69"/>
      <c r="L277" s="70"/>
      <c r="M277" s="69"/>
      <c r="N277" s="70"/>
      <c r="O277" s="70"/>
      <c r="P277" s="69"/>
      <c r="Q277" s="248">
        <f t="shared" si="34"/>
        <v>0</v>
      </c>
      <c r="R277" s="101"/>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row>
    <row r="278" spans="1:41" s="103" customFormat="1" ht="27" customHeight="1" x14ac:dyDescent="0.25">
      <c r="A278" s="680" t="s">
        <v>180</v>
      </c>
      <c r="B278" s="682"/>
      <c r="C278" s="682"/>
      <c r="D278" s="682"/>
      <c r="E278" s="682"/>
      <c r="F278" s="682"/>
      <c r="G278" s="682"/>
      <c r="H278" s="682"/>
      <c r="I278" s="24"/>
      <c r="J278" s="25"/>
      <c r="K278" s="25"/>
      <c r="L278" s="25"/>
      <c r="M278" s="25"/>
      <c r="N278" s="25"/>
      <c r="O278" s="25"/>
      <c r="P278" s="77"/>
      <c r="Q278" s="248">
        <f t="shared" si="34"/>
        <v>0</v>
      </c>
      <c r="R278" s="106"/>
    </row>
    <row r="279" spans="1:41" s="103" customFormat="1" ht="13.5" customHeight="1" x14ac:dyDescent="0.2">
      <c r="A279" s="65"/>
      <c r="B279" s="83"/>
      <c r="C279" s="83"/>
      <c r="D279" s="84"/>
      <c r="E279" s="83"/>
      <c r="F279" s="84"/>
      <c r="G279" s="84"/>
      <c r="H279" s="83"/>
      <c r="I279" s="75"/>
      <c r="J279" s="25"/>
      <c r="K279" s="25"/>
      <c r="L279" s="25"/>
      <c r="M279" s="25"/>
      <c r="N279" s="25"/>
      <c r="O279" s="25"/>
      <c r="P279" s="25"/>
      <c r="Q279" s="248">
        <f t="shared" si="34"/>
        <v>0</v>
      </c>
      <c r="R279" s="106"/>
    </row>
    <row r="280" spans="1:41" s="103" customFormat="1" x14ac:dyDescent="0.2">
      <c r="A280" s="25"/>
      <c r="B280" s="25"/>
      <c r="C280" s="25"/>
      <c r="D280" s="25"/>
      <c r="E280" s="25"/>
      <c r="F280" s="25"/>
      <c r="G280" s="25"/>
      <c r="H280" s="27" t="s">
        <v>914</v>
      </c>
      <c r="I280" s="85"/>
      <c r="J280" s="26"/>
      <c r="K280" s="26"/>
      <c r="L280" s="26"/>
      <c r="M280" s="26"/>
      <c r="N280" s="26"/>
      <c r="O280" s="26"/>
      <c r="P280" s="26"/>
      <c r="Q280" s="248">
        <f t="shared" si="34"/>
        <v>0</v>
      </c>
      <c r="R280" s="106"/>
    </row>
    <row r="281" spans="1:41" ht="18" x14ac:dyDescent="0.25">
      <c r="A281" s="16" t="s">
        <v>210</v>
      </c>
      <c r="B281" s="34"/>
      <c r="C281" s="34"/>
      <c r="D281" s="34"/>
      <c r="E281" s="34"/>
      <c r="F281" s="34"/>
      <c r="G281" s="34"/>
      <c r="H281" s="35"/>
      <c r="I281" s="80"/>
      <c r="J281" s="65"/>
      <c r="K281" s="65"/>
      <c r="L281" s="65"/>
      <c r="M281" s="65"/>
      <c r="N281" s="65"/>
      <c r="O281" s="65"/>
      <c r="P281" s="65"/>
      <c r="Q281" s="248">
        <f t="shared" si="34"/>
        <v>0</v>
      </c>
    </row>
    <row r="282" spans="1:41" x14ac:dyDescent="0.2">
      <c r="A282" s="18"/>
      <c r="B282" s="19"/>
      <c r="C282" s="19"/>
      <c r="D282" s="19"/>
      <c r="E282" s="19"/>
      <c r="F282" s="19"/>
      <c r="G282" s="19"/>
      <c r="H282" s="36"/>
      <c r="I282" s="80"/>
      <c r="J282" s="65"/>
      <c r="K282" s="65"/>
      <c r="L282" s="65"/>
      <c r="M282" s="65"/>
      <c r="N282" s="65"/>
      <c r="O282" s="65"/>
      <c r="P282" s="65"/>
      <c r="Q282" s="248">
        <f t="shared" si="34"/>
        <v>0</v>
      </c>
    </row>
    <row r="283" spans="1:41" ht="15.75" x14ac:dyDescent="0.25">
      <c r="A283" s="37" t="s">
        <v>162</v>
      </c>
      <c r="B283" s="19"/>
      <c r="C283" s="19"/>
      <c r="D283" s="19"/>
      <c r="E283" s="19"/>
      <c r="F283" s="19"/>
      <c r="G283" s="19"/>
      <c r="H283" s="36"/>
      <c r="I283" s="80"/>
      <c r="J283" s="65"/>
      <c r="K283" s="65"/>
      <c r="L283" s="65"/>
      <c r="M283" s="65"/>
      <c r="N283" s="65"/>
      <c r="O283" s="65"/>
      <c r="P283" s="65"/>
      <c r="Q283" s="248">
        <f t="shared" si="34"/>
        <v>0</v>
      </c>
    </row>
    <row r="284" spans="1:41" ht="15.75" x14ac:dyDescent="0.25">
      <c r="A284" s="37" t="s">
        <v>875</v>
      </c>
      <c r="B284" s="19"/>
      <c r="C284" s="19"/>
      <c r="D284" s="19"/>
      <c r="E284" s="19"/>
      <c r="F284" s="19"/>
      <c r="G284" s="19"/>
      <c r="H284" s="36"/>
      <c r="I284" s="80"/>
      <c r="J284" s="65"/>
      <c r="K284" s="65"/>
      <c r="L284" s="65"/>
      <c r="M284" s="65"/>
      <c r="N284" s="65"/>
      <c r="O284" s="65"/>
      <c r="P284" s="65"/>
      <c r="Q284" s="248">
        <f t="shared" ref="Q284:Q348" si="39">SUM(B284,C284,D284,H284)</f>
        <v>0</v>
      </c>
    </row>
    <row r="285" spans="1:41" x14ac:dyDescent="0.2">
      <c r="A285" s="39"/>
      <c r="B285" s="40"/>
      <c r="C285" s="40"/>
      <c r="D285" s="40"/>
      <c r="E285" s="40"/>
      <c r="F285" s="40"/>
      <c r="G285" s="40"/>
      <c r="H285" s="40"/>
      <c r="I285" s="80"/>
      <c r="J285" s="65"/>
      <c r="K285" s="65"/>
      <c r="L285" s="65"/>
      <c r="M285" s="65"/>
      <c r="N285" s="65"/>
      <c r="O285" s="65"/>
      <c r="P285" s="65"/>
      <c r="Q285" s="248">
        <f t="shared" si="39"/>
        <v>0</v>
      </c>
    </row>
    <row r="286" spans="1:41" x14ac:dyDescent="0.2">
      <c r="A286" s="43"/>
      <c r="B286" s="44" t="s">
        <v>164</v>
      </c>
      <c r="C286" s="44"/>
      <c r="D286" s="44"/>
      <c r="E286" s="44"/>
      <c r="F286" s="44"/>
      <c r="G286" s="44"/>
      <c r="H286" s="45"/>
      <c r="I286" s="80"/>
      <c r="J286" s="65"/>
      <c r="K286" s="65"/>
      <c r="L286" s="65"/>
      <c r="M286" s="65"/>
      <c r="N286" s="65"/>
      <c r="O286" s="65"/>
      <c r="P286" s="65"/>
      <c r="Q286" s="248">
        <f t="shared" si="39"/>
        <v>0</v>
      </c>
    </row>
    <row r="287" spans="1:41" x14ac:dyDescent="0.2">
      <c r="A287" s="43"/>
      <c r="B287" s="44" t="s">
        <v>165</v>
      </c>
      <c r="C287" s="44"/>
      <c r="D287" s="670" t="s">
        <v>166</v>
      </c>
      <c r="E287" s="668"/>
      <c r="F287" s="668"/>
      <c r="G287" s="668"/>
      <c r="H287" s="49" t="s">
        <v>39</v>
      </c>
      <c r="I287" s="80"/>
      <c r="J287" s="65"/>
      <c r="K287" s="65"/>
      <c r="L287" s="65"/>
      <c r="M287" s="65"/>
      <c r="N287" s="65"/>
      <c r="O287" s="65"/>
      <c r="P287" s="65"/>
      <c r="Q287" s="248">
        <f t="shared" si="39"/>
        <v>0</v>
      </c>
    </row>
    <row r="288" spans="1:41" ht="36" x14ac:dyDescent="0.2">
      <c r="A288" s="43"/>
      <c r="B288" s="50" t="s">
        <v>167</v>
      </c>
      <c r="C288" s="51" t="s">
        <v>168</v>
      </c>
      <c r="D288" s="52" t="s">
        <v>169</v>
      </c>
      <c r="E288" s="53" t="s">
        <v>7</v>
      </c>
      <c r="F288" s="50" t="s">
        <v>170</v>
      </c>
      <c r="G288" s="54" t="s">
        <v>171</v>
      </c>
      <c r="H288" s="55" t="s">
        <v>172</v>
      </c>
      <c r="I288" s="80"/>
      <c r="J288" s="65"/>
      <c r="K288" s="65"/>
      <c r="L288" s="65"/>
      <c r="M288" s="65"/>
      <c r="N288" s="65"/>
      <c r="O288" s="65"/>
      <c r="P288" s="65"/>
      <c r="Q288" s="248">
        <f t="shared" si="39"/>
        <v>0</v>
      </c>
    </row>
    <row r="289" spans="1:41" ht="15.75" customHeight="1" x14ac:dyDescent="0.2">
      <c r="A289" s="62" t="s">
        <v>141</v>
      </c>
      <c r="B289" s="82">
        <f>('Pivot Table for Data Exchange'!$L$7)*100</f>
        <v>75.754560485470378</v>
      </c>
      <c r="C289" s="243">
        <f>('Pivot Table for Data Exchange'!$L$10)*100</f>
        <v>4.2576798670735885</v>
      </c>
      <c r="D289" s="249">
        <f>SUM(E289:G289)</f>
        <v>19.987759647456041</v>
      </c>
      <c r="E289" s="243">
        <f>('Pivot Table for Data Exchange'!$L$13)*100</f>
        <v>18.01771716061987</v>
      </c>
      <c r="F289" s="243">
        <f>('Pivot Table for Data Exchange'!$L$16)*100</f>
        <v>0.21318386836032435</v>
      </c>
      <c r="G289" s="60">
        <f>('Pivot Table for Data Exchange'!$L$19)*100</f>
        <v>1.7568586184758446</v>
      </c>
      <c r="H289" s="243">
        <f>('Pivot Table for Data Exchange'!$L$22)*100</f>
        <v>0</v>
      </c>
      <c r="I289" s="65"/>
      <c r="J289" s="81"/>
      <c r="K289" s="81"/>
      <c r="L289" s="81"/>
      <c r="M289" s="81"/>
      <c r="N289" s="81"/>
      <c r="O289" s="81"/>
      <c r="P289" s="81"/>
      <c r="Q289" s="248">
        <f t="shared" si="39"/>
        <v>100.00000000000001</v>
      </c>
      <c r="R289" s="97"/>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row>
    <row r="290" spans="1:41" ht="15.75" customHeight="1" x14ac:dyDescent="0.2">
      <c r="A290" s="65" t="s">
        <v>142</v>
      </c>
      <c r="B290" s="243">
        <f>('Pivot Table for Data Exchange'!$L$43)*100</f>
        <v>59.772017043794513</v>
      </c>
      <c r="C290" s="243">
        <f>('Pivot Table for Data Exchange'!$L$46)*100</f>
        <v>11.495913182295208</v>
      </c>
      <c r="D290" s="249">
        <f t="shared" ref="D290:D292" si="40">SUM(E290:G290)</f>
        <v>28.732069773910283</v>
      </c>
      <c r="E290" s="243">
        <f>('Pivot Table for Data Exchange'!$L$49)*100</f>
        <v>28.67083178485365</v>
      </c>
      <c r="F290" s="243">
        <f>('Pivot Table for Data Exchange'!$L$52)*100</f>
        <v>6.1237989056631116E-2</v>
      </c>
      <c r="G290" s="245">
        <f>('Pivot Table for Data Exchange'!$L$55)*100</f>
        <v>0</v>
      </c>
      <c r="H290" s="243">
        <f>('Pivot Table for Data Exchange'!$L$58)*100</f>
        <v>0</v>
      </c>
      <c r="I290" s="65"/>
      <c r="J290" s="81"/>
      <c r="K290" s="81"/>
      <c r="L290" s="81"/>
      <c r="M290" s="81"/>
      <c r="N290" s="81"/>
      <c r="O290" s="81"/>
      <c r="P290" s="81"/>
      <c r="Q290" s="248">
        <f t="shared" si="39"/>
        <v>100</v>
      </c>
      <c r="R290" s="97"/>
      <c r="S290" s="98"/>
      <c r="T290" s="98"/>
      <c r="U290" s="98"/>
      <c r="V290" s="98"/>
      <c r="W290" s="98"/>
      <c r="X290" s="98"/>
      <c r="Y290" s="98"/>
      <c r="Z290" s="98"/>
      <c r="AA290" s="98"/>
      <c r="AB290" s="98"/>
      <c r="AC290" s="98"/>
      <c r="AD290" s="98"/>
      <c r="AE290" s="98"/>
      <c r="AF290" s="98"/>
      <c r="AG290" s="98"/>
      <c r="AH290" s="98"/>
      <c r="AI290" s="98"/>
      <c r="AJ290" s="98"/>
      <c r="AK290" s="98"/>
      <c r="AL290" s="98"/>
      <c r="AM290" s="98"/>
      <c r="AN290" s="98"/>
      <c r="AO290" s="98"/>
    </row>
    <row r="291" spans="1:41" ht="15.75" customHeight="1" x14ac:dyDescent="0.2">
      <c r="A291" s="65" t="s">
        <v>143</v>
      </c>
      <c r="B291" s="243">
        <f>('Pivot Table for Data Exchange'!$L$79)*100</f>
        <v>89.126240173135344</v>
      </c>
      <c r="C291" s="243">
        <f>('Pivot Table for Data Exchange'!$L$82)*100</f>
        <v>0</v>
      </c>
      <c r="D291" s="249">
        <f t="shared" si="40"/>
        <v>10.87375982686466</v>
      </c>
      <c r="E291" s="243">
        <f>('Pivot Table for Data Exchange'!$L$85)*100</f>
        <v>10.024379750466084</v>
      </c>
      <c r="F291" s="243">
        <f>('Pivot Table for Data Exchange'!$L$88)*100</f>
        <v>0.57885610732305126</v>
      </c>
      <c r="G291" s="245">
        <f>('Pivot Table for Data Exchange'!$L$91)*100</f>
        <v>0.27052396907552506</v>
      </c>
      <c r="H291" s="243">
        <f>('Pivot Table for Data Exchange'!$L$94)*100</f>
        <v>0</v>
      </c>
      <c r="I291" s="65"/>
      <c r="J291" s="81"/>
      <c r="K291" s="81"/>
      <c r="L291" s="81"/>
      <c r="M291" s="81"/>
      <c r="N291" s="81"/>
      <c r="O291" s="81"/>
      <c r="P291" s="81"/>
      <c r="Q291" s="248">
        <f t="shared" si="39"/>
        <v>100</v>
      </c>
      <c r="R291" s="97"/>
      <c r="S291" s="98"/>
      <c r="T291" s="104"/>
      <c r="U291" s="98"/>
      <c r="V291" s="98"/>
      <c r="W291" s="98"/>
      <c r="X291" s="98"/>
      <c r="Y291" s="98"/>
      <c r="Z291" s="98"/>
      <c r="AA291" s="98"/>
      <c r="AB291" s="98"/>
      <c r="AC291" s="98"/>
      <c r="AD291" s="98"/>
      <c r="AE291" s="98"/>
      <c r="AF291" s="98"/>
      <c r="AG291" s="98"/>
      <c r="AH291" s="98"/>
      <c r="AI291" s="98"/>
      <c r="AJ291" s="98"/>
      <c r="AK291" s="98"/>
      <c r="AL291" s="98"/>
      <c r="AM291" s="98"/>
      <c r="AN291" s="98"/>
      <c r="AO291" s="98"/>
    </row>
    <row r="292" spans="1:41" ht="15.75" customHeight="1" x14ac:dyDescent="0.2">
      <c r="A292" s="65" t="s">
        <v>174</v>
      </c>
      <c r="B292" s="243">
        <f>('Pivot Table for Data Exchange'!$L$115)*100</f>
        <v>75.274307115454604</v>
      </c>
      <c r="C292" s="243">
        <f>('Pivot Table for Data Exchange'!$L$118)*100</f>
        <v>2.9607878457730985</v>
      </c>
      <c r="D292" s="249">
        <f t="shared" si="40"/>
        <v>21.756061089444337</v>
      </c>
      <c r="E292" s="243">
        <f>('Pivot Table for Data Exchange'!$L$121)*100</f>
        <v>15.884384081325267</v>
      </c>
      <c r="F292" s="243">
        <f>('Pivot Table for Data Exchange'!$L$124)*100</f>
        <v>0.92657098562469387</v>
      </c>
      <c r="G292" s="245">
        <f>('Pivot Table for Data Exchange'!$L$127)*100</f>
        <v>4.945106022494377</v>
      </c>
      <c r="H292" s="67">
        <f>('Pivot Table for Data Exchange'!$L$130)*100</f>
        <v>8.8439493279683663E-3</v>
      </c>
      <c r="I292" s="65"/>
      <c r="J292" s="81"/>
      <c r="K292" s="81"/>
      <c r="L292" s="81"/>
      <c r="M292" s="81"/>
      <c r="N292" s="81"/>
      <c r="O292" s="81"/>
      <c r="P292" s="81"/>
      <c r="Q292" s="248">
        <f t="shared" si="39"/>
        <v>100</v>
      </c>
      <c r="R292" s="97"/>
      <c r="S292" s="98"/>
      <c r="U292" s="98"/>
      <c r="V292" s="98"/>
      <c r="W292" s="98"/>
      <c r="X292" s="98"/>
      <c r="Y292" s="98"/>
      <c r="Z292" s="98"/>
      <c r="AA292" s="98"/>
      <c r="AB292" s="98"/>
      <c r="AC292" s="98"/>
      <c r="AD292" s="98"/>
      <c r="AE292" s="98"/>
      <c r="AF292" s="98"/>
      <c r="AG292" s="98"/>
      <c r="AH292" s="98"/>
      <c r="AI292" s="98"/>
      <c r="AJ292" s="98"/>
      <c r="AK292" s="98"/>
      <c r="AL292" s="98"/>
      <c r="AM292" s="98"/>
      <c r="AN292" s="98"/>
      <c r="AO292" s="98"/>
    </row>
    <row r="293" spans="1:41" ht="15.75" customHeight="1" x14ac:dyDescent="0.2">
      <c r="A293" s="65"/>
      <c r="B293" s="243"/>
      <c r="C293" s="243"/>
      <c r="D293" s="249"/>
      <c r="E293" s="243"/>
      <c r="F293" s="243"/>
      <c r="G293" s="245"/>
      <c r="H293" s="243"/>
      <c r="I293" s="65"/>
      <c r="J293" s="81"/>
      <c r="K293" s="81"/>
      <c r="L293" s="81"/>
      <c r="M293" s="81"/>
      <c r="N293" s="81"/>
      <c r="O293" s="81"/>
      <c r="P293" s="81"/>
      <c r="Q293" s="248">
        <f t="shared" si="39"/>
        <v>0</v>
      </c>
      <c r="R293" s="97"/>
      <c r="S293" s="98"/>
      <c r="U293" s="98"/>
      <c r="V293" s="98"/>
      <c r="W293" s="98"/>
      <c r="X293" s="98"/>
      <c r="Y293" s="98"/>
      <c r="Z293" s="98"/>
      <c r="AA293" s="98"/>
      <c r="AB293" s="98"/>
      <c r="AC293" s="98"/>
      <c r="AD293" s="98"/>
      <c r="AE293" s="98"/>
      <c r="AF293" s="98"/>
      <c r="AG293" s="98"/>
      <c r="AH293" s="98"/>
      <c r="AI293" s="98"/>
      <c r="AJ293" s="98"/>
      <c r="AK293" s="98"/>
      <c r="AL293" s="98"/>
      <c r="AM293" s="98"/>
      <c r="AN293" s="98"/>
      <c r="AO293" s="98"/>
    </row>
    <row r="294" spans="1:41" ht="15.75" customHeight="1" x14ac:dyDescent="0.2">
      <c r="A294" s="65" t="s">
        <v>145</v>
      </c>
      <c r="B294" s="243">
        <f>('Pivot Table for Data Exchange'!$L$151)*100</f>
        <v>72.04939659627712</v>
      </c>
      <c r="C294" s="243">
        <f>('Pivot Table for Data Exchange'!$L$154)*100</f>
        <v>0.56233056187721575</v>
      </c>
      <c r="D294" s="249">
        <f t="shared" ref="D294:D295" si="41">SUM(E294:G294)</f>
        <v>27.388272841845666</v>
      </c>
      <c r="E294" s="243">
        <f>('Pivot Table for Data Exchange'!$L$157)*100</f>
        <v>27.371408365143125</v>
      </c>
      <c r="F294" s="243">
        <f>('Pivot Table for Data Exchange'!$L$160)*100</f>
        <v>0</v>
      </c>
      <c r="G294" s="68">
        <f>('Pivot Table for Data Exchange'!$L$163)*100</f>
        <v>1.6864476702541459E-2</v>
      </c>
      <c r="H294" s="243">
        <f>('Pivot Table for Data Exchange'!$L$166)*100</f>
        <v>0</v>
      </c>
      <c r="I294" s="65"/>
      <c r="J294" s="81"/>
      <c r="K294" s="81"/>
      <c r="L294" s="81"/>
      <c r="M294" s="81"/>
      <c r="N294" s="81"/>
      <c r="O294" s="81"/>
      <c r="P294" s="81"/>
      <c r="Q294" s="248">
        <f t="shared" si="39"/>
        <v>100</v>
      </c>
      <c r="R294" s="97"/>
      <c r="S294" s="98"/>
      <c r="T294" s="98"/>
      <c r="U294" s="98"/>
      <c r="V294" s="98"/>
      <c r="W294" s="98"/>
      <c r="X294" s="98"/>
      <c r="Y294" s="98"/>
      <c r="Z294" s="98"/>
      <c r="AA294" s="98"/>
      <c r="AB294" s="98"/>
      <c r="AC294" s="98"/>
      <c r="AD294" s="98"/>
      <c r="AE294" s="98"/>
      <c r="AF294" s="98"/>
      <c r="AG294" s="98"/>
      <c r="AH294" s="98"/>
      <c r="AI294" s="98"/>
      <c r="AJ294" s="98"/>
      <c r="AK294" s="98"/>
      <c r="AL294" s="98"/>
      <c r="AM294" s="98"/>
      <c r="AN294" s="98"/>
      <c r="AO294" s="98"/>
    </row>
    <row r="295" spans="1:41" ht="15.75" customHeight="1" x14ac:dyDescent="0.2">
      <c r="A295" s="65" t="s">
        <v>146</v>
      </c>
      <c r="B295" s="243">
        <f>('Pivot Table for Data Exchange'!$L$187)*100</f>
        <v>67.655703180046942</v>
      </c>
      <c r="C295" s="243">
        <f>('Pivot Table for Data Exchange'!$L$190)*100</f>
        <v>6.7655313897766689</v>
      </c>
      <c r="D295" s="249">
        <f t="shared" si="41"/>
        <v>25.578765430176386</v>
      </c>
      <c r="E295" s="243">
        <f>('Pivot Table for Data Exchange'!$L$193)*100</f>
        <v>25.423052518072431</v>
      </c>
      <c r="F295" s="243">
        <f>('Pivot Table for Data Exchange'!$L$196)*100</f>
        <v>0.15571291210395394</v>
      </c>
      <c r="G295" s="245">
        <f>('Pivot Table for Data Exchange'!$L$199)*100</f>
        <v>0</v>
      </c>
      <c r="H295" s="243">
        <f>('Pivot Table for Data Exchange'!$L$202)*100</f>
        <v>0</v>
      </c>
      <c r="I295" s="65"/>
      <c r="J295" s="81"/>
      <c r="K295" s="81"/>
      <c r="L295" s="81"/>
      <c r="M295" s="81"/>
      <c r="N295" s="81"/>
      <c r="O295" s="81"/>
      <c r="P295" s="81"/>
      <c r="Q295" s="248">
        <f t="shared" si="39"/>
        <v>100</v>
      </c>
      <c r="R295" s="97"/>
      <c r="S295" s="98"/>
      <c r="T295" s="98"/>
      <c r="U295" s="98"/>
      <c r="V295" s="98"/>
      <c r="W295" s="98"/>
      <c r="X295" s="98"/>
      <c r="Y295" s="98"/>
      <c r="Z295" s="98"/>
      <c r="AA295" s="98"/>
      <c r="AB295" s="98"/>
      <c r="AC295" s="98"/>
      <c r="AD295" s="98"/>
      <c r="AE295" s="98"/>
      <c r="AF295" s="98"/>
      <c r="AG295" s="98"/>
      <c r="AH295" s="98"/>
      <c r="AI295" s="98"/>
      <c r="AJ295" s="98"/>
      <c r="AK295" s="98"/>
      <c r="AL295" s="98"/>
      <c r="AM295" s="98"/>
      <c r="AN295" s="98"/>
      <c r="AO295" s="98"/>
    </row>
    <row r="296" spans="1:41" ht="15.75" customHeight="1" x14ac:dyDescent="0.2">
      <c r="A296" s="65" t="s">
        <v>147</v>
      </c>
      <c r="B296" s="243">
        <f>('Pivot Table for Data Exchange'!$L$223)*100</f>
        <v>0</v>
      </c>
      <c r="C296" s="243">
        <f>('Pivot Table for Data Exchange'!$L$226)*100</f>
        <v>0</v>
      </c>
      <c r="D296" s="249">
        <f>SUM(E296:G296)</f>
        <v>0</v>
      </c>
      <c r="E296" s="243">
        <f>('Pivot Table for Data Exchange'!$L$229)*100</f>
        <v>0</v>
      </c>
      <c r="F296" s="243">
        <f>('Pivot Table for Data Exchange'!$L$232)*100</f>
        <v>0</v>
      </c>
      <c r="G296" s="245">
        <f>('Pivot Table for Data Exchange'!$L$235)*100</f>
        <v>0</v>
      </c>
      <c r="H296" s="243">
        <f>('Pivot Table for Data Exchange'!$L$238)*100</f>
        <v>0</v>
      </c>
      <c r="I296" s="65"/>
      <c r="J296" s="81"/>
      <c r="K296" s="81"/>
      <c r="L296" s="81"/>
      <c r="M296" s="81"/>
      <c r="N296" s="81"/>
      <c r="O296" s="81"/>
      <c r="P296" s="81"/>
      <c r="Q296" s="248">
        <f t="shared" si="39"/>
        <v>0</v>
      </c>
      <c r="R296" s="97"/>
      <c r="S296" s="98"/>
      <c r="T296" s="104"/>
      <c r="U296" s="98"/>
      <c r="V296" s="98"/>
      <c r="W296" s="98"/>
      <c r="X296" s="98"/>
      <c r="Y296" s="98"/>
      <c r="Z296" s="98"/>
      <c r="AA296" s="98"/>
      <c r="AB296" s="98"/>
      <c r="AC296" s="98"/>
      <c r="AD296" s="98"/>
      <c r="AE296" s="98"/>
      <c r="AF296" s="98"/>
      <c r="AG296" s="98"/>
      <c r="AH296" s="98"/>
      <c r="AI296" s="98"/>
      <c r="AJ296" s="98"/>
      <c r="AK296" s="98"/>
      <c r="AL296" s="98"/>
      <c r="AM296" s="98"/>
      <c r="AN296" s="98"/>
      <c r="AO296" s="98"/>
    </row>
    <row r="297" spans="1:41" ht="15.75" customHeight="1" x14ac:dyDescent="0.2">
      <c r="A297" s="65" t="s">
        <v>177</v>
      </c>
      <c r="B297" s="243">
        <f>('Pivot Table for Data Exchange'!$L$259)*100</f>
        <v>72.611523157747754</v>
      </c>
      <c r="C297" s="243">
        <f>('Pivot Table for Data Exchange'!$L$262)*100</f>
        <v>12.447208459642226</v>
      </c>
      <c r="D297" s="249">
        <f>SUM(E297:G297)</f>
        <v>14.94126838261003</v>
      </c>
      <c r="E297" s="243">
        <f>('Pivot Table for Data Exchange'!$L$265)*100</f>
        <v>14.873320313180786</v>
      </c>
      <c r="F297" s="243">
        <f>('Pivot Table for Data Exchange'!$L$268)*100</f>
        <v>5.2499458330383823E-2</v>
      </c>
      <c r="G297" s="68">
        <f>('Pivot Table for Data Exchange'!$L$271)*100</f>
        <v>1.5448611098858847E-2</v>
      </c>
      <c r="H297" s="243">
        <f>('Pivot Table for Data Exchange'!$L$274)*100</f>
        <v>0</v>
      </c>
      <c r="I297" s="65"/>
      <c r="J297" s="81"/>
      <c r="K297" s="81"/>
      <c r="L297" s="81"/>
      <c r="M297" s="81"/>
      <c r="N297" s="81"/>
      <c r="O297" s="81"/>
      <c r="P297" s="81"/>
      <c r="Q297" s="248">
        <f t="shared" si="39"/>
        <v>100.00000000000001</v>
      </c>
      <c r="R297" s="97"/>
      <c r="S297" s="98"/>
      <c r="U297" s="98"/>
      <c r="V297" s="98"/>
      <c r="W297" s="98"/>
      <c r="X297" s="98"/>
      <c r="Y297" s="98"/>
      <c r="Z297" s="98"/>
      <c r="AA297" s="98"/>
      <c r="AB297" s="98"/>
      <c r="AC297" s="98"/>
      <c r="AD297" s="98"/>
      <c r="AE297" s="98"/>
      <c r="AF297" s="98"/>
      <c r="AG297" s="98"/>
      <c r="AH297" s="98"/>
      <c r="AI297" s="98"/>
      <c r="AJ297" s="98"/>
      <c r="AK297" s="98"/>
      <c r="AL297" s="98"/>
      <c r="AM297" s="98"/>
      <c r="AN297" s="98"/>
      <c r="AO297" s="98"/>
    </row>
    <row r="298" spans="1:41" ht="9.75" customHeight="1" x14ac:dyDescent="0.2">
      <c r="A298" s="65"/>
      <c r="B298" s="243"/>
      <c r="C298" s="243"/>
      <c r="D298" s="249"/>
      <c r="E298" s="243"/>
      <c r="F298" s="243"/>
      <c r="G298" s="245"/>
      <c r="H298" s="243"/>
      <c r="I298" s="65"/>
      <c r="J298" s="81"/>
      <c r="K298" s="81"/>
      <c r="L298" s="81"/>
      <c r="M298" s="81"/>
      <c r="N298" s="81"/>
      <c r="O298" s="81"/>
      <c r="P298" s="81"/>
      <c r="Q298" s="248">
        <f t="shared" si="39"/>
        <v>0</v>
      </c>
      <c r="R298" s="97"/>
      <c r="S298" s="98"/>
      <c r="U298" s="98"/>
      <c r="V298" s="98"/>
      <c r="W298" s="98"/>
      <c r="X298" s="98"/>
      <c r="Y298" s="98"/>
      <c r="Z298" s="98"/>
      <c r="AA298" s="98"/>
      <c r="AB298" s="98"/>
      <c r="AC298" s="98"/>
      <c r="AD298" s="98"/>
      <c r="AE298" s="98"/>
      <c r="AF298" s="98"/>
      <c r="AG298" s="98"/>
      <c r="AH298" s="98"/>
      <c r="AI298" s="98"/>
      <c r="AJ298" s="98"/>
      <c r="AK298" s="98"/>
      <c r="AL298" s="98"/>
      <c r="AM298" s="98"/>
      <c r="AN298" s="98"/>
      <c r="AO298" s="98"/>
    </row>
    <row r="299" spans="1:41" ht="15.75" customHeight="1" x14ac:dyDescent="0.2">
      <c r="A299" s="65" t="s">
        <v>179</v>
      </c>
      <c r="B299" s="243">
        <f>('Pivot Table for Data Exchange'!$L$295)*100</f>
        <v>79.746269563632254</v>
      </c>
      <c r="C299" s="243">
        <f>('Pivot Table for Data Exchange'!$L$298)*100</f>
        <v>0</v>
      </c>
      <c r="D299" s="249">
        <f>SUM(E299:G299)</f>
        <v>20.253730436367739</v>
      </c>
      <c r="E299" s="243">
        <f>('Pivot Table for Data Exchange'!$L$301)*100</f>
        <v>20.253730436367739</v>
      </c>
      <c r="F299" s="243">
        <f>('Pivot Table for Data Exchange'!$L$304)*100</f>
        <v>0</v>
      </c>
      <c r="G299" s="245">
        <f>('Pivot Table for Data Exchange'!$L$307)*100</f>
        <v>0</v>
      </c>
      <c r="H299" s="243">
        <f>('Pivot Table for Data Exchange'!$L$310)*100</f>
        <v>0</v>
      </c>
      <c r="I299" s="86"/>
      <c r="J299" s="81"/>
      <c r="K299" s="81"/>
      <c r="L299" s="81"/>
      <c r="M299" s="81"/>
      <c r="N299" s="81"/>
      <c r="O299" s="81"/>
      <c r="P299" s="81"/>
      <c r="Q299" s="248">
        <f t="shared" si="39"/>
        <v>100</v>
      </c>
      <c r="R299" s="97"/>
      <c r="S299" s="98"/>
      <c r="T299" s="98"/>
      <c r="U299" s="98"/>
      <c r="V299" s="98"/>
      <c r="W299" s="98"/>
      <c r="X299" s="98"/>
      <c r="Y299" s="98"/>
      <c r="Z299" s="98"/>
      <c r="AA299" s="98"/>
      <c r="AB299" s="98"/>
      <c r="AC299" s="98"/>
      <c r="AD299" s="98"/>
      <c r="AE299" s="98"/>
      <c r="AF299" s="98"/>
      <c r="AG299" s="98"/>
      <c r="AH299" s="98"/>
      <c r="AI299" s="98"/>
      <c r="AJ299" s="98"/>
      <c r="AK299" s="98"/>
      <c r="AL299" s="98"/>
      <c r="AM299" s="98"/>
      <c r="AN299" s="98"/>
      <c r="AO299" s="98"/>
    </row>
    <row r="300" spans="1:41" ht="15.75" customHeight="1" x14ac:dyDescent="0.2">
      <c r="A300" s="65" t="s">
        <v>149</v>
      </c>
      <c r="B300" s="243">
        <f>('Pivot Table for Data Exchange'!$L$331)*100</f>
        <v>65.987719089066417</v>
      </c>
      <c r="C300" s="243">
        <f>('Pivot Table for Data Exchange'!$L$334)*100</f>
        <v>1.3049163387782681</v>
      </c>
      <c r="D300" s="249">
        <f>SUM(E300:G300)</f>
        <v>32.707364572155321</v>
      </c>
      <c r="E300" s="243">
        <f>('Pivot Table for Data Exchange'!$L$337)*100</f>
        <v>32.450856484241484</v>
      </c>
      <c r="F300" s="243">
        <f>('Pivot Table for Data Exchange'!$L$340)*100</f>
        <v>0.113588490123604</v>
      </c>
      <c r="G300" s="245">
        <f>('Pivot Table for Data Exchange'!$L$343)*100</f>
        <v>0.14291959779023092</v>
      </c>
      <c r="H300" s="243">
        <f>('Pivot Table for Data Exchange'!$L$346)*100</f>
        <v>0</v>
      </c>
      <c r="I300" s="65"/>
      <c r="J300" s="81"/>
      <c r="K300" s="81"/>
      <c r="L300" s="81"/>
      <c r="M300" s="81"/>
      <c r="N300" s="81"/>
      <c r="O300" s="81"/>
      <c r="P300" s="81"/>
      <c r="Q300" s="248">
        <f t="shared" si="39"/>
        <v>100</v>
      </c>
      <c r="R300" s="97"/>
      <c r="S300" s="98"/>
      <c r="T300" s="98"/>
      <c r="U300" s="98"/>
      <c r="V300" s="98"/>
      <c r="W300" s="98"/>
      <c r="X300" s="98"/>
      <c r="Y300" s="98"/>
      <c r="Z300" s="98"/>
      <c r="AA300" s="98"/>
      <c r="AB300" s="98"/>
      <c r="AC300" s="98"/>
      <c r="AD300" s="98"/>
      <c r="AE300" s="98"/>
      <c r="AF300" s="98"/>
      <c r="AG300" s="98"/>
      <c r="AH300" s="98"/>
      <c r="AI300" s="98"/>
      <c r="AJ300" s="98"/>
      <c r="AK300" s="98"/>
      <c r="AL300" s="98"/>
      <c r="AM300" s="98"/>
      <c r="AN300" s="98"/>
      <c r="AO300" s="98"/>
    </row>
    <row r="301" spans="1:41" ht="15.75" customHeight="1" x14ac:dyDescent="0.2">
      <c r="A301" s="65" t="s">
        <v>150</v>
      </c>
      <c r="B301" s="243">
        <f>('Pivot Table for Data Exchange'!$L$367)*100</f>
        <v>71.243978897469233</v>
      </c>
      <c r="C301" s="243">
        <f>('Pivot Table for Data Exchange'!$L$370)*100</f>
        <v>5.3834144368342258</v>
      </c>
      <c r="D301" s="249">
        <f>SUM(E301:G301)</f>
        <v>23.320688915251981</v>
      </c>
      <c r="E301" s="243">
        <f>('Pivot Table for Data Exchange'!$L$373)*100</f>
        <v>23.028913624154949</v>
      </c>
      <c r="F301" s="243">
        <f>('Pivot Table for Data Exchange'!$L$376)*100</f>
        <v>5.7713793843368714E-2</v>
      </c>
      <c r="G301" s="245">
        <f>('Pivot Table for Data Exchange'!$L$379)*100</f>
        <v>0.23406149725366199</v>
      </c>
      <c r="H301" s="243">
        <f>('Pivot Table for Data Exchange'!$L$382)*100</f>
        <v>5.191775044456886E-2</v>
      </c>
      <c r="I301" s="65"/>
      <c r="J301" s="81"/>
      <c r="K301" s="81"/>
      <c r="L301" s="81"/>
      <c r="M301" s="81"/>
      <c r="N301" s="81"/>
      <c r="O301" s="81"/>
      <c r="P301" s="81"/>
      <c r="Q301" s="248">
        <f t="shared" si="39"/>
        <v>100.00000000000001</v>
      </c>
      <c r="R301" s="97"/>
      <c r="S301" s="98"/>
      <c r="T301" s="104"/>
      <c r="U301" s="98"/>
      <c r="V301" s="98"/>
      <c r="W301" s="98"/>
      <c r="X301" s="98"/>
      <c r="Y301" s="98"/>
      <c r="Z301" s="98"/>
      <c r="AA301" s="98"/>
      <c r="AB301" s="98"/>
      <c r="AC301" s="98"/>
      <c r="AD301" s="98"/>
      <c r="AE301" s="98"/>
      <c r="AF301" s="98"/>
      <c r="AG301" s="98"/>
      <c r="AH301" s="98"/>
      <c r="AI301" s="98"/>
      <c r="AJ301" s="98"/>
      <c r="AK301" s="98"/>
      <c r="AL301" s="98"/>
      <c r="AM301" s="98"/>
      <c r="AN301" s="98"/>
      <c r="AO301" s="98"/>
    </row>
    <row r="302" spans="1:41" ht="15.75" customHeight="1" x14ac:dyDescent="0.2">
      <c r="A302" s="65" t="s">
        <v>151</v>
      </c>
      <c r="B302" s="243">
        <f>('Pivot Table for Data Exchange'!$L$403)*100</f>
        <v>74.455512172506872</v>
      </c>
      <c r="C302" s="243">
        <f>('Pivot Table for Data Exchange'!$L$406)*100</f>
        <v>4.6933858905758239</v>
      </c>
      <c r="D302" s="249">
        <f>SUM(E302:G302)</f>
        <v>20.851101936917306</v>
      </c>
      <c r="E302" s="243">
        <f>('Pivot Table for Data Exchange'!$L$409)*100</f>
        <v>20.016556262601505</v>
      </c>
      <c r="F302" s="243">
        <f>('Pivot Table for Data Exchange'!$L$412)*100</f>
        <v>0.83454567431580295</v>
      </c>
      <c r="G302" s="245">
        <f>('Pivot Table for Data Exchange'!$L$415)*100</f>
        <v>0</v>
      </c>
      <c r="H302" s="243">
        <f>('Pivot Table for Data Exchange'!$L$418)*100</f>
        <v>0</v>
      </c>
      <c r="I302" s="65"/>
      <c r="J302" s="81"/>
      <c r="K302" s="81"/>
      <c r="L302" s="81"/>
      <c r="M302" s="81"/>
      <c r="N302" s="81"/>
      <c r="O302" s="81"/>
      <c r="P302" s="81"/>
      <c r="Q302" s="248">
        <f t="shared" si="39"/>
        <v>100</v>
      </c>
      <c r="R302" s="97"/>
      <c r="S302" s="98"/>
      <c r="T302" s="98"/>
      <c r="U302" s="98"/>
      <c r="V302" s="98"/>
      <c r="W302" s="98"/>
      <c r="X302" s="98"/>
      <c r="Y302" s="98"/>
      <c r="Z302" s="98"/>
      <c r="AA302" s="98"/>
      <c r="AB302" s="98"/>
      <c r="AC302" s="98"/>
      <c r="AD302" s="98"/>
      <c r="AE302" s="98"/>
      <c r="AF302" s="98"/>
      <c r="AG302" s="98"/>
      <c r="AH302" s="98"/>
      <c r="AI302" s="98"/>
      <c r="AJ302" s="98"/>
      <c r="AK302" s="98"/>
      <c r="AL302" s="98"/>
      <c r="AM302" s="98"/>
      <c r="AN302" s="98"/>
      <c r="AO302" s="98"/>
    </row>
    <row r="303" spans="1:41" ht="11.25" customHeight="1" x14ac:dyDescent="0.2">
      <c r="A303" s="65"/>
      <c r="B303" s="243"/>
      <c r="C303" s="243"/>
      <c r="D303" s="249"/>
      <c r="E303" s="243"/>
      <c r="F303" s="243"/>
      <c r="G303" s="245"/>
      <c r="H303" s="243"/>
      <c r="I303" s="65"/>
      <c r="J303" s="81"/>
      <c r="K303" s="81"/>
      <c r="L303" s="81"/>
      <c r="M303" s="81"/>
      <c r="N303" s="81"/>
      <c r="O303" s="81"/>
      <c r="P303" s="81"/>
      <c r="Q303" s="248">
        <f t="shared" si="39"/>
        <v>0</v>
      </c>
      <c r="R303" s="97"/>
      <c r="S303" s="98"/>
      <c r="T303" s="98"/>
      <c r="U303" s="98"/>
      <c r="V303" s="98"/>
      <c r="W303" s="98"/>
      <c r="X303" s="98"/>
      <c r="Y303" s="98"/>
      <c r="Z303" s="98"/>
      <c r="AA303" s="98"/>
      <c r="AB303" s="98"/>
      <c r="AC303" s="98"/>
      <c r="AD303" s="98"/>
      <c r="AE303" s="98"/>
      <c r="AF303" s="98"/>
      <c r="AG303" s="98"/>
      <c r="AH303" s="98"/>
      <c r="AI303" s="98"/>
      <c r="AJ303" s="98"/>
      <c r="AK303" s="98"/>
      <c r="AL303" s="98"/>
      <c r="AM303" s="98"/>
      <c r="AN303" s="98"/>
      <c r="AO303" s="98"/>
    </row>
    <row r="304" spans="1:41" ht="15.75" customHeight="1" x14ac:dyDescent="0.2">
      <c r="A304" s="65" t="s">
        <v>152</v>
      </c>
      <c r="B304" s="243">
        <f>('Pivot Table for Data Exchange'!$L$439)*100</f>
        <v>46.758362276885265</v>
      </c>
      <c r="C304" s="243">
        <f>('Pivot Table for Data Exchange'!$L$442)*100</f>
        <v>29.65227804477426</v>
      </c>
      <c r="D304" s="249">
        <f>SUM(E304:G304)</f>
        <v>23.45907159638022</v>
      </c>
      <c r="E304" s="243">
        <f>('Pivot Table for Data Exchange'!$L$445)*100</f>
        <v>18.420848787401891</v>
      </c>
      <c r="F304" s="243">
        <f>('Pivot Table for Data Exchange'!$L$448)*100</f>
        <v>0.21294499658643301</v>
      </c>
      <c r="G304" s="245">
        <f>('Pivot Table for Data Exchange'!$L$451)*100</f>
        <v>4.8252778123918976</v>
      </c>
      <c r="H304" s="243">
        <f>('Pivot Table for Data Exchange'!$L$454)*100</f>
        <v>0.13028808196024866</v>
      </c>
      <c r="I304" s="65"/>
      <c r="J304" s="81"/>
      <c r="K304" s="81"/>
      <c r="L304" s="81"/>
      <c r="M304" s="81"/>
      <c r="N304" s="81"/>
      <c r="O304" s="81"/>
      <c r="P304" s="81"/>
      <c r="Q304" s="248">
        <f t="shared" si="39"/>
        <v>99.999999999999986</v>
      </c>
      <c r="R304" s="97"/>
      <c r="S304" s="98"/>
      <c r="T304" s="98"/>
      <c r="U304" s="98"/>
      <c r="V304" s="98"/>
      <c r="W304" s="98"/>
      <c r="X304" s="98"/>
      <c r="Y304" s="98"/>
      <c r="Z304" s="98"/>
      <c r="AA304" s="98"/>
      <c r="AB304" s="98"/>
      <c r="AC304" s="98"/>
      <c r="AD304" s="98"/>
      <c r="AE304" s="98"/>
      <c r="AF304" s="98"/>
      <c r="AG304" s="98"/>
      <c r="AH304" s="98"/>
      <c r="AI304" s="98"/>
      <c r="AJ304" s="98"/>
      <c r="AK304" s="98"/>
      <c r="AL304" s="98"/>
      <c r="AM304" s="98"/>
      <c r="AN304" s="98"/>
      <c r="AO304" s="98"/>
    </row>
    <row r="305" spans="1:41" ht="15.75" customHeight="1" x14ac:dyDescent="0.2">
      <c r="A305" s="65" t="s">
        <v>153</v>
      </c>
      <c r="B305" s="243">
        <f>('Pivot Table for Data Exchange'!$L$475)*100</f>
        <v>68.88984005632777</v>
      </c>
      <c r="C305" s="243">
        <f>('Pivot Table for Data Exchange'!$L$478)*100</f>
        <v>11.149686122350452</v>
      </c>
      <c r="D305" s="249">
        <f>SUM(E305:G305)</f>
        <v>19.960473821321781</v>
      </c>
      <c r="E305" s="243">
        <f>('Pivot Table for Data Exchange'!$L$481)*100</f>
        <v>19.469485853944793</v>
      </c>
      <c r="F305" s="243">
        <f>('Pivot Table for Data Exchange'!$L$484)*100</f>
        <v>9.7879996842286349E-2</v>
      </c>
      <c r="G305" s="245">
        <f>('Pivot Table for Data Exchange'!$L$487)*100</f>
        <v>0.39310797053469854</v>
      </c>
      <c r="H305" s="243">
        <f>('Pivot Table for Data Exchange'!$L$490)*100</f>
        <v>0</v>
      </c>
      <c r="I305" s="65"/>
      <c r="J305" s="81"/>
      <c r="K305" s="81"/>
      <c r="L305" s="81"/>
      <c r="M305" s="81"/>
      <c r="N305" s="81"/>
      <c r="O305" s="81"/>
      <c r="P305" s="81"/>
      <c r="Q305" s="248">
        <f t="shared" si="39"/>
        <v>100</v>
      </c>
      <c r="R305" s="97"/>
      <c r="S305" s="98"/>
      <c r="T305" s="98"/>
      <c r="U305" s="98"/>
      <c r="V305" s="98"/>
      <c r="W305" s="98"/>
      <c r="X305" s="98"/>
      <c r="Y305" s="98"/>
      <c r="Z305" s="98"/>
      <c r="AA305" s="98"/>
      <c r="AB305" s="98"/>
      <c r="AC305" s="98"/>
      <c r="AD305" s="98"/>
      <c r="AE305" s="98"/>
      <c r="AF305" s="98"/>
      <c r="AG305" s="98"/>
      <c r="AH305" s="98"/>
      <c r="AI305" s="98"/>
      <c r="AJ305" s="98"/>
      <c r="AK305" s="98"/>
      <c r="AL305" s="98"/>
      <c r="AM305" s="98"/>
      <c r="AN305" s="98"/>
      <c r="AO305" s="98"/>
    </row>
    <row r="306" spans="1:41" ht="15.75" customHeight="1" x14ac:dyDescent="0.2">
      <c r="A306" s="65" t="s">
        <v>154</v>
      </c>
      <c r="B306" s="243">
        <f>('Pivot Table for Data Exchange'!$L$511)*100</f>
        <v>69.097837953427643</v>
      </c>
      <c r="C306" s="243">
        <f>('Pivot Table for Data Exchange'!$L$514)*100</f>
        <v>5.9043567320570398</v>
      </c>
      <c r="D306" s="249">
        <f>SUM(E306:G306)</f>
        <v>24.997805314515311</v>
      </c>
      <c r="E306" s="243">
        <f>('Pivot Table for Data Exchange'!$L$517)*100</f>
        <v>24.72111737628164</v>
      </c>
      <c r="F306" s="243">
        <f>('Pivot Table for Data Exchange'!$L$520)*100</f>
        <v>0.2766879382336721</v>
      </c>
      <c r="G306" s="245">
        <f>('Pivot Table for Data Exchange'!$L$523)*100</f>
        <v>0</v>
      </c>
      <c r="H306" s="243">
        <f>('Pivot Table for Data Exchange'!$L$526)*100</f>
        <v>0</v>
      </c>
      <c r="I306" s="65"/>
      <c r="J306" s="81"/>
      <c r="K306" s="81"/>
      <c r="L306" s="81"/>
      <c r="M306" s="81"/>
      <c r="N306" s="81"/>
      <c r="O306" s="81"/>
      <c r="P306" s="81"/>
      <c r="Q306" s="248">
        <f t="shared" si="39"/>
        <v>100</v>
      </c>
      <c r="R306" s="97"/>
      <c r="S306" s="98"/>
      <c r="T306" s="98"/>
      <c r="U306" s="98"/>
      <c r="V306" s="98"/>
      <c r="W306" s="98"/>
      <c r="X306" s="98"/>
      <c r="Y306" s="98"/>
      <c r="Z306" s="98"/>
      <c r="AA306" s="98"/>
      <c r="AB306" s="98"/>
      <c r="AC306" s="98"/>
      <c r="AD306" s="98"/>
      <c r="AE306" s="98"/>
      <c r="AF306" s="98"/>
      <c r="AG306" s="98"/>
      <c r="AH306" s="98"/>
      <c r="AI306" s="98"/>
      <c r="AJ306" s="98"/>
      <c r="AK306" s="98"/>
      <c r="AL306" s="98"/>
      <c r="AM306" s="98"/>
      <c r="AN306" s="98"/>
      <c r="AO306" s="98"/>
    </row>
    <row r="307" spans="1:41" ht="15.75" customHeight="1" x14ac:dyDescent="0.2">
      <c r="A307" s="39" t="s">
        <v>155</v>
      </c>
      <c r="B307" s="246">
        <f>('Pivot Table for Data Exchange'!$L$547)*100</f>
        <v>0</v>
      </c>
      <c r="C307" s="246">
        <f>('Pivot Table for Data Exchange'!$L$550)*100</f>
        <v>0</v>
      </c>
      <c r="D307" s="250">
        <f>SUM(E307:G307)</f>
        <v>0</v>
      </c>
      <c r="E307" s="246">
        <f>('Pivot Table for Data Exchange'!$L$553)*100</f>
        <v>0</v>
      </c>
      <c r="F307" s="246">
        <f>('Pivot Table for Data Exchange'!$L$556)*100</f>
        <v>0</v>
      </c>
      <c r="G307" s="247">
        <f>('Pivot Table for Data Exchange'!$L$559)*100</f>
        <v>0</v>
      </c>
      <c r="H307" s="246">
        <f>('Pivot Table for Data Exchange'!$L$562)*100</f>
        <v>0</v>
      </c>
      <c r="I307" s="65"/>
      <c r="J307" s="81"/>
      <c r="K307" s="81"/>
      <c r="L307" s="81"/>
      <c r="M307" s="81"/>
      <c r="N307" s="81"/>
      <c r="O307" s="81"/>
      <c r="P307" s="81"/>
      <c r="Q307" s="248">
        <f t="shared" si="39"/>
        <v>0</v>
      </c>
      <c r="R307" s="97"/>
      <c r="S307" s="98"/>
      <c r="T307" s="98"/>
      <c r="U307" s="98"/>
      <c r="V307" s="98"/>
      <c r="W307" s="98"/>
      <c r="X307" s="98"/>
      <c r="Y307" s="98"/>
      <c r="Z307" s="98"/>
      <c r="AA307" s="98"/>
      <c r="AB307" s="98"/>
      <c r="AC307" s="98"/>
      <c r="AD307" s="98"/>
      <c r="AE307" s="98"/>
      <c r="AF307" s="98"/>
      <c r="AG307" s="98"/>
      <c r="AH307" s="98"/>
      <c r="AI307" s="98"/>
      <c r="AJ307" s="98"/>
      <c r="AK307" s="98"/>
      <c r="AL307" s="98"/>
      <c r="AM307" s="98"/>
      <c r="AN307" s="98"/>
      <c r="AO307" s="98"/>
    </row>
    <row r="308" spans="1:41" s="103" customFormat="1" ht="18" customHeight="1" x14ac:dyDescent="0.2">
      <c r="A308" s="24" t="s">
        <v>175</v>
      </c>
      <c r="B308" s="69"/>
      <c r="C308" s="69"/>
      <c r="D308" s="70"/>
      <c r="E308" s="69"/>
      <c r="F308" s="70"/>
      <c r="G308" s="70"/>
      <c r="H308" s="69"/>
      <c r="I308" s="24"/>
      <c r="J308" s="69"/>
      <c r="K308" s="69"/>
      <c r="L308" s="70"/>
      <c r="M308" s="69"/>
      <c r="N308" s="70"/>
      <c r="O308" s="70"/>
      <c r="P308" s="69"/>
      <c r="Q308" s="248">
        <f t="shared" si="39"/>
        <v>0</v>
      </c>
      <c r="R308" s="101"/>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row>
    <row r="309" spans="1:41" s="103" customFormat="1" ht="27" customHeight="1" x14ac:dyDescent="0.25">
      <c r="A309" s="680" t="s">
        <v>180</v>
      </c>
      <c r="B309" s="682"/>
      <c r="C309" s="682"/>
      <c r="D309" s="682"/>
      <c r="E309" s="682"/>
      <c r="F309" s="682"/>
      <c r="G309" s="682"/>
      <c r="H309" s="682"/>
      <c r="I309" s="24"/>
      <c r="J309" s="25"/>
      <c r="K309" s="25"/>
      <c r="L309" s="25"/>
      <c r="M309" s="25"/>
      <c r="N309" s="25"/>
      <c r="O309" s="25"/>
      <c r="P309" s="77"/>
      <c r="Q309" s="248">
        <f t="shared" si="39"/>
        <v>0</v>
      </c>
      <c r="R309" s="106"/>
    </row>
    <row r="310" spans="1:41" s="103" customFormat="1" ht="13.5" customHeight="1" x14ac:dyDescent="0.2">
      <c r="A310" s="75"/>
      <c r="B310" s="25"/>
      <c r="C310" s="25"/>
      <c r="D310" s="25"/>
      <c r="E310" s="25"/>
      <c r="F310" s="25"/>
      <c r="G310" s="25"/>
      <c r="H310" s="26"/>
      <c r="I310" s="75"/>
      <c r="J310" s="25"/>
      <c r="K310" s="25"/>
      <c r="L310" s="25"/>
      <c r="M310" s="25"/>
      <c r="N310" s="25"/>
      <c r="O310" s="25"/>
      <c r="P310" s="25"/>
      <c r="Q310" s="248">
        <f t="shared" si="39"/>
        <v>0</v>
      </c>
      <c r="R310" s="106"/>
    </row>
    <row r="311" spans="1:41" s="103" customFormat="1" x14ac:dyDescent="0.2">
      <c r="A311" s="26"/>
      <c r="B311" s="25"/>
      <c r="C311" s="25"/>
      <c r="D311" s="25"/>
      <c r="E311" s="25"/>
      <c r="F311" s="25"/>
      <c r="G311" s="25"/>
      <c r="H311" s="27" t="s">
        <v>914</v>
      </c>
      <c r="I311" s="85"/>
      <c r="J311" s="26"/>
      <c r="K311" s="26"/>
      <c r="L311" s="26"/>
      <c r="M311" s="26"/>
      <c r="N311" s="26"/>
      <c r="O311" s="26"/>
      <c r="P311" s="26"/>
      <c r="Q311" s="248">
        <f t="shared" si="39"/>
        <v>0</v>
      </c>
      <c r="R311" s="106"/>
    </row>
    <row r="312" spans="1:41" ht="18" x14ac:dyDescent="0.25">
      <c r="A312" s="16" t="s">
        <v>211</v>
      </c>
      <c r="B312" s="34"/>
      <c r="C312" s="34"/>
      <c r="D312" s="34"/>
      <c r="E312" s="34"/>
      <c r="F312" s="34"/>
      <c r="G312" s="34"/>
      <c r="H312" s="35"/>
      <c r="I312" s="80"/>
      <c r="J312" s="65"/>
      <c r="K312" s="65"/>
      <c r="L312" s="65"/>
      <c r="M312" s="65"/>
      <c r="N312" s="65"/>
      <c r="O312" s="65"/>
      <c r="P312" s="65"/>
      <c r="Q312" s="248">
        <f t="shared" si="39"/>
        <v>0</v>
      </c>
    </row>
    <row r="313" spans="1:41" x14ac:dyDescent="0.2">
      <c r="A313" s="18"/>
      <c r="B313" s="19"/>
      <c r="C313" s="19"/>
      <c r="D313" s="19"/>
      <c r="E313" s="19"/>
      <c r="F313" s="19"/>
      <c r="G313" s="19"/>
      <c r="H313" s="36"/>
      <c r="I313" s="80"/>
      <c r="J313" s="65"/>
      <c r="K313" s="65"/>
      <c r="L313" s="65"/>
      <c r="M313" s="65"/>
      <c r="N313" s="65"/>
      <c r="O313" s="65"/>
      <c r="P313" s="65"/>
      <c r="Q313" s="248">
        <f t="shared" si="39"/>
        <v>0</v>
      </c>
    </row>
    <row r="314" spans="1:41" ht="15.75" x14ac:dyDescent="0.25">
      <c r="A314" s="37" t="s">
        <v>162</v>
      </c>
      <c r="B314" s="19"/>
      <c r="C314" s="19"/>
      <c r="D314" s="19"/>
      <c r="E314" s="19"/>
      <c r="F314" s="19"/>
      <c r="G314" s="19"/>
      <c r="H314" s="36"/>
      <c r="I314" s="80"/>
      <c r="J314" s="65"/>
      <c r="K314" s="65"/>
      <c r="L314" s="65"/>
      <c r="M314" s="65"/>
      <c r="N314" s="65"/>
      <c r="O314" s="65"/>
      <c r="P314" s="65"/>
      <c r="Q314" s="248">
        <f t="shared" si="39"/>
        <v>0</v>
      </c>
    </row>
    <row r="315" spans="1:41" ht="15.75" x14ac:dyDescent="0.25">
      <c r="A315" s="37" t="s">
        <v>876</v>
      </c>
      <c r="B315" s="19"/>
      <c r="C315" s="19"/>
      <c r="D315" s="19"/>
      <c r="E315" s="19"/>
      <c r="F315" s="19"/>
      <c r="G315" s="19"/>
      <c r="H315" s="36"/>
      <c r="I315" s="80"/>
      <c r="J315" s="65"/>
      <c r="K315" s="65"/>
      <c r="L315" s="65"/>
      <c r="M315" s="65"/>
      <c r="N315" s="65"/>
      <c r="O315" s="65"/>
      <c r="P315" s="65"/>
      <c r="Q315" s="248">
        <f t="shared" si="39"/>
        <v>0</v>
      </c>
    </row>
    <row r="316" spans="1:41" x14ac:dyDescent="0.2">
      <c r="A316" s="39"/>
      <c r="B316" s="40"/>
      <c r="C316" s="40"/>
      <c r="D316" s="40"/>
      <c r="E316" s="40"/>
      <c r="F316" s="40"/>
      <c r="G316" s="40"/>
      <c r="H316" s="40"/>
      <c r="I316" s="80"/>
      <c r="J316" s="65"/>
      <c r="K316" s="65"/>
      <c r="L316" s="65"/>
      <c r="M316" s="65"/>
      <c r="N316" s="65"/>
      <c r="O316" s="65"/>
      <c r="P316" s="65"/>
      <c r="Q316" s="248">
        <f t="shared" si="39"/>
        <v>0</v>
      </c>
    </row>
    <row r="317" spans="1:41" x14ac:dyDescent="0.2">
      <c r="A317" s="43"/>
      <c r="B317" s="44" t="s">
        <v>164</v>
      </c>
      <c r="C317" s="44"/>
      <c r="D317" s="44"/>
      <c r="E317" s="44"/>
      <c r="F317" s="44"/>
      <c r="G317" s="44"/>
      <c r="H317" s="45"/>
      <c r="I317" s="80"/>
      <c r="J317" s="65"/>
      <c r="K317" s="65"/>
      <c r="L317" s="65"/>
      <c r="M317" s="65"/>
      <c r="N317" s="65"/>
      <c r="O317" s="65"/>
      <c r="P317" s="65"/>
      <c r="Q317" s="248">
        <f t="shared" si="39"/>
        <v>0</v>
      </c>
    </row>
    <row r="318" spans="1:41" x14ac:dyDescent="0.2">
      <c r="A318" s="43"/>
      <c r="B318" s="44" t="s">
        <v>165</v>
      </c>
      <c r="C318" s="44"/>
      <c r="D318" s="670" t="s">
        <v>166</v>
      </c>
      <c r="E318" s="668"/>
      <c r="F318" s="668"/>
      <c r="G318" s="668"/>
      <c r="H318" s="49" t="s">
        <v>39</v>
      </c>
      <c r="I318" s="80"/>
      <c r="J318" s="65"/>
      <c r="K318" s="65"/>
      <c r="L318" s="65"/>
      <c r="M318" s="65"/>
      <c r="N318" s="65"/>
      <c r="O318" s="65"/>
      <c r="P318" s="65"/>
      <c r="Q318" s="248">
        <f t="shared" si="39"/>
        <v>0</v>
      </c>
    </row>
    <row r="319" spans="1:41" ht="36" x14ac:dyDescent="0.2">
      <c r="A319" s="43"/>
      <c r="B319" s="50" t="s">
        <v>167</v>
      </c>
      <c r="C319" s="51" t="s">
        <v>168</v>
      </c>
      <c r="D319" s="52" t="s">
        <v>169</v>
      </c>
      <c r="E319" s="53" t="s">
        <v>7</v>
      </c>
      <c r="F319" s="50" t="s">
        <v>170</v>
      </c>
      <c r="G319" s="54" t="s">
        <v>171</v>
      </c>
      <c r="H319" s="55" t="s">
        <v>172</v>
      </c>
      <c r="I319" s="80"/>
      <c r="J319" s="65"/>
      <c r="K319" s="65"/>
      <c r="L319" s="65"/>
      <c r="M319" s="65"/>
      <c r="N319" s="65"/>
      <c r="O319" s="65"/>
      <c r="P319" s="65"/>
      <c r="Q319" s="248">
        <f t="shared" si="39"/>
        <v>0</v>
      </c>
    </row>
    <row r="320" spans="1:41" ht="15.75" customHeight="1" x14ac:dyDescent="0.2">
      <c r="A320" s="62" t="s">
        <v>141</v>
      </c>
      <c r="B320" s="82">
        <f>('Pivot Table for Data Exchange'!$M$7)*100</f>
        <v>66.282754625685754</v>
      </c>
      <c r="C320" s="243">
        <f>('Pivot Table for Data Exchange'!$M$10)*100</f>
        <v>19.018444328697505</v>
      </c>
      <c r="D320" s="249">
        <f>SUM(E320:G320)</f>
        <v>14.698801045616735</v>
      </c>
      <c r="E320" s="243">
        <f>('Pivot Table for Data Exchange'!$M$13)*100</f>
        <v>13.882265892352102</v>
      </c>
      <c r="F320" s="243">
        <f>('Pivot Table for Data Exchange'!$M$16)*100</f>
        <v>0.46215480774379469</v>
      </c>
      <c r="G320" s="60">
        <f>('Pivot Table for Data Exchange'!$M$19)*100</f>
        <v>0.35438034552083686</v>
      </c>
      <c r="H320" s="243">
        <f>('Pivot Table for Data Exchange'!$M$22)*100</f>
        <v>0</v>
      </c>
      <c r="I320" s="65"/>
      <c r="J320" s="81"/>
      <c r="K320" s="81"/>
      <c r="L320" s="81"/>
      <c r="M320" s="81"/>
      <c r="N320" s="81"/>
      <c r="O320" s="81"/>
      <c r="P320" s="81"/>
      <c r="Q320" s="248">
        <f t="shared" si="39"/>
        <v>100</v>
      </c>
      <c r="R320" s="97"/>
      <c r="S320" s="98"/>
      <c r="T320" s="98"/>
      <c r="U320" s="98"/>
      <c r="V320" s="98"/>
      <c r="W320" s="98"/>
      <c r="X320" s="98"/>
      <c r="Y320" s="98"/>
      <c r="Z320" s="98"/>
      <c r="AA320" s="98"/>
      <c r="AB320" s="98"/>
      <c r="AC320" s="98"/>
      <c r="AD320" s="98"/>
      <c r="AE320" s="98"/>
      <c r="AF320" s="98"/>
      <c r="AG320" s="98"/>
      <c r="AH320" s="98"/>
      <c r="AI320" s="98"/>
      <c r="AJ320" s="98"/>
      <c r="AK320" s="98"/>
      <c r="AL320" s="98"/>
      <c r="AM320" s="98"/>
      <c r="AN320" s="98"/>
      <c r="AO320" s="98"/>
    </row>
    <row r="321" spans="1:41" ht="15.75" customHeight="1" x14ac:dyDescent="0.2">
      <c r="A321" s="65" t="s">
        <v>142</v>
      </c>
      <c r="B321" s="243">
        <f>('Pivot Table for Data Exchange'!$M$43)*100</f>
        <v>73.131269490464561</v>
      </c>
      <c r="C321" s="243">
        <f>('Pivot Table for Data Exchange'!$M$46)*100</f>
        <v>7.8183419465261972</v>
      </c>
      <c r="D321" s="249">
        <f t="shared" ref="D321:D323" si="42">SUM(E321:G321)</f>
        <v>19.050388563009243</v>
      </c>
      <c r="E321" s="243">
        <f>('Pivot Table for Data Exchange'!$M$49)*100</f>
        <v>19.050388563009243</v>
      </c>
      <c r="F321" s="243">
        <f>('Pivot Table for Data Exchange'!$M$52)*100</f>
        <v>0</v>
      </c>
      <c r="G321" s="245">
        <f>('Pivot Table for Data Exchange'!$M$55)*100</f>
        <v>0</v>
      </c>
      <c r="H321" s="243">
        <f>('Pivot Table for Data Exchange'!$M$58)*100</f>
        <v>0</v>
      </c>
      <c r="I321" s="65"/>
      <c r="J321" s="81"/>
      <c r="K321" s="81"/>
      <c r="L321" s="81"/>
      <c r="M321" s="81"/>
      <c r="N321" s="81"/>
      <c r="O321" s="81"/>
      <c r="P321" s="81"/>
      <c r="Q321" s="248">
        <f t="shared" si="39"/>
        <v>100</v>
      </c>
      <c r="R321" s="97"/>
      <c r="S321" s="98"/>
      <c r="T321" s="98"/>
      <c r="U321" s="98"/>
      <c r="V321" s="98"/>
      <c r="W321" s="98"/>
      <c r="X321" s="98"/>
      <c r="Y321" s="98"/>
      <c r="Z321" s="98"/>
      <c r="AA321" s="98"/>
      <c r="AB321" s="98"/>
      <c r="AC321" s="98"/>
      <c r="AD321" s="98"/>
      <c r="AE321" s="98"/>
      <c r="AF321" s="98"/>
      <c r="AG321" s="98"/>
      <c r="AH321" s="98"/>
      <c r="AI321" s="98"/>
      <c r="AJ321" s="98"/>
      <c r="AK321" s="98"/>
      <c r="AL321" s="98"/>
      <c r="AM321" s="98"/>
      <c r="AN321" s="98"/>
      <c r="AO321" s="98"/>
    </row>
    <row r="322" spans="1:41" ht="15.75" customHeight="1" x14ac:dyDescent="0.2">
      <c r="A322" s="65" t="s">
        <v>143</v>
      </c>
      <c r="B322" s="243">
        <f>('Pivot Table for Data Exchange'!$M$79)*100</f>
        <v>81.015408347709354</v>
      </c>
      <c r="C322" s="243">
        <f>('Pivot Table for Data Exchange'!$M$82)*100</f>
        <v>0</v>
      </c>
      <c r="D322" s="249">
        <f t="shared" si="42"/>
        <v>18.984591652290643</v>
      </c>
      <c r="E322" s="243">
        <f>('Pivot Table for Data Exchange'!$M$85)*100</f>
        <v>18.480008007395064</v>
      </c>
      <c r="F322" s="243">
        <f>('Pivot Table for Data Exchange'!$M$88)*100</f>
        <v>0</v>
      </c>
      <c r="G322" s="245">
        <f>('Pivot Table for Data Exchange'!$M$91)*100</f>
        <v>0.50458364489558005</v>
      </c>
      <c r="H322" s="243">
        <f>('Pivot Table for Data Exchange'!$M$94)*100</f>
        <v>0</v>
      </c>
      <c r="I322" s="65"/>
      <c r="J322" s="81"/>
      <c r="K322" s="81"/>
      <c r="L322" s="81"/>
      <c r="M322" s="81"/>
      <c r="N322" s="81"/>
      <c r="O322" s="81"/>
      <c r="P322" s="81"/>
      <c r="Q322" s="248">
        <f t="shared" si="39"/>
        <v>100</v>
      </c>
      <c r="R322" s="97"/>
      <c r="S322" s="98"/>
      <c r="T322" s="104"/>
      <c r="U322" s="98"/>
      <c r="V322" s="98"/>
      <c r="W322" s="98"/>
      <c r="X322" s="98"/>
      <c r="Y322" s="98"/>
      <c r="Z322" s="98"/>
      <c r="AA322" s="98"/>
      <c r="AB322" s="98"/>
      <c r="AC322" s="98"/>
      <c r="AD322" s="98"/>
      <c r="AE322" s="98"/>
      <c r="AF322" s="98"/>
      <c r="AG322" s="98"/>
      <c r="AH322" s="98"/>
      <c r="AI322" s="98"/>
      <c r="AJ322" s="98"/>
      <c r="AK322" s="98"/>
      <c r="AL322" s="98"/>
      <c r="AM322" s="98"/>
      <c r="AN322" s="98"/>
      <c r="AO322" s="98"/>
    </row>
    <row r="323" spans="1:41" ht="15.75" customHeight="1" x14ac:dyDescent="0.2">
      <c r="A323" s="65" t="s">
        <v>174</v>
      </c>
      <c r="B323" s="243">
        <f>('Pivot Table for Data Exchange'!$M$115)*100</f>
        <v>64.590855038057498</v>
      </c>
      <c r="C323" s="243">
        <f>('Pivot Table for Data Exchange'!$M$118)*100</f>
        <v>7.913513095815607</v>
      </c>
      <c r="D323" s="249">
        <f t="shared" si="42"/>
        <v>26.248084245954917</v>
      </c>
      <c r="E323" s="243">
        <f>('Pivot Table for Data Exchange'!$M$121)*100</f>
        <v>21.423603807037956</v>
      </c>
      <c r="F323" s="243">
        <f>('Pivot Table for Data Exchange'!$M$124)*100</f>
        <v>0.71585879443798106</v>
      </c>
      <c r="G323" s="245">
        <f>('Pivot Table for Data Exchange'!$M$127)*100</f>
        <v>4.1086216444789789</v>
      </c>
      <c r="H323" s="243">
        <f>('Pivot Table for Data Exchange'!$M$130)*100</f>
        <v>1.247547620171978</v>
      </c>
      <c r="I323" s="65"/>
      <c r="J323" s="81"/>
      <c r="K323" s="81"/>
      <c r="L323" s="81"/>
      <c r="M323" s="81"/>
      <c r="N323" s="81"/>
      <c r="O323" s="81"/>
      <c r="P323" s="81"/>
      <c r="Q323" s="248">
        <f t="shared" si="39"/>
        <v>99.999999999999986</v>
      </c>
      <c r="R323" s="97"/>
      <c r="S323" s="98"/>
      <c r="U323" s="98"/>
      <c r="V323" s="98"/>
      <c r="W323" s="98"/>
      <c r="X323" s="98"/>
      <c r="Y323" s="98"/>
      <c r="Z323" s="98"/>
      <c r="AA323" s="98"/>
      <c r="AB323" s="98"/>
      <c r="AC323" s="98"/>
      <c r="AD323" s="98"/>
      <c r="AE323" s="98"/>
      <c r="AF323" s="98"/>
      <c r="AG323" s="98"/>
      <c r="AH323" s="98"/>
      <c r="AI323" s="98"/>
      <c r="AJ323" s="98"/>
      <c r="AK323" s="98"/>
      <c r="AL323" s="98"/>
      <c r="AM323" s="98"/>
      <c r="AN323" s="98"/>
      <c r="AO323" s="98"/>
    </row>
    <row r="324" spans="1:41" ht="15.75" customHeight="1" x14ac:dyDescent="0.2">
      <c r="A324" s="65"/>
      <c r="B324" s="243"/>
      <c r="C324" s="243"/>
      <c r="D324" s="249"/>
      <c r="E324" s="243"/>
      <c r="F324" s="243"/>
      <c r="G324" s="245"/>
      <c r="H324" s="243"/>
      <c r="I324" s="65"/>
      <c r="J324" s="81"/>
      <c r="K324" s="81"/>
      <c r="L324" s="81"/>
      <c r="M324" s="81"/>
      <c r="N324" s="81"/>
      <c r="O324" s="81"/>
      <c r="P324" s="81"/>
      <c r="Q324" s="248">
        <f t="shared" si="39"/>
        <v>0</v>
      </c>
      <c r="R324" s="97"/>
      <c r="S324" s="98"/>
      <c r="U324" s="98"/>
      <c r="V324" s="98"/>
      <c r="W324" s="98"/>
      <c r="X324" s="98"/>
      <c r="Y324" s="98"/>
      <c r="Z324" s="98"/>
      <c r="AA324" s="98"/>
      <c r="AB324" s="98"/>
      <c r="AC324" s="98"/>
      <c r="AD324" s="98"/>
      <c r="AE324" s="98"/>
      <c r="AF324" s="98"/>
      <c r="AG324" s="98"/>
      <c r="AH324" s="98"/>
      <c r="AI324" s="98"/>
      <c r="AJ324" s="98"/>
      <c r="AK324" s="98"/>
      <c r="AL324" s="98"/>
      <c r="AM324" s="98"/>
      <c r="AN324" s="98"/>
      <c r="AO324" s="98"/>
    </row>
    <row r="325" spans="1:41" ht="15.75" customHeight="1" x14ac:dyDescent="0.2">
      <c r="A325" s="65" t="s">
        <v>145</v>
      </c>
      <c r="B325" s="243">
        <f>('Pivot Table for Data Exchange'!$M$151)*100</f>
        <v>70.38732720498507</v>
      </c>
      <c r="C325" s="243">
        <f>('Pivot Table for Data Exchange'!$M$154)*100</f>
        <v>9.9835241765975713</v>
      </c>
      <c r="D325" s="249">
        <f t="shared" ref="D325:D326" si="43">SUM(E325:G325)</f>
        <v>19.570736179272103</v>
      </c>
      <c r="E325" s="243">
        <f>('Pivot Table for Data Exchange'!$M$157)*100</f>
        <v>15.05675268754686</v>
      </c>
      <c r="F325" s="243">
        <f>('Pivot Table for Data Exchange'!$M$160)*100</f>
        <v>0</v>
      </c>
      <c r="G325" s="245">
        <f>('Pivot Table for Data Exchange'!$M$163)*100</f>
        <v>4.5139834917252424</v>
      </c>
      <c r="H325" s="243">
        <f>('Pivot Table for Data Exchange'!$M$166)*100</f>
        <v>5.8412439145258344E-2</v>
      </c>
      <c r="I325" s="65"/>
      <c r="J325" s="81"/>
      <c r="K325" s="81"/>
      <c r="L325" s="81"/>
      <c r="M325" s="81"/>
      <c r="N325" s="81"/>
      <c r="O325" s="81"/>
      <c r="P325" s="81"/>
      <c r="Q325" s="248">
        <f t="shared" si="39"/>
        <v>100</v>
      </c>
      <c r="R325" s="97"/>
      <c r="S325" s="98"/>
      <c r="T325" s="98"/>
      <c r="U325" s="98"/>
      <c r="V325" s="98"/>
      <c r="W325" s="98"/>
      <c r="X325" s="98"/>
      <c r="Y325" s="98"/>
      <c r="Z325" s="98"/>
      <c r="AA325" s="98"/>
      <c r="AB325" s="98"/>
      <c r="AC325" s="98"/>
      <c r="AD325" s="98"/>
      <c r="AE325" s="98"/>
      <c r="AF325" s="98"/>
      <c r="AG325" s="98"/>
      <c r="AH325" s="98"/>
      <c r="AI325" s="98"/>
      <c r="AJ325" s="98"/>
      <c r="AK325" s="98"/>
      <c r="AL325" s="98"/>
      <c r="AM325" s="98"/>
      <c r="AN325" s="98"/>
      <c r="AO325" s="98"/>
    </row>
    <row r="326" spans="1:41" ht="15.75" customHeight="1" x14ac:dyDescent="0.2">
      <c r="A326" s="65" t="s">
        <v>146</v>
      </c>
      <c r="B326" s="243">
        <f>('Pivot Table for Data Exchange'!$M$187)*100</f>
        <v>58.176779096152984</v>
      </c>
      <c r="C326" s="243">
        <f>('Pivot Table for Data Exchange'!$M$190)*100</f>
        <v>6.5761913073834872</v>
      </c>
      <c r="D326" s="249">
        <f t="shared" si="43"/>
        <v>35.24702959646352</v>
      </c>
      <c r="E326" s="243">
        <f>('Pivot Table for Data Exchange'!$M$193)*100</f>
        <v>34.204800545571892</v>
      </c>
      <c r="F326" s="243">
        <f>('Pivot Table for Data Exchange'!$M$196)*100</f>
        <v>1.0422290508916285</v>
      </c>
      <c r="G326" s="245">
        <f>('Pivot Table for Data Exchange'!$M$199)*100</f>
        <v>0</v>
      </c>
      <c r="H326" s="243">
        <f>('Pivot Table for Data Exchange'!$M$202)*100</f>
        <v>0</v>
      </c>
      <c r="I326" s="65"/>
      <c r="J326" s="81"/>
      <c r="K326" s="81"/>
      <c r="L326" s="81"/>
      <c r="M326" s="81"/>
      <c r="N326" s="81"/>
      <c r="O326" s="81"/>
      <c r="P326" s="81"/>
      <c r="Q326" s="248">
        <f t="shared" si="39"/>
        <v>99.999999999999986</v>
      </c>
      <c r="R326" s="97"/>
      <c r="S326" s="98"/>
      <c r="T326" s="98"/>
      <c r="U326" s="98"/>
      <c r="V326" s="98"/>
      <c r="W326" s="98"/>
      <c r="X326" s="98"/>
      <c r="Y326" s="98"/>
      <c r="Z326" s="98"/>
      <c r="AA326" s="98"/>
      <c r="AB326" s="98"/>
      <c r="AC326" s="98"/>
      <c r="AD326" s="98"/>
      <c r="AE326" s="98"/>
      <c r="AF326" s="98"/>
      <c r="AG326" s="98"/>
      <c r="AH326" s="98"/>
      <c r="AI326" s="98"/>
      <c r="AJ326" s="98"/>
      <c r="AK326" s="98"/>
      <c r="AL326" s="98"/>
      <c r="AM326" s="98"/>
      <c r="AN326" s="98"/>
      <c r="AO326" s="98"/>
    </row>
    <row r="327" spans="1:41" ht="15.75" customHeight="1" x14ac:dyDescent="0.2">
      <c r="A327" s="65" t="s">
        <v>147</v>
      </c>
      <c r="B327" s="243">
        <f>('Pivot Table for Data Exchange'!$M$223)*100</f>
        <v>0</v>
      </c>
      <c r="C327" s="243">
        <f>('Pivot Table for Data Exchange'!$M$226)*100</f>
        <v>0</v>
      </c>
      <c r="D327" s="249">
        <f>SUM(E327:G327)</f>
        <v>0</v>
      </c>
      <c r="E327" s="243">
        <f>('Pivot Table for Data Exchange'!$M$229)*100</f>
        <v>0</v>
      </c>
      <c r="F327" s="243">
        <f>('Pivot Table for Data Exchange'!$M$232)*100</f>
        <v>0</v>
      </c>
      <c r="G327" s="245">
        <f>('Pivot Table for Data Exchange'!$M$235)*100</f>
        <v>0</v>
      </c>
      <c r="H327" s="243">
        <f>('Pivot Table for Data Exchange'!$M$238)*100</f>
        <v>0</v>
      </c>
      <c r="I327" s="65"/>
      <c r="J327" s="81"/>
      <c r="K327" s="81"/>
      <c r="L327" s="81"/>
      <c r="M327" s="81"/>
      <c r="N327" s="81"/>
      <c r="O327" s="81"/>
      <c r="P327" s="81"/>
      <c r="Q327" s="248">
        <f t="shared" si="39"/>
        <v>0</v>
      </c>
      <c r="R327" s="97"/>
      <c r="S327" s="98"/>
      <c r="T327" s="104"/>
      <c r="U327" s="98"/>
      <c r="V327" s="98"/>
      <c r="W327" s="98"/>
      <c r="X327" s="98"/>
      <c r="Y327" s="98"/>
      <c r="Z327" s="98"/>
      <c r="AA327" s="98"/>
      <c r="AB327" s="98"/>
      <c r="AC327" s="98"/>
      <c r="AD327" s="98"/>
      <c r="AE327" s="98"/>
      <c r="AF327" s="98"/>
      <c r="AG327" s="98"/>
      <c r="AH327" s="98"/>
      <c r="AI327" s="98"/>
      <c r="AJ327" s="98"/>
      <c r="AK327" s="98"/>
      <c r="AL327" s="98"/>
      <c r="AM327" s="98"/>
      <c r="AN327" s="98"/>
      <c r="AO327" s="98"/>
    </row>
    <row r="328" spans="1:41" ht="15.75" customHeight="1" x14ac:dyDescent="0.2">
      <c r="A328" s="65" t="s">
        <v>177</v>
      </c>
      <c r="B328" s="243">
        <f>('Pivot Table for Data Exchange'!$M$259)*100</f>
        <v>76.113410627006886</v>
      </c>
      <c r="C328" s="243">
        <f>('Pivot Table for Data Exchange'!$M$262)*100</f>
        <v>6.2374347881409848</v>
      </c>
      <c r="D328" s="249">
        <f>SUM(E328:G328)</f>
        <v>17.649154584852138</v>
      </c>
      <c r="E328" s="243">
        <f>('Pivot Table for Data Exchange'!$M$265)*100</f>
        <v>17.38044804383135</v>
      </c>
      <c r="F328" s="243">
        <f>('Pivot Table for Data Exchange'!$M$268)*100</f>
        <v>0.26870654102078545</v>
      </c>
      <c r="G328" s="245">
        <f>('Pivot Table for Data Exchange'!$M$271)*100</f>
        <v>0</v>
      </c>
      <c r="H328" s="243">
        <f>('Pivot Table for Data Exchange'!$M$274)*100</f>
        <v>0</v>
      </c>
      <c r="I328" s="65"/>
      <c r="J328" s="81"/>
      <c r="K328" s="81"/>
      <c r="L328" s="81"/>
      <c r="M328" s="81"/>
      <c r="N328" s="81"/>
      <c r="O328" s="81"/>
      <c r="P328" s="81"/>
      <c r="Q328" s="248">
        <f t="shared" si="39"/>
        <v>100.00000000000001</v>
      </c>
      <c r="R328" s="97"/>
      <c r="S328" s="98"/>
      <c r="U328" s="98"/>
      <c r="V328" s="98"/>
      <c r="W328" s="98"/>
      <c r="X328" s="98"/>
      <c r="Y328" s="98"/>
      <c r="Z328" s="98"/>
      <c r="AA328" s="98"/>
      <c r="AB328" s="98"/>
      <c r="AC328" s="98"/>
      <c r="AD328" s="98"/>
      <c r="AE328" s="98"/>
      <c r="AF328" s="98"/>
      <c r="AG328" s="98"/>
      <c r="AH328" s="98"/>
      <c r="AI328" s="98"/>
      <c r="AJ328" s="98"/>
      <c r="AK328" s="98"/>
      <c r="AL328" s="98"/>
      <c r="AM328" s="98"/>
      <c r="AN328" s="98"/>
      <c r="AO328" s="98"/>
    </row>
    <row r="329" spans="1:41" ht="12" customHeight="1" x14ac:dyDescent="0.2">
      <c r="A329" s="65"/>
      <c r="B329" s="243"/>
      <c r="C329" s="243"/>
      <c r="D329" s="249"/>
      <c r="E329" s="243"/>
      <c r="F329" s="243"/>
      <c r="G329" s="245"/>
      <c r="H329" s="243"/>
      <c r="I329" s="65"/>
      <c r="J329" s="81"/>
      <c r="K329" s="81"/>
      <c r="L329" s="81"/>
      <c r="M329" s="81"/>
      <c r="N329" s="81"/>
      <c r="O329" s="81"/>
      <c r="P329" s="81"/>
      <c r="Q329" s="248">
        <f t="shared" si="39"/>
        <v>0</v>
      </c>
      <c r="R329" s="97"/>
      <c r="S329" s="98"/>
      <c r="U329" s="98"/>
      <c r="V329" s="98"/>
      <c r="W329" s="98"/>
      <c r="X329" s="98"/>
      <c r="Y329" s="98"/>
      <c r="Z329" s="98"/>
      <c r="AA329" s="98"/>
      <c r="AB329" s="98"/>
      <c r="AC329" s="98"/>
      <c r="AD329" s="98"/>
      <c r="AE329" s="98"/>
      <c r="AF329" s="98"/>
      <c r="AG329" s="98"/>
      <c r="AH329" s="98"/>
      <c r="AI329" s="98"/>
      <c r="AJ329" s="98"/>
      <c r="AK329" s="98"/>
      <c r="AL329" s="98"/>
      <c r="AM329" s="98"/>
      <c r="AN329" s="98"/>
      <c r="AO329" s="98"/>
    </row>
    <row r="330" spans="1:41" ht="15.75" customHeight="1" x14ac:dyDescent="0.2">
      <c r="A330" s="65" t="s">
        <v>179</v>
      </c>
      <c r="B330" s="243">
        <f>('Pivot Table for Data Exchange'!$M$295)*100</f>
        <v>80.726475803653358</v>
      </c>
      <c r="C330" s="243">
        <f>('Pivot Table for Data Exchange'!$M$298)*100</f>
        <v>0</v>
      </c>
      <c r="D330" s="249">
        <f>SUM(E330:G330)</f>
        <v>19.273524196346653</v>
      </c>
      <c r="E330" s="243">
        <f>('Pivot Table for Data Exchange'!$M$301)*100</f>
        <v>19.273524196346653</v>
      </c>
      <c r="F330" s="243">
        <f>('Pivot Table for Data Exchange'!$M$304)*100</f>
        <v>0</v>
      </c>
      <c r="G330" s="245">
        <f>('Pivot Table for Data Exchange'!$M$307)*100</f>
        <v>0</v>
      </c>
      <c r="H330" s="243">
        <f>('Pivot Table for Data Exchange'!$M$310)*100</f>
        <v>0</v>
      </c>
      <c r="I330" s="86"/>
      <c r="J330" s="81"/>
      <c r="K330" s="81"/>
      <c r="L330" s="81"/>
      <c r="M330" s="81"/>
      <c r="N330" s="81"/>
      <c r="O330" s="81"/>
      <c r="P330" s="81"/>
      <c r="Q330" s="248">
        <f t="shared" si="39"/>
        <v>100.00000000000001</v>
      </c>
      <c r="R330" s="97"/>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row>
    <row r="331" spans="1:41" ht="15.75" customHeight="1" x14ac:dyDescent="0.2">
      <c r="A331" s="65" t="s">
        <v>149</v>
      </c>
      <c r="B331" s="243">
        <f>('Pivot Table for Data Exchange'!$M$331)*100</f>
        <v>63.046777776776608</v>
      </c>
      <c r="C331" s="243">
        <f>('Pivot Table for Data Exchange'!$M$334)*100</f>
        <v>1.70529690267303</v>
      </c>
      <c r="D331" s="249">
        <f>SUM(E331:G331)</f>
        <v>35.247925320550365</v>
      </c>
      <c r="E331" s="243">
        <f>('Pivot Table for Data Exchange'!$M$337)*100</f>
        <v>34.623043584036907</v>
      </c>
      <c r="F331" s="243">
        <f>('Pivot Table for Data Exchange'!$M$340)*100</f>
        <v>0.58148091415047021</v>
      </c>
      <c r="G331" s="68">
        <f>('Pivot Table for Data Exchange'!$M$343)*100</f>
        <v>4.3400822362987056E-2</v>
      </c>
      <c r="H331" s="243">
        <f>('Pivot Table for Data Exchange'!$M$346)*100</f>
        <v>0</v>
      </c>
      <c r="I331" s="65"/>
      <c r="J331" s="81"/>
      <c r="K331" s="81"/>
      <c r="L331" s="81"/>
      <c r="M331" s="81"/>
      <c r="N331" s="81"/>
      <c r="O331" s="81"/>
      <c r="P331" s="81"/>
      <c r="Q331" s="248">
        <f t="shared" si="39"/>
        <v>100</v>
      </c>
      <c r="R331" s="97"/>
      <c r="S331" s="98"/>
      <c r="T331" s="98"/>
      <c r="U331" s="98"/>
      <c r="V331" s="98"/>
      <c r="W331" s="98"/>
      <c r="X331" s="98"/>
      <c r="Y331" s="98"/>
      <c r="Z331" s="98"/>
      <c r="AA331" s="98"/>
      <c r="AB331" s="98"/>
      <c r="AC331" s="98"/>
      <c r="AD331" s="98"/>
      <c r="AE331" s="98"/>
      <c r="AF331" s="98"/>
      <c r="AG331" s="98"/>
      <c r="AH331" s="98"/>
      <c r="AI331" s="98"/>
      <c r="AJ331" s="98"/>
      <c r="AK331" s="98"/>
      <c r="AL331" s="98"/>
      <c r="AM331" s="98"/>
      <c r="AN331" s="98"/>
      <c r="AO331" s="98"/>
    </row>
    <row r="332" spans="1:41" ht="15.75" customHeight="1" x14ac:dyDescent="0.2">
      <c r="A332" s="65" t="s">
        <v>150</v>
      </c>
      <c r="B332" s="243">
        <f>('Pivot Table for Data Exchange'!$M$367)*100</f>
        <v>74.028623516426279</v>
      </c>
      <c r="C332" s="243">
        <f>('Pivot Table for Data Exchange'!$M$370)*100</f>
        <v>0.45762901045477655</v>
      </c>
      <c r="D332" s="249">
        <f>SUM(E332:G332)</f>
        <v>25.513747473118947</v>
      </c>
      <c r="E332" s="243">
        <f>('Pivot Table for Data Exchange'!$M$373)*100</f>
        <v>14.993861074249997</v>
      </c>
      <c r="F332" s="243">
        <f>('Pivot Table for Data Exchange'!$M$376)*100</f>
        <v>10.306574231394094</v>
      </c>
      <c r="G332" s="245">
        <f>('Pivot Table for Data Exchange'!$M$379)*100</f>
        <v>0.21331216747485521</v>
      </c>
      <c r="H332" s="243">
        <f>('Pivot Table for Data Exchange'!$M$382)*100</f>
        <v>0</v>
      </c>
      <c r="I332" s="65"/>
      <c r="J332" s="81"/>
      <c r="K332" s="81"/>
      <c r="L332" s="81"/>
      <c r="M332" s="81"/>
      <c r="N332" s="81"/>
      <c r="O332" s="81"/>
      <c r="P332" s="81"/>
      <c r="Q332" s="248">
        <f t="shared" si="39"/>
        <v>100</v>
      </c>
      <c r="R332" s="97"/>
      <c r="S332" s="98"/>
      <c r="T332" s="104"/>
      <c r="U332" s="98"/>
      <c r="V332" s="98"/>
      <c r="W332" s="98"/>
      <c r="X332" s="98"/>
      <c r="Y332" s="98"/>
      <c r="Z332" s="98"/>
      <c r="AA332" s="98"/>
      <c r="AB332" s="98"/>
      <c r="AC332" s="98"/>
      <c r="AD332" s="98"/>
      <c r="AE332" s="98"/>
      <c r="AF332" s="98"/>
      <c r="AG332" s="98"/>
      <c r="AH332" s="98"/>
      <c r="AI332" s="98"/>
      <c r="AJ332" s="98"/>
      <c r="AK332" s="98"/>
      <c r="AL332" s="98"/>
      <c r="AM332" s="98"/>
      <c r="AN332" s="98"/>
      <c r="AO332" s="98"/>
    </row>
    <row r="333" spans="1:41" ht="15.75" customHeight="1" x14ac:dyDescent="0.2">
      <c r="A333" s="65" t="s">
        <v>151</v>
      </c>
      <c r="B333" s="243">
        <f>('Pivot Table for Data Exchange'!$M$403)*100</f>
        <v>76.529336633683613</v>
      </c>
      <c r="C333" s="243">
        <f>('Pivot Table for Data Exchange'!$M$406)*100</f>
        <v>6.8261438711690516</v>
      </c>
      <c r="D333" s="249">
        <f>SUM(E333:G333)</f>
        <v>16.644519495147325</v>
      </c>
      <c r="E333" s="243">
        <f>('Pivot Table for Data Exchange'!$M$409)*100</f>
        <v>15.821637333513108</v>
      </c>
      <c r="F333" s="243">
        <f>('Pivot Table for Data Exchange'!$M$412)*100</f>
        <v>0.82288216163421846</v>
      </c>
      <c r="G333" s="245">
        <f>('Pivot Table for Data Exchange'!$M$415)*100</f>
        <v>0</v>
      </c>
      <c r="H333" s="243">
        <f>('Pivot Table for Data Exchange'!$M$418)*100</f>
        <v>0</v>
      </c>
      <c r="I333" s="65"/>
      <c r="J333" s="81"/>
      <c r="K333" s="81"/>
      <c r="L333" s="81"/>
      <c r="M333" s="81"/>
      <c r="N333" s="81"/>
      <c r="O333" s="81"/>
      <c r="P333" s="81"/>
      <c r="Q333" s="248">
        <f t="shared" si="39"/>
        <v>99.999999999999986</v>
      </c>
      <c r="R333" s="97"/>
      <c r="S333" s="98"/>
      <c r="T333" s="98"/>
      <c r="U333" s="98"/>
      <c r="V333" s="98"/>
      <c r="W333" s="98"/>
      <c r="X333" s="98"/>
      <c r="Y333" s="98"/>
      <c r="Z333" s="98"/>
      <c r="AA333" s="98"/>
      <c r="AB333" s="98"/>
      <c r="AC333" s="98"/>
      <c r="AD333" s="98"/>
      <c r="AE333" s="98"/>
      <c r="AF333" s="98"/>
      <c r="AG333" s="98"/>
      <c r="AH333" s="98"/>
      <c r="AI333" s="98"/>
      <c r="AJ333" s="98"/>
      <c r="AK333" s="98"/>
      <c r="AL333" s="98"/>
      <c r="AM333" s="98"/>
      <c r="AN333" s="98"/>
      <c r="AO333" s="98"/>
    </row>
    <row r="334" spans="1:41" ht="12.75" customHeight="1" x14ac:dyDescent="0.2">
      <c r="A334" s="65"/>
      <c r="B334" s="243"/>
      <c r="C334" s="243"/>
      <c r="D334" s="249"/>
      <c r="E334" s="243"/>
      <c r="F334" s="243"/>
      <c r="G334" s="245"/>
      <c r="H334" s="243"/>
      <c r="I334" s="65"/>
      <c r="J334" s="81"/>
      <c r="K334" s="81"/>
      <c r="L334" s="81"/>
      <c r="M334" s="81"/>
      <c r="N334" s="81"/>
      <c r="O334" s="81"/>
      <c r="P334" s="81"/>
      <c r="Q334" s="248">
        <f t="shared" si="39"/>
        <v>0</v>
      </c>
      <c r="R334" s="97"/>
      <c r="S334" s="98"/>
      <c r="T334" s="98"/>
      <c r="U334" s="98"/>
      <c r="V334" s="98"/>
      <c r="W334" s="98"/>
      <c r="X334" s="98"/>
      <c r="Y334" s="98"/>
      <c r="Z334" s="98"/>
      <c r="AA334" s="98"/>
      <c r="AB334" s="98"/>
      <c r="AC334" s="98"/>
      <c r="AD334" s="98"/>
      <c r="AE334" s="98"/>
      <c r="AF334" s="98"/>
      <c r="AG334" s="98"/>
      <c r="AH334" s="98"/>
      <c r="AI334" s="98"/>
      <c r="AJ334" s="98"/>
      <c r="AK334" s="98"/>
      <c r="AL334" s="98"/>
      <c r="AM334" s="98"/>
      <c r="AN334" s="98"/>
      <c r="AO334" s="98"/>
    </row>
    <row r="335" spans="1:41" ht="15.75" customHeight="1" x14ac:dyDescent="0.2">
      <c r="A335" s="65" t="s">
        <v>152</v>
      </c>
      <c r="B335" s="243">
        <f>('Pivot Table for Data Exchange'!$M$439)*100</f>
        <v>41.117682220510567</v>
      </c>
      <c r="C335" s="243">
        <f>('Pivot Table for Data Exchange'!$M$442)*100</f>
        <v>31.017167006668672</v>
      </c>
      <c r="D335" s="249">
        <f>SUM(E335:G335)</f>
        <v>27.583645883619891</v>
      </c>
      <c r="E335" s="243">
        <f>('Pivot Table for Data Exchange'!$M$445)*100</f>
        <v>16.477619163415387</v>
      </c>
      <c r="F335" s="243">
        <f>('Pivot Table for Data Exchange'!$M$448)*100</f>
        <v>3.9250166806620514</v>
      </c>
      <c r="G335" s="245">
        <f>('Pivot Table for Data Exchange'!$M$451)*100</f>
        <v>7.1810100395424525</v>
      </c>
      <c r="H335" s="243">
        <f>('Pivot Table for Data Exchange'!$M$454)*100</f>
        <v>0.28150488920087352</v>
      </c>
      <c r="I335" s="65"/>
      <c r="J335" s="81"/>
      <c r="K335" s="81"/>
      <c r="L335" s="81"/>
      <c r="M335" s="81"/>
      <c r="N335" s="81"/>
      <c r="O335" s="81"/>
      <c r="P335" s="81"/>
      <c r="Q335" s="248">
        <f t="shared" si="39"/>
        <v>100.00000000000001</v>
      </c>
      <c r="R335" s="97"/>
      <c r="S335" s="98"/>
      <c r="T335" s="98"/>
      <c r="U335" s="98"/>
      <c r="V335" s="98"/>
      <c r="W335" s="98"/>
      <c r="X335" s="98"/>
      <c r="Y335" s="98"/>
      <c r="Z335" s="98"/>
      <c r="AA335" s="98"/>
      <c r="AB335" s="98"/>
      <c r="AC335" s="98"/>
      <c r="AD335" s="98"/>
      <c r="AE335" s="98"/>
      <c r="AF335" s="98"/>
      <c r="AG335" s="98"/>
      <c r="AH335" s="98"/>
      <c r="AI335" s="98"/>
      <c r="AJ335" s="98"/>
      <c r="AK335" s="98"/>
      <c r="AL335" s="98"/>
      <c r="AM335" s="98"/>
      <c r="AN335" s="98"/>
      <c r="AO335" s="98"/>
    </row>
    <row r="336" spans="1:41" ht="15.75" customHeight="1" x14ac:dyDescent="0.2">
      <c r="A336" s="65" t="s">
        <v>153</v>
      </c>
      <c r="B336" s="243">
        <f>('Pivot Table for Data Exchange'!$M$475)*100</f>
        <v>55.498477987221364</v>
      </c>
      <c r="C336" s="243">
        <f>('Pivot Table for Data Exchange'!$M$478)*100</f>
        <v>20.197193376633589</v>
      </c>
      <c r="D336" s="249">
        <f>SUM(E336:G336)</f>
        <v>24.304328636145044</v>
      </c>
      <c r="E336" s="243">
        <f>('Pivot Table for Data Exchange'!$M$481)*100</f>
        <v>21.748731011370293</v>
      </c>
      <c r="F336" s="243">
        <f>('Pivot Table for Data Exchange'!$M$484)*100</f>
        <v>2.3603553812810691</v>
      </c>
      <c r="G336" s="245">
        <f>('Pivot Table for Data Exchange'!$M$487)*100</f>
        <v>0.19524224349368008</v>
      </c>
      <c r="H336" s="243">
        <f>('Pivot Table for Data Exchange'!$M$490)*100</f>
        <v>0</v>
      </c>
      <c r="I336" s="65"/>
      <c r="J336" s="81"/>
      <c r="K336" s="81"/>
      <c r="L336" s="81"/>
      <c r="M336" s="81"/>
      <c r="N336" s="81"/>
      <c r="O336" s="81"/>
      <c r="P336" s="81"/>
      <c r="Q336" s="248">
        <f t="shared" si="39"/>
        <v>100</v>
      </c>
      <c r="R336" s="97"/>
      <c r="S336" s="98"/>
      <c r="T336" s="98"/>
      <c r="U336" s="98"/>
      <c r="V336" s="98"/>
      <c r="W336" s="98"/>
      <c r="X336" s="98"/>
      <c r="Y336" s="98"/>
      <c r="Z336" s="98"/>
      <c r="AA336" s="98"/>
      <c r="AB336" s="98"/>
      <c r="AC336" s="98"/>
      <c r="AD336" s="98"/>
      <c r="AE336" s="98"/>
      <c r="AF336" s="98"/>
      <c r="AG336" s="98"/>
      <c r="AH336" s="98"/>
      <c r="AI336" s="98"/>
      <c r="AJ336" s="98"/>
      <c r="AK336" s="98"/>
      <c r="AL336" s="98"/>
      <c r="AM336" s="98"/>
      <c r="AN336" s="98"/>
      <c r="AO336" s="98"/>
    </row>
    <row r="337" spans="1:41" ht="15.75" customHeight="1" x14ac:dyDescent="0.2">
      <c r="A337" s="65" t="s">
        <v>154</v>
      </c>
      <c r="B337" s="243">
        <f>('Pivot Table for Data Exchange'!$M$511)*100</f>
        <v>50.850992197510315</v>
      </c>
      <c r="C337" s="243">
        <f>('Pivot Table for Data Exchange'!$M$514)*100</f>
        <v>20.273821631473112</v>
      </c>
      <c r="D337" s="249">
        <f>SUM(E337:G337)</f>
        <v>28.875186171016569</v>
      </c>
      <c r="E337" s="243">
        <f>('Pivot Table for Data Exchange'!$M$517)*100</f>
        <v>25.336126982163425</v>
      </c>
      <c r="F337" s="243">
        <f>('Pivot Table for Data Exchange'!$M$520)*100</f>
        <v>3.5390591888531442</v>
      </c>
      <c r="G337" s="245">
        <f>('Pivot Table for Data Exchange'!$M$523)*100</f>
        <v>0</v>
      </c>
      <c r="H337" s="243">
        <f>('Pivot Table for Data Exchange'!$M$526)*100</f>
        <v>0</v>
      </c>
      <c r="I337" s="65"/>
      <c r="J337" s="81"/>
      <c r="K337" s="81"/>
      <c r="L337" s="81"/>
      <c r="M337" s="81"/>
      <c r="N337" s="81"/>
      <c r="O337" s="81"/>
      <c r="P337" s="81"/>
      <c r="Q337" s="248">
        <f t="shared" si="39"/>
        <v>100</v>
      </c>
      <c r="R337" s="97"/>
      <c r="S337" s="98"/>
      <c r="T337" s="98"/>
      <c r="U337" s="98"/>
      <c r="V337" s="98"/>
      <c r="W337" s="98"/>
      <c r="X337" s="98"/>
      <c r="Y337" s="98"/>
      <c r="Z337" s="98"/>
      <c r="AA337" s="98"/>
      <c r="AB337" s="98"/>
      <c r="AC337" s="98"/>
      <c r="AD337" s="98"/>
      <c r="AE337" s="98"/>
      <c r="AF337" s="98"/>
      <c r="AG337" s="98"/>
      <c r="AH337" s="98"/>
      <c r="AI337" s="98"/>
      <c r="AJ337" s="98"/>
      <c r="AK337" s="98"/>
      <c r="AL337" s="98"/>
      <c r="AM337" s="98"/>
      <c r="AN337" s="98"/>
      <c r="AO337" s="98"/>
    </row>
    <row r="338" spans="1:41" ht="15.75" customHeight="1" x14ac:dyDescent="0.2">
      <c r="A338" s="39" t="s">
        <v>155</v>
      </c>
      <c r="B338" s="246">
        <f>('Pivot Table for Data Exchange'!$M$547)*100</f>
        <v>62.296726504751845</v>
      </c>
      <c r="C338" s="246">
        <f>('Pivot Table for Data Exchange'!$M$550)*100</f>
        <v>18.209081309398098</v>
      </c>
      <c r="D338" s="250">
        <f>SUM(E338:G338)</f>
        <v>19.49419218585005</v>
      </c>
      <c r="E338" s="246">
        <f>('Pivot Table for Data Exchange'!$M$553)*100</f>
        <v>15.801478352692714</v>
      </c>
      <c r="F338" s="246">
        <f>('Pivot Table for Data Exchange'!$M$556)*100</f>
        <v>3.6737064413938749</v>
      </c>
      <c r="G338" s="255">
        <f>('Pivot Table for Data Exchange'!$M$559)*100</f>
        <v>1.9007391763463569E-2</v>
      </c>
      <c r="H338" s="246">
        <f>('Pivot Table for Data Exchange'!$M$562)*100</f>
        <v>0</v>
      </c>
      <c r="I338" s="65"/>
      <c r="J338" s="81"/>
      <c r="K338" s="81"/>
      <c r="L338" s="81"/>
      <c r="M338" s="81"/>
      <c r="N338" s="81"/>
      <c r="O338" s="81"/>
      <c r="P338" s="81"/>
      <c r="Q338" s="248">
        <f t="shared" si="39"/>
        <v>100</v>
      </c>
      <c r="R338" s="97"/>
      <c r="S338" s="98"/>
      <c r="T338" s="98"/>
      <c r="U338" s="98"/>
      <c r="V338" s="98"/>
      <c r="W338" s="98"/>
      <c r="X338" s="98"/>
      <c r="Y338" s="98"/>
      <c r="Z338" s="98"/>
      <c r="AA338" s="98"/>
      <c r="AB338" s="98"/>
      <c r="AC338" s="98"/>
      <c r="AD338" s="98"/>
      <c r="AE338" s="98"/>
      <c r="AF338" s="98"/>
      <c r="AG338" s="98"/>
      <c r="AH338" s="98"/>
      <c r="AI338" s="98"/>
      <c r="AJ338" s="98"/>
      <c r="AK338" s="98"/>
      <c r="AL338" s="98"/>
      <c r="AM338" s="98"/>
      <c r="AN338" s="98"/>
      <c r="AO338" s="98"/>
    </row>
    <row r="339" spans="1:41" s="103" customFormat="1" ht="21" customHeight="1" x14ac:dyDescent="0.2">
      <c r="A339" s="24" t="s">
        <v>175</v>
      </c>
      <c r="B339" s="69"/>
      <c r="C339" s="69"/>
      <c r="D339" s="70"/>
      <c r="E339" s="69"/>
      <c r="F339" s="70"/>
      <c r="G339" s="70"/>
      <c r="H339" s="69"/>
      <c r="I339" s="24"/>
      <c r="J339" s="69"/>
      <c r="K339" s="69"/>
      <c r="L339" s="70"/>
      <c r="M339" s="69"/>
      <c r="N339" s="70"/>
      <c r="O339" s="70"/>
      <c r="P339" s="69"/>
      <c r="Q339" s="248">
        <f t="shared" si="39"/>
        <v>0</v>
      </c>
      <c r="R339" s="101"/>
      <c r="S339" s="102"/>
      <c r="T339" s="102"/>
      <c r="U339" s="102"/>
      <c r="V339" s="102"/>
      <c r="W339" s="102"/>
      <c r="X339" s="102"/>
      <c r="Y339" s="102"/>
      <c r="Z339" s="102"/>
      <c r="AA339" s="102"/>
      <c r="AB339" s="102"/>
      <c r="AC339" s="102"/>
      <c r="AD339" s="102"/>
      <c r="AE339" s="102"/>
      <c r="AF339" s="102"/>
      <c r="AG339" s="102"/>
      <c r="AH339" s="102"/>
      <c r="AI339" s="102"/>
      <c r="AJ339" s="102"/>
      <c r="AK339" s="102"/>
      <c r="AL339" s="102"/>
      <c r="AM339" s="102"/>
      <c r="AN339" s="102"/>
      <c r="AO339" s="102"/>
    </row>
    <row r="340" spans="1:41" s="103" customFormat="1" ht="27" customHeight="1" x14ac:dyDescent="0.25">
      <c r="A340" s="680" t="s">
        <v>180</v>
      </c>
      <c r="B340" s="682"/>
      <c r="C340" s="682"/>
      <c r="D340" s="682"/>
      <c r="E340" s="682"/>
      <c r="F340" s="682"/>
      <c r="G340" s="682"/>
      <c r="H340" s="682"/>
      <c r="I340" s="24"/>
      <c r="J340" s="25"/>
      <c r="K340" s="25"/>
      <c r="L340" s="25"/>
      <c r="M340" s="25"/>
      <c r="N340" s="25"/>
      <c r="O340" s="25"/>
      <c r="P340" s="77"/>
      <c r="Q340" s="248">
        <f t="shared" si="39"/>
        <v>0</v>
      </c>
      <c r="R340" s="106"/>
    </row>
    <row r="341" spans="1:41" s="103" customFormat="1" ht="11.25" customHeight="1" x14ac:dyDescent="0.25">
      <c r="A341" s="660"/>
      <c r="B341" s="661"/>
      <c r="C341" s="661"/>
      <c r="D341" s="661"/>
      <c r="E341" s="661"/>
      <c r="F341" s="661"/>
      <c r="G341" s="661"/>
      <c r="H341" s="661"/>
      <c r="I341" s="24"/>
      <c r="J341" s="25"/>
      <c r="K341" s="25"/>
      <c r="L341" s="25"/>
      <c r="M341" s="25"/>
      <c r="N341" s="25"/>
      <c r="O341" s="25"/>
      <c r="P341" s="77"/>
      <c r="Q341" s="248"/>
      <c r="R341" s="106"/>
    </row>
    <row r="342" spans="1:41" s="103" customFormat="1" x14ac:dyDescent="0.2">
      <c r="A342" s="25"/>
      <c r="B342" s="25"/>
      <c r="C342" s="25"/>
      <c r="D342" s="25"/>
      <c r="E342" s="25"/>
      <c r="F342" s="25"/>
      <c r="G342" s="25"/>
      <c r="H342" s="27" t="s">
        <v>914</v>
      </c>
      <c r="I342" s="26"/>
      <c r="J342" s="26"/>
      <c r="K342" s="26"/>
      <c r="L342" s="26"/>
      <c r="M342" s="26"/>
      <c r="N342" s="26"/>
      <c r="O342" s="26"/>
      <c r="P342" s="26"/>
      <c r="Q342" s="248">
        <f t="shared" si="39"/>
        <v>0</v>
      </c>
      <c r="R342" s="105"/>
    </row>
    <row r="343" spans="1:41" ht="18" x14ac:dyDescent="0.25">
      <c r="A343" s="16" t="s">
        <v>212</v>
      </c>
      <c r="B343" s="34"/>
      <c r="C343" s="34"/>
      <c r="D343" s="34"/>
      <c r="E343" s="34"/>
      <c r="F343" s="34"/>
      <c r="G343" s="34"/>
      <c r="H343" s="35"/>
      <c r="I343" s="80"/>
      <c r="J343" s="65"/>
      <c r="K343" s="65"/>
      <c r="L343" s="35"/>
      <c r="M343" s="65"/>
      <c r="N343" s="65"/>
      <c r="O343" s="65"/>
      <c r="P343" s="65"/>
      <c r="Q343" s="248">
        <f t="shared" si="39"/>
        <v>0</v>
      </c>
    </row>
    <row r="344" spans="1:41" x14ac:dyDescent="0.2">
      <c r="A344" s="18"/>
      <c r="B344" s="19"/>
      <c r="C344" s="19"/>
      <c r="D344" s="19"/>
      <c r="E344" s="19"/>
      <c r="F344" s="19"/>
      <c r="G344" s="19"/>
      <c r="H344" s="36"/>
      <c r="I344" s="80"/>
      <c r="J344" s="65"/>
      <c r="K344" s="65"/>
      <c r="L344" s="65"/>
      <c r="M344" s="65"/>
      <c r="N344" s="65"/>
      <c r="O344" s="65"/>
      <c r="P344" s="65"/>
      <c r="Q344" s="248">
        <f t="shared" si="39"/>
        <v>0</v>
      </c>
    </row>
    <row r="345" spans="1:41" ht="15.75" x14ac:dyDescent="0.25">
      <c r="A345" s="37" t="s">
        <v>162</v>
      </c>
      <c r="B345" s="19"/>
      <c r="C345" s="19"/>
      <c r="D345" s="19"/>
      <c r="E345" s="19"/>
      <c r="F345" s="19"/>
      <c r="G345" s="19"/>
      <c r="H345" s="36"/>
      <c r="I345" s="80"/>
      <c r="J345" s="65"/>
      <c r="K345" s="65"/>
      <c r="L345" s="36"/>
      <c r="M345" s="65"/>
      <c r="N345" s="65"/>
      <c r="O345" s="65"/>
      <c r="P345" s="65"/>
      <c r="Q345" s="248">
        <f t="shared" si="39"/>
        <v>0</v>
      </c>
    </row>
    <row r="346" spans="1:41" ht="15.75" x14ac:dyDescent="0.25">
      <c r="A346" s="37" t="s">
        <v>877</v>
      </c>
      <c r="B346" s="19"/>
      <c r="C346" s="19"/>
      <c r="D346" s="19"/>
      <c r="E346" s="19"/>
      <c r="F346" s="19"/>
      <c r="G346" s="19"/>
      <c r="H346" s="36"/>
      <c r="I346" s="80"/>
      <c r="J346" s="65"/>
      <c r="K346" s="65"/>
      <c r="L346" s="65"/>
      <c r="M346" s="65"/>
      <c r="N346" s="65"/>
      <c r="O346" s="65"/>
      <c r="P346" s="65"/>
      <c r="Q346" s="248">
        <f t="shared" si="39"/>
        <v>0</v>
      </c>
    </row>
    <row r="347" spans="1:41" x14ac:dyDescent="0.2">
      <c r="A347" s="39"/>
      <c r="B347" s="40"/>
      <c r="C347" s="40"/>
      <c r="D347" s="40"/>
      <c r="E347" s="40"/>
      <c r="F347" s="40"/>
      <c r="G347" s="40"/>
      <c r="H347" s="40"/>
      <c r="I347" s="80"/>
      <c r="J347" s="65"/>
      <c r="K347" s="65"/>
      <c r="L347" s="65"/>
      <c r="M347" s="65"/>
      <c r="N347" s="65"/>
      <c r="O347" s="65"/>
      <c r="P347" s="65"/>
      <c r="Q347" s="248">
        <f t="shared" si="39"/>
        <v>0</v>
      </c>
    </row>
    <row r="348" spans="1:41" x14ac:dyDescent="0.2">
      <c r="A348" s="43"/>
      <c r="B348" s="44" t="s">
        <v>164</v>
      </c>
      <c r="C348" s="44"/>
      <c r="D348" s="44"/>
      <c r="E348" s="44"/>
      <c r="F348" s="44"/>
      <c r="G348" s="44"/>
      <c r="H348" s="45"/>
      <c r="I348" s="80"/>
      <c r="J348" s="65"/>
      <c r="K348" s="65"/>
      <c r="L348" s="65"/>
      <c r="M348" s="65"/>
      <c r="N348" s="65"/>
      <c r="O348" s="65"/>
      <c r="P348" s="65"/>
      <c r="Q348" s="248">
        <f t="shared" si="39"/>
        <v>0</v>
      </c>
    </row>
    <row r="349" spans="1:41" x14ac:dyDescent="0.2">
      <c r="A349" s="43"/>
      <c r="B349" s="44" t="s">
        <v>165</v>
      </c>
      <c r="C349" s="44"/>
      <c r="D349" s="670" t="s">
        <v>166</v>
      </c>
      <c r="E349" s="668"/>
      <c r="F349" s="668"/>
      <c r="G349" s="668"/>
      <c r="H349" s="49" t="s">
        <v>39</v>
      </c>
      <c r="I349" s="80"/>
      <c r="J349" s="65"/>
      <c r="K349" s="65"/>
      <c r="L349" s="65"/>
      <c r="M349" s="65"/>
      <c r="N349" s="65"/>
      <c r="O349" s="65"/>
      <c r="P349" s="65"/>
      <c r="Q349" s="248">
        <f t="shared" ref="Q349:Q412" si="44">SUM(B349,C349,D349,H349)</f>
        <v>0</v>
      </c>
    </row>
    <row r="350" spans="1:41" ht="36" x14ac:dyDescent="0.2">
      <c r="A350" s="43"/>
      <c r="B350" s="50" t="s">
        <v>167</v>
      </c>
      <c r="C350" s="51" t="s">
        <v>168</v>
      </c>
      <c r="D350" s="52" t="s">
        <v>169</v>
      </c>
      <c r="E350" s="53" t="s">
        <v>7</v>
      </c>
      <c r="F350" s="50" t="s">
        <v>170</v>
      </c>
      <c r="G350" s="54" t="s">
        <v>171</v>
      </c>
      <c r="H350" s="55" t="s">
        <v>172</v>
      </c>
      <c r="I350" s="80"/>
      <c r="J350" s="65"/>
      <c r="K350" s="65"/>
      <c r="L350" s="65"/>
      <c r="M350" s="65"/>
      <c r="N350" s="65"/>
      <c r="O350" s="65"/>
      <c r="P350" s="65"/>
      <c r="Q350" s="248">
        <f t="shared" si="44"/>
        <v>0</v>
      </c>
    </row>
    <row r="351" spans="1:41" ht="15.75" customHeight="1" x14ac:dyDescent="0.2">
      <c r="A351" s="62" t="s">
        <v>141</v>
      </c>
      <c r="B351" s="82">
        <f>('Pivot Table for Data Exchange'!$N$7)*100</f>
        <v>62.806008359252743</v>
      </c>
      <c r="C351" s="243">
        <f>('Pivot Table for Data Exchange'!$N$10)*100</f>
        <v>13.557443520408363</v>
      </c>
      <c r="D351" s="249">
        <f>SUM(E351:G351)</f>
        <v>23.636548120338901</v>
      </c>
      <c r="E351" s="243">
        <f>('Pivot Table for Data Exchange'!$N$13)*100</f>
        <v>23.291563086601393</v>
      </c>
      <c r="F351" s="243">
        <f>('Pivot Table for Data Exchange'!$N$16)*100</f>
        <v>0</v>
      </c>
      <c r="G351" s="60">
        <f>('Pivot Table for Data Exchange'!$N$19)*100</f>
        <v>0.344985033737507</v>
      </c>
      <c r="H351" s="243">
        <f>('Pivot Table for Data Exchange'!$N$22)*100</f>
        <v>0</v>
      </c>
      <c r="I351" s="65"/>
      <c r="J351" s="81"/>
      <c r="K351" s="81"/>
      <c r="L351" s="81"/>
      <c r="M351" s="81"/>
      <c r="N351" s="81"/>
      <c r="O351" s="81"/>
      <c r="P351" s="81"/>
      <c r="Q351" s="248">
        <f t="shared" si="44"/>
        <v>100.00000000000001</v>
      </c>
      <c r="R351" s="97"/>
      <c r="S351" s="98"/>
      <c r="T351" s="98"/>
      <c r="U351" s="98"/>
      <c r="V351" s="98"/>
      <c r="W351" s="98"/>
      <c r="X351" s="98"/>
      <c r="Y351" s="98"/>
      <c r="Z351" s="98"/>
      <c r="AA351" s="98"/>
      <c r="AB351" s="98"/>
      <c r="AC351" s="98"/>
      <c r="AD351" s="98"/>
      <c r="AE351" s="98"/>
      <c r="AF351" s="98"/>
      <c r="AG351" s="98"/>
      <c r="AH351" s="98"/>
      <c r="AI351" s="98"/>
      <c r="AJ351" s="98"/>
      <c r="AK351" s="98"/>
      <c r="AL351" s="98"/>
      <c r="AM351" s="98"/>
      <c r="AN351" s="98"/>
      <c r="AO351" s="98"/>
    </row>
    <row r="352" spans="1:41" ht="15.75" customHeight="1" x14ac:dyDescent="0.2">
      <c r="A352" s="65" t="s">
        <v>142</v>
      </c>
      <c r="B352" s="243">
        <f>('Pivot Table for Data Exchange'!$N$43)*100</f>
        <v>68.540320816035219</v>
      </c>
      <c r="C352" s="243">
        <f>('Pivot Table for Data Exchange'!$N$46)*100</f>
        <v>11.829632381771964</v>
      </c>
      <c r="D352" s="249">
        <f t="shared" ref="D352:D354" si="45">SUM(E352:G352)</f>
        <v>19.626522319520788</v>
      </c>
      <c r="E352" s="243">
        <f>('Pivot Table for Data Exchange'!$N$49)*100</f>
        <v>18.168708174303291</v>
      </c>
      <c r="F352" s="243">
        <f>('Pivot Table for Data Exchange'!$N$52)*100</f>
        <v>1.4271217752819219</v>
      </c>
      <c r="G352" s="68">
        <f>('Pivot Table for Data Exchange'!$N$55)*100</f>
        <v>3.0692369935575392E-2</v>
      </c>
      <c r="H352" s="61">
        <f>('Pivot Table for Data Exchange'!$N$58)*100</f>
        <v>3.5244826720277965E-3</v>
      </c>
      <c r="I352" s="65"/>
      <c r="J352" s="81"/>
      <c r="K352" s="81"/>
      <c r="L352" s="81"/>
      <c r="M352" s="81"/>
      <c r="N352" s="81"/>
      <c r="O352" s="81"/>
      <c r="P352" s="81"/>
      <c r="Q352" s="248">
        <f t="shared" si="44"/>
        <v>100</v>
      </c>
      <c r="R352" s="97"/>
      <c r="S352" s="98"/>
      <c r="T352" s="98"/>
      <c r="U352" s="98"/>
      <c r="V352" s="98"/>
      <c r="W352" s="98"/>
      <c r="X352" s="98"/>
      <c r="Y352" s="98"/>
      <c r="Z352" s="98"/>
      <c r="AA352" s="98"/>
      <c r="AB352" s="98"/>
      <c r="AC352" s="98"/>
      <c r="AD352" s="98"/>
      <c r="AE352" s="98"/>
      <c r="AF352" s="98"/>
      <c r="AG352" s="98"/>
      <c r="AH352" s="98"/>
      <c r="AI352" s="98"/>
      <c r="AJ352" s="98"/>
      <c r="AK352" s="98"/>
      <c r="AL352" s="98"/>
      <c r="AM352" s="98"/>
      <c r="AN352" s="98"/>
      <c r="AO352" s="98"/>
    </row>
    <row r="353" spans="1:41" ht="15.75" customHeight="1" x14ac:dyDescent="0.2">
      <c r="A353" s="65" t="s">
        <v>143</v>
      </c>
      <c r="B353" s="243">
        <f>('Pivot Table for Data Exchange'!$N$79)*100</f>
        <v>0</v>
      </c>
      <c r="C353" s="243">
        <f>('Pivot Table for Data Exchange'!$N$82)*100</f>
        <v>0</v>
      </c>
      <c r="D353" s="249">
        <f t="shared" si="45"/>
        <v>0</v>
      </c>
      <c r="E353" s="243">
        <f>('Pivot Table for Data Exchange'!$N$85)*100</f>
        <v>0</v>
      </c>
      <c r="F353" s="243">
        <f>('Pivot Table for Data Exchange'!$N$88)*100</f>
        <v>0</v>
      </c>
      <c r="G353" s="245">
        <f>('Pivot Table for Data Exchange'!$N$91)*100</f>
        <v>0</v>
      </c>
      <c r="H353" s="243">
        <f>('Pivot Table for Data Exchange'!$N$94)*100</f>
        <v>0</v>
      </c>
      <c r="I353" s="65"/>
      <c r="J353" s="81"/>
      <c r="K353" s="81"/>
      <c r="L353" s="81"/>
      <c r="M353" s="81"/>
      <c r="N353" s="81"/>
      <c r="O353" s="81"/>
      <c r="P353" s="81"/>
      <c r="Q353" s="248">
        <f t="shared" si="44"/>
        <v>0</v>
      </c>
      <c r="R353" s="97"/>
      <c r="S353" s="98"/>
      <c r="T353" s="104"/>
      <c r="U353" s="98"/>
      <c r="V353" s="98"/>
      <c r="W353" s="98"/>
      <c r="X353" s="98"/>
      <c r="Y353" s="98"/>
      <c r="Z353" s="98"/>
      <c r="AA353" s="98"/>
      <c r="AB353" s="98"/>
      <c r="AC353" s="98"/>
      <c r="AD353" s="98"/>
      <c r="AE353" s="98"/>
      <c r="AF353" s="98"/>
      <c r="AG353" s="98"/>
      <c r="AH353" s="98"/>
      <c r="AI353" s="98"/>
      <c r="AJ353" s="98"/>
      <c r="AK353" s="98"/>
      <c r="AL353" s="98"/>
      <c r="AM353" s="98"/>
      <c r="AN353" s="98"/>
      <c r="AO353" s="98"/>
    </row>
    <row r="354" spans="1:41" ht="15.75" customHeight="1" x14ac:dyDescent="0.2">
      <c r="A354" s="65" t="s">
        <v>174</v>
      </c>
      <c r="B354" s="243">
        <f>('Pivot Table for Data Exchange'!$N$115)*100</f>
        <v>61.838847168662468</v>
      </c>
      <c r="C354" s="243">
        <f>('Pivot Table for Data Exchange'!$N$118)*100</f>
        <v>3.0079155672823221</v>
      </c>
      <c r="D354" s="249">
        <f t="shared" si="45"/>
        <v>35.153237264055207</v>
      </c>
      <c r="E354" s="243">
        <f>('Pivot Table for Data Exchange'!$N$121)*100</f>
        <v>21.197483255530749</v>
      </c>
      <c r="F354" s="243">
        <f>('Pivot Table for Data Exchange'!$N$124)*100</f>
        <v>0</v>
      </c>
      <c r="G354" s="245">
        <f>('Pivot Table for Data Exchange'!$N$127)*100</f>
        <v>13.955754008524456</v>
      </c>
      <c r="H354" s="243">
        <f>('Pivot Table for Data Exchange'!$N$130)*100</f>
        <v>0</v>
      </c>
      <c r="I354" s="65"/>
      <c r="J354" s="81"/>
      <c r="K354" s="81"/>
      <c r="L354" s="81"/>
      <c r="M354" s="81"/>
      <c r="N354" s="81"/>
      <c r="O354" s="81"/>
      <c r="P354" s="81"/>
      <c r="Q354" s="248">
        <f t="shared" si="44"/>
        <v>100</v>
      </c>
      <c r="R354" s="97"/>
      <c r="S354" s="98"/>
      <c r="U354" s="98"/>
      <c r="V354" s="98"/>
      <c r="W354" s="98"/>
      <c r="X354" s="98"/>
      <c r="Y354" s="98"/>
      <c r="Z354" s="98"/>
      <c r="AA354" s="98"/>
      <c r="AB354" s="98"/>
      <c r="AC354" s="98"/>
      <c r="AD354" s="98"/>
      <c r="AE354" s="98"/>
      <c r="AF354" s="98"/>
      <c r="AG354" s="98"/>
      <c r="AH354" s="98"/>
      <c r="AI354" s="98"/>
      <c r="AJ354" s="98"/>
      <c r="AK354" s="98"/>
      <c r="AL354" s="98"/>
      <c r="AM354" s="98"/>
      <c r="AN354" s="98"/>
      <c r="AO354" s="98"/>
    </row>
    <row r="355" spans="1:41" ht="15.75" customHeight="1" x14ac:dyDescent="0.2">
      <c r="A355" s="65"/>
      <c r="B355" s="243"/>
      <c r="C355" s="243"/>
      <c r="D355" s="249"/>
      <c r="E355" s="243"/>
      <c r="F355" s="243"/>
      <c r="G355" s="245"/>
      <c r="H355" s="243"/>
      <c r="I355" s="65"/>
      <c r="J355" s="81"/>
      <c r="K355" s="81"/>
      <c r="L355" s="81"/>
      <c r="M355" s="81"/>
      <c r="N355" s="81"/>
      <c r="O355" s="81"/>
      <c r="P355" s="81"/>
      <c r="Q355" s="248">
        <f t="shared" si="44"/>
        <v>0</v>
      </c>
      <c r="R355" s="97"/>
      <c r="S355" s="98"/>
      <c r="U355" s="98"/>
      <c r="V355" s="98"/>
      <c r="W355" s="98"/>
      <c r="X355" s="98"/>
      <c r="Y355" s="98"/>
      <c r="Z355" s="98"/>
      <c r="AA355" s="98"/>
      <c r="AB355" s="98"/>
      <c r="AC355" s="98"/>
      <c r="AD355" s="98"/>
      <c r="AE355" s="98"/>
      <c r="AF355" s="98"/>
      <c r="AG355" s="98"/>
      <c r="AH355" s="98"/>
      <c r="AI355" s="98"/>
      <c r="AJ355" s="98"/>
      <c r="AK355" s="98"/>
      <c r="AL355" s="98"/>
      <c r="AM355" s="98"/>
      <c r="AN355" s="98"/>
      <c r="AO355" s="98"/>
    </row>
    <row r="356" spans="1:41" ht="15.75" customHeight="1" x14ac:dyDescent="0.2">
      <c r="A356" s="65" t="s">
        <v>145</v>
      </c>
      <c r="B356" s="243">
        <f>('Pivot Table for Data Exchange'!$N$151)*100</f>
        <v>73.890657299024767</v>
      </c>
      <c r="C356" s="243">
        <f>('Pivot Table for Data Exchange'!$N$154)*100</f>
        <v>22.415126881665884</v>
      </c>
      <c r="D356" s="249">
        <f t="shared" ref="D356:D357" si="46">SUM(E356:G356)</f>
        <v>3.6942158193093477</v>
      </c>
      <c r="E356" s="243">
        <f>('Pivot Table for Data Exchange'!$N$157)*100</f>
        <v>2.6099197240434733</v>
      </c>
      <c r="F356" s="243">
        <f>('Pivot Table for Data Exchange'!$N$160)*100</f>
        <v>0</v>
      </c>
      <c r="G356" s="245">
        <f>('Pivot Table for Data Exchange'!$N$163)*100</f>
        <v>1.0842960952658744</v>
      </c>
      <c r="H356" s="243">
        <f>('Pivot Table for Data Exchange'!$N$166)*100</f>
        <v>0</v>
      </c>
      <c r="I356" s="65"/>
      <c r="J356" s="81"/>
      <c r="K356" s="81"/>
      <c r="L356" s="81"/>
      <c r="M356" s="81"/>
      <c r="N356" s="81"/>
      <c r="O356" s="81"/>
      <c r="P356" s="81"/>
      <c r="Q356" s="248">
        <f t="shared" si="44"/>
        <v>100</v>
      </c>
      <c r="R356" s="97"/>
      <c r="S356" s="98"/>
      <c r="T356" s="98"/>
      <c r="U356" s="98"/>
      <c r="V356" s="98"/>
      <c r="W356" s="98"/>
      <c r="X356" s="98"/>
      <c r="Y356" s="98"/>
      <c r="Z356" s="98"/>
      <c r="AA356" s="98"/>
      <c r="AB356" s="98"/>
      <c r="AC356" s="98"/>
      <c r="AD356" s="98"/>
      <c r="AE356" s="98"/>
      <c r="AF356" s="98"/>
      <c r="AG356" s="98"/>
      <c r="AH356" s="98"/>
      <c r="AI356" s="98"/>
      <c r="AJ356" s="98"/>
      <c r="AK356" s="98"/>
      <c r="AL356" s="98"/>
      <c r="AM356" s="98"/>
      <c r="AN356" s="98"/>
      <c r="AO356" s="98"/>
    </row>
    <row r="357" spans="1:41" ht="15.75" customHeight="1" x14ac:dyDescent="0.2">
      <c r="A357" s="65" t="s">
        <v>146</v>
      </c>
      <c r="B357" s="243">
        <f>('Pivot Table for Data Exchange'!$N$187)*100</f>
        <v>55.975715070787423</v>
      </c>
      <c r="C357" s="243">
        <f>('Pivot Table for Data Exchange'!$N$190)*100</f>
        <v>1.4157485672415147</v>
      </c>
      <c r="D357" s="249">
        <f t="shared" si="46"/>
        <v>42.608536361971055</v>
      </c>
      <c r="E357" s="243">
        <f>('Pivot Table for Data Exchange'!$N$193)*100</f>
        <v>41.844398503127209</v>
      </c>
      <c r="F357" s="243">
        <f>('Pivot Table for Data Exchange'!$N$196)*100</f>
        <v>0.76413785884384899</v>
      </c>
      <c r="G357" s="245">
        <f>('Pivot Table for Data Exchange'!$N$199)*100</f>
        <v>0</v>
      </c>
      <c r="H357" s="243">
        <f>('Pivot Table for Data Exchange'!$N$202)*100</f>
        <v>0</v>
      </c>
      <c r="I357" s="65"/>
      <c r="J357" s="81"/>
      <c r="K357" s="81"/>
      <c r="L357" s="81"/>
      <c r="M357" s="81"/>
      <c r="N357" s="81"/>
      <c r="O357" s="81"/>
      <c r="P357" s="81"/>
      <c r="Q357" s="248">
        <f t="shared" si="44"/>
        <v>100</v>
      </c>
      <c r="R357" s="97"/>
      <c r="S357" s="98"/>
      <c r="T357" s="98"/>
      <c r="U357" s="98"/>
      <c r="V357" s="98"/>
      <c r="W357" s="98"/>
      <c r="X357" s="98"/>
      <c r="Y357" s="98"/>
      <c r="Z357" s="98"/>
      <c r="AA357" s="98"/>
      <c r="AB357" s="98"/>
      <c r="AC357" s="98"/>
      <c r="AD357" s="98"/>
      <c r="AE357" s="98"/>
      <c r="AF357" s="98"/>
      <c r="AG357" s="98"/>
      <c r="AH357" s="98"/>
      <c r="AI357" s="98"/>
      <c r="AJ357" s="98"/>
      <c r="AK357" s="98"/>
      <c r="AL357" s="98"/>
      <c r="AM357" s="98"/>
      <c r="AN357" s="98"/>
      <c r="AO357" s="98"/>
    </row>
    <row r="358" spans="1:41" ht="15.75" customHeight="1" x14ac:dyDescent="0.2">
      <c r="A358" s="65" t="s">
        <v>147</v>
      </c>
      <c r="B358" s="243">
        <f>('Pivot Table for Data Exchange'!$N$223)*100</f>
        <v>0</v>
      </c>
      <c r="C358" s="243">
        <f>('Pivot Table for Data Exchange'!$N$226)*100</f>
        <v>0</v>
      </c>
      <c r="D358" s="249">
        <f>SUM(E358:G358)</f>
        <v>0</v>
      </c>
      <c r="E358" s="243">
        <f>('Pivot Table for Data Exchange'!$N$229)*100</f>
        <v>0</v>
      </c>
      <c r="F358" s="243">
        <f>('Pivot Table for Data Exchange'!$N$232)*100</f>
        <v>0</v>
      </c>
      <c r="G358" s="245">
        <f>('Pivot Table for Data Exchange'!$N$235)*100</f>
        <v>0</v>
      </c>
      <c r="H358" s="243">
        <f>('Pivot Table for Data Exchange'!$N$238)*100</f>
        <v>0</v>
      </c>
      <c r="I358" s="65"/>
      <c r="J358" s="81"/>
      <c r="K358" s="81"/>
      <c r="L358" s="81"/>
      <c r="M358" s="81"/>
      <c r="N358" s="81"/>
      <c r="O358" s="81"/>
      <c r="P358" s="81"/>
      <c r="Q358" s="248">
        <f t="shared" si="44"/>
        <v>0</v>
      </c>
      <c r="R358" s="97"/>
      <c r="S358" s="98"/>
      <c r="T358" s="104"/>
      <c r="U358" s="98"/>
      <c r="V358" s="98"/>
      <c r="W358" s="98"/>
      <c r="X358" s="98"/>
      <c r="Y358" s="98"/>
      <c r="Z358" s="98"/>
      <c r="AA358" s="98"/>
      <c r="AB358" s="98"/>
      <c r="AC358" s="98"/>
      <c r="AD358" s="98"/>
      <c r="AE358" s="98"/>
      <c r="AF358" s="98"/>
      <c r="AG358" s="98"/>
      <c r="AH358" s="98"/>
      <c r="AI358" s="98"/>
      <c r="AJ358" s="98"/>
      <c r="AK358" s="98"/>
      <c r="AL358" s="98"/>
      <c r="AM358" s="98"/>
      <c r="AN358" s="98"/>
      <c r="AO358" s="98"/>
    </row>
    <row r="359" spans="1:41" ht="15.75" customHeight="1" x14ac:dyDescent="0.2">
      <c r="A359" s="65" t="s">
        <v>177</v>
      </c>
      <c r="B359" s="243">
        <f>('Pivot Table for Data Exchange'!$N$259)*100</f>
        <v>72.309022820171819</v>
      </c>
      <c r="C359" s="243">
        <f>('Pivot Table for Data Exchange'!$N$262)*100</f>
        <v>7.8422413863437956</v>
      </c>
      <c r="D359" s="249">
        <f>SUM(E359:G359)</f>
        <v>19.84873579348438</v>
      </c>
      <c r="E359" s="243">
        <f>('Pivot Table for Data Exchange'!$N$265)*100</f>
        <v>19.006747330031736</v>
      </c>
      <c r="F359" s="243">
        <f>('Pivot Table for Data Exchange'!$N$268)*100</f>
        <v>0.84198846345264222</v>
      </c>
      <c r="G359" s="245">
        <f>('Pivot Table for Data Exchange'!$N$271)*100</f>
        <v>0</v>
      </c>
      <c r="H359" s="243">
        <f>('Pivot Table for Data Exchange'!$N$274)*100</f>
        <v>0</v>
      </c>
      <c r="I359" s="65"/>
      <c r="J359" s="81"/>
      <c r="K359" s="81"/>
      <c r="L359" s="81"/>
      <c r="M359" s="81"/>
      <c r="N359" s="81"/>
      <c r="O359" s="81"/>
      <c r="P359" s="81"/>
      <c r="Q359" s="248">
        <f t="shared" si="44"/>
        <v>100</v>
      </c>
      <c r="R359" s="97"/>
      <c r="S359" s="98"/>
      <c r="U359" s="98"/>
      <c r="V359" s="98"/>
      <c r="W359" s="98"/>
      <c r="X359" s="98"/>
      <c r="Y359" s="98"/>
      <c r="Z359" s="98"/>
      <c r="AA359" s="98"/>
      <c r="AB359" s="98"/>
      <c r="AC359" s="98"/>
      <c r="AD359" s="98"/>
      <c r="AE359" s="98"/>
      <c r="AF359" s="98"/>
      <c r="AG359" s="98"/>
      <c r="AH359" s="98"/>
      <c r="AI359" s="98"/>
      <c r="AJ359" s="98"/>
      <c r="AK359" s="98"/>
      <c r="AL359" s="98"/>
      <c r="AM359" s="98"/>
      <c r="AN359" s="98"/>
      <c r="AO359" s="98"/>
    </row>
    <row r="360" spans="1:41" ht="12.75" customHeight="1" x14ac:dyDescent="0.2">
      <c r="A360" s="65"/>
      <c r="B360" s="243"/>
      <c r="C360" s="243"/>
      <c r="D360" s="249"/>
      <c r="E360" s="243"/>
      <c r="F360" s="243"/>
      <c r="G360" s="245"/>
      <c r="H360" s="243"/>
      <c r="I360" s="65"/>
      <c r="J360" s="81"/>
      <c r="K360" s="81"/>
      <c r="L360" s="81"/>
      <c r="M360" s="81"/>
      <c r="N360" s="81"/>
      <c r="O360" s="81"/>
      <c r="P360" s="81"/>
      <c r="Q360" s="248">
        <f t="shared" si="44"/>
        <v>0</v>
      </c>
      <c r="R360" s="97"/>
      <c r="S360" s="98"/>
      <c r="U360" s="98"/>
      <c r="V360" s="98"/>
      <c r="W360" s="98"/>
      <c r="X360" s="98"/>
      <c r="Y360" s="98"/>
      <c r="Z360" s="98"/>
      <c r="AA360" s="98"/>
      <c r="AB360" s="98"/>
      <c r="AC360" s="98"/>
      <c r="AD360" s="98"/>
      <c r="AE360" s="98"/>
      <c r="AF360" s="98"/>
      <c r="AG360" s="98"/>
      <c r="AH360" s="98"/>
      <c r="AI360" s="98"/>
      <c r="AJ360" s="98"/>
      <c r="AK360" s="98"/>
      <c r="AL360" s="98"/>
      <c r="AM360" s="98"/>
      <c r="AN360" s="98"/>
      <c r="AO360" s="98"/>
    </row>
    <row r="361" spans="1:41" ht="15.75" customHeight="1" x14ac:dyDescent="0.2">
      <c r="A361" s="65" t="s">
        <v>179</v>
      </c>
      <c r="B361" s="243">
        <f>('Pivot Table for Data Exchange'!$N$295)*100</f>
        <v>87.074829931972786</v>
      </c>
      <c r="C361" s="243">
        <f>('Pivot Table for Data Exchange'!$N$298)*100</f>
        <v>0</v>
      </c>
      <c r="D361" s="249">
        <f>SUM(E361:G361)</f>
        <v>12.925170068027212</v>
      </c>
      <c r="E361" s="243">
        <f>('Pivot Table for Data Exchange'!$N$301)*100</f>
        <v>12.925170068027212</v>
      </c>
      <c r="F361" s="243">
        <f>('Pivot Table for Data Exchange'!$N$304)*100</f>
        <v>0</v>
      </c>
      <c r="G361" s="245">
        <f>('Pivot Table for Data Exchange'!$N$307)*100</f>
        <v>0</v>
      </c>
      <c r="H361" s="243">
        <f>('Pivot Table for Data Exchange'!$N$310)*100</f>
        <v>0</v>
      </c>
      <c r="I361" s="86"/>
      <c r="J361" s="81"/>
      <c r="K361" s="81"/>
      <c r="L361" s="81"/>
      <c r="M361" s="81"/>
      <c r="N361" s="81"/>
      <c r="O361" s="81"/>
      <c r="P361" s="81"/>
      <c r="Q361" s="248">
        <f t="shared" si="44"/>
        <v>100</v>
      </c>
      <c r="R361" s="97"/>
      <c r="S361" s="98"/>
      <c r="T361" s="98"/>
      <c r="U361" s="98"/>
      <c r="V361" s="98"/>
      <c r="W361" s="98"/>
      <c r="X361" s="98"/>
      <c r="Y361" s="98"/>
      <c r="Z361" s="98"/>
      <c r="AA361" s="98"/>
      <c r="AB361" s="98"/>
      <c r="AC361" s="98"/>
      <c r="AD361" s="98"/>
      <c r="AE361" s="98"/>
      <c r="AF361" s="98"/>
      <c r="AG361" s="98"/>
      <c r="AH361" s="98"/>
      <c r="AI361" s="98"/>
      <c r="AJ361" s="98"/>
      <c r="AK361" s="98"/>
      <c r="AL361" s="98"/>
      <c r="AM361" s="98"/>
      <c r="AN361" s="98"/>
      <c r="AO361" s="98"/>
    </row>
    <row r="362" spans="1:41" ht="15.75" customHeight="1" x14ac:dyDescent="0.2">
      <c r="A362" s="65" t="s">
        <v>149</v>
      </c>
      <c r="B362" s="243">
        <f>('Pivot Table for Data Exchange'!$N$331)*100</f>
        <v>60.813071951910423</v>
      </c>
      <c r="C362" s="243">
        <f>('Pivot Table for Data Exchange'!$N$334)*100</f>
        <v>1.7464638608014289</v>
      </c>
      <c r="D362" s="249">
        <f>SUM(E362:G362)</f>
        <v>37.440464187288143</v>
      </c>
      <c r="E362" s="243">
        <f>('Pivot Table for Data Exchange'!$N$337)*100</f>
        <v>35.559804684124103</v>
      </c>
      <c r="F362" s="243">
        <f>('Pivot Table for Data Exchange'!$N$340)*100</f>
        <v>1.2916630657102528</v>
      </c>
      <c r="G362" s="245">
        <f>('Pivot Table for Data Exchange'!$N$343)*100</f>
        <v>0.58899643745378771</v>
      </c>
      <c r="H362" s="243">
        <f>('Pivot Table for Data Exchange'!$N$346)*100</f>
        <v>0</v>
      </c>
      <c r="I362" s="65"/>
      <c r="J362" s="81"/>
      <c r="K362" s="81"/>
      <c r="L362" s="81"/>
      <c r="M362" s="81"/>
      <c r="N362" s="81"/>
      <c r="O362" s="81"/>
      <c r="P362" s="81"/>
      <c r="Q362" s="248">
        <f t="shared" si="44"/>
        <v>100</v>
      </c>
      <c r="R362" s="97"/>
      <c r="S362" s="98"/>
      <c r="T362" s="98"/>
      <c r="U362" s="98"/>
      <c r="V362" s="98"/>
      <c r="W362" s="98"/>
      <c r="X362" s="98"/>
      <c r="Y362" s="98"/>
      <c r="Z362" s="98"/>
      <c r="AA362" s="98"/>
      <c r="AB362" s="98"/>
      <c r="AC362" s="98"/>
      <c r="AD362" s="98"/>
      <c r="AE362" s="98"/>
      <c r="AF362" s="98"/>
      <c r="AG362" s="98"/>
      <c r="AH362" s="98"/>
      <c r="AI362" s="98"/>
      <c r="AJ362" s="98"/>
      <c r="AK362" s="98"/>
      <c r="AL362" s="98"/>
      <c r="AM362" s="98"/>
      <c r="AN362" s="98"/>
      <c r="AO362" s="98"/>
    </row>
    <row r="363" spans="1:41" ht="15.75" customHeight="1" x14ac:dyDescent="0.2">
      <c r="A363" s="65" t="s">
        <v>150</v>
      </c>
      <c r="B363" s="243">
        <f>('Pivot Table for Data Exchange'!$N$367)*100</f>
        <v>63.012350865168564</v>
      </c>
      <c r="C363" s="243">
        <f>('Pivot Table for Data Exchange'!$N$370)*100</f>
        <v>4.2756821441698882</v>
      </c>
      <c r="D363" s="249">
        <f>SUM(E363:G363)</f>
        <v>32.711966990661544</v>
      </c>
      <c r="E363" s="243">
        <f>('Pivot Table for Data Exchange'!$N$373)*100</f>
        <v>27.633713522939889</v>
      </c>
      <c r="F363" s="243">
        <f>('Pivot Table for Data Exchange'!$N$376)*100</f>
        <v>4.9884340186326996</v>
      </c>
      <c r="G363" s="245">
        <f>('Pivot Table for Data Exchange'!$N$379)*100</f>
        <v>8.9819449088954423E-2</v>
      </c>
      <c r="H363" s="243">
        <f>('Pivot Table for Data Exchange'!$N$382)*100</f>
        <v>0</v>
      </c>
      <c r="I363" s="65"/>
      <c r="J363" s="81"/>
      <c r="K363" s="81"/>
      <c r="L363" s="81"/>
      <c r="M363" s="81"/>
      <c r="N363" s="81"/>
      <c r="O363" s="81"/>
      <c r="P363" s="81"/>
      <c r="Q363" s="248">
        <f t="shared" si="44"/>
        <v>100</v>
      </c>
      <c r="R363" s="97"/>
      <c r="S363" s="98"/>
      <c r="T363" s="104"/>
      <c r="U363" s="98"/>
      <c r="V363" s="98"/>
      <c r="W363" s="98"/>
      <c r="X363" s="98"/>
      <c r="Y363" s="98"/>
      <c r="Z363" s="98"/>
      <c r="AA363" s="98"/>
      <c r="AB363" s="98"/>
      <c r="AC363" s="98"/>
      <c r="AD363" s="98"/>
      <c r="AE363" s="98"/>
      <c r="AF363" s="98"/>
      <c r="AG363" s="98"/>
      <c r="AH363" s="98"/>
      <c r="AI363" s="98"/>
      <c r="AJ363" s="98"/>
      <c r="AK363" s="98"/>
      <c r="AL363" s="98"/>
      <c r="AM363" s="98"/>
      <c r="AN363" s="98"/>
      <c r="AO363" s="98"/>
    </row>
    <row r="364" spans="1:41" ht="15.75" customHeight="1" x14ac:dyDescent="0.2">
      <c r="A364" s="65" t="s">
        <v>151</v>
      </c>
      <c r="B364" s="243">
        <f>('Pivot Table for Data Exchange'!$N$403)*100</f>
        <v>88.054657140685578</v>
      </c>
      <c r="C364" s="243">
        <f>('Pivot Table for Data Exchange'!$N$406)*100</f>
        <v>3.3006771050456769</v>
      </c>
      <c r="D364" s="249">
        <f>SUM(E364:G364)</f>
        <v>8.6446657542687326</v>
      </c>
      <c r="E364" s="243">
        <f>('Pivot Table for Data Exchange'!$N$409)*100</f>
        <v>7.1256882300296631</v>
      </c>
      <c r="F364" s="243">
        <f>('Pivot Table for Data Exchange'!$N$412)*100</f>
        <v>1.51897752423907</v>
      </c>
      <c r="G364" s="245">
        <f>('Pivot Table for Data Exchange'!$N$415)*100</f>
        <v>0</v>
      </c>
      <c r="H364" s="243">
        <f>('Pivot Table for Data Exchange'!$N$418)*100</f>
        <v>0</v>
      </c>
      <c r="I364" s="65"/>
      <c r="J364" s="81"/>
      <c r="K364" s="81"/>
      <c r="L364" s="81"/>
      <c r="M364" s="81"/>
      <c r="N364" s="81"/>
      <c r="O364" s="81"/>
      <c r="P364" s="81"/>
      <c r="Q364" s="248">
        <f t="shared" si="44"/>
        <v>99.999999999999986</v>
      </c>
      <c r="R364" s="97"/>
      <c r="S364" s="98"/>
      <c r="T364" s="98"/>
      <c r="U364" s="98"/>
      <c r="V364" s="98"/>
      <c r="W364" s="98"/>
      <c r="X364" s="98"/>
      <c r="Y364" s="98"/>
      <c r="Z364" s="98"/>
      <c r="AA364" s="98"/>
      <c r="AB364" s="98"/>
      <c r="AC364" s="98"/>
      <c r="AD364" s="98"/>
      <c r="AE364" s="98"/>
      <c r="AF364" s="98"/>
      <c r="AG364" s="98"/>
      <c r="AH364" s="98"/>
      <c r="AI364" s="98"/>
      <c r="AJ364" s="98"/>
      <c r="AK364" s="98"/>
      <c r="AL364" s="98"/>
      <c r="AM364" s="98"/>
      <c r="AN364" s="98"/>
      <c r="AO364" s="98"/>
    </row>
    <row r="365" spans="1:41" ht="12" customHeight="1" x14ac:dyDescent="0.2">
      <c r="A365" s="65"/>
      <c r="B365" s="243"/>
      <c r="C365" s="243"/>
      <c r="D365" s="249"/>
      <c r="E365" s="243"/>
      <c r="F365" s="243"/>
      <c r="G365" s="245"/>
      <c r="H365" s="243"/>
      <c r="I365" s="65"/>
      <c r="J365" s="81"/>
      <c r="K365" s="81"/>
      <c r="L365" s="81"/>
      <c r="M365" s="81"/>
      <c r="N365" s="81"/>
      <c r="O365" s="81"/>
      <c r="P365" s="81"/>
      <c r="Q365" s="248">
        <f t="shared" si="44"/>
        <v>0</v>
      </c>
      <c r="R365" s="97"/>
      <c r="S365" s="98"/>
      <c r="T365" s="98"/>
      <c r="U365" s="98"/>
      <c r="V365" s="98"/>
      <c r="W365" s="98"/>
      <c r="X365" s="98"/>
      <c r="Y365" s="98"/>
      <c r="Z365" s="98"/>
      <c r="AA365" s="98"/>
      <c r="AB365" s="98"/>
      <c r="AC365" s="98"/>
      <c r="AD365" s="98"/>
      <c r="AE365" s="98"/>
      <c r="AF365" s="98"/>
      <c r="AG365" s="98"/>
      <c r="AH365" s="98"/>
      <c r="AI365" s="98"/>
      <c r="AJ365" s="98"/>
      <c r="AK365" s="98"/>
      <c r="AL365" s="98"/>
      <c r="AM365" s="98"/>
      <c r="AN365" s="98"/>
      <c r="AO365" s="98"/>
    </row>
    <row r="366" spans="1:41" ht="15.75" customHeight="1" x14ac:dyDescent="0.2">
      <c r="A366" s="65" t="s">
        <v>152</v>
      </c>
      <c r="B366" s="243">
        <f>('Pivot Table for Data Exchange'!$N$439)*100</f>
        <v>0</v>
      </c>
      <c r="C366" s="243">
        <f>('Pivot Table for Data Exchange'!$N$442)*100</f>
        <v>0</v>
      </c>
      <c r="D366" s="249">
        <f>SUM(E366:G366)</f>
        <v>0</v>
      </c>
      <c r="E366" s="243">
        <f>('Pivot Table for Data Exchange'!$N$445)*100</f>
        <v>0</v>
      </c>
      <c r="F366" s="243">
        <f>('Pivot Table for Data Exchange'!$N$448)*100</f>
        <v>0</v>
      </c>
      <c r="G366" s="245">
        <f>('Pivot Table for Data Exchange'!$N$451)*100</f>
        <v>0</v>
      </c>
      <c r="H366" s="243">
        <f>('Pivot Table for Data Exchange'!$N$454)*100</f>
        <v>0</v>
      </c>
      <c r="I366" s="65"/>
      <c r="J366" s="81"/>
      <c r="K366" s="81"/>
      <c r="L366" s="81"/>
      <c r="M366" s="81"/>
      <c r="N366" s="81"/>
      <c r="O366" s="81"/>
      <c r="P366" s="81"/>
      <c r="Q366" s="248">
        <f t="shared" si="44"/>
        <v>0</v>
      </c>
      <c r="R366" s="97"/>
      <c r="S366" s="98"/>
      <c r="T366" s="98"/>
      <c r="U366" s="98"/>
      <c r="V366" s="98"/>
      <c r="W366" s="98"/>
      <c r="X366" s="98"/>
      <c r="Y366" s="98"/>
      <c r="Z366" s="98"/>
      <c r="AA366" s="98"/>
      <c r="AB366" s="98"/>
      <c r="AC366" s="98"/>
      <c r="AD366" s="98"/>
      <c r="AE366" s="98"/>
      <c r="AF366" s="98"/>
      <c r="AG366" s="98"/>
      <c r="AH366" s="98"/>
      <c r="AI366" s="98"/>
      <c r="AJ366" s="98"/>
      <c r="AK366" s="98"/>
      <c r="AL366" s="98"/>
      <c r="AM366" s="98"/>
      <c r="AN366" s="98"/>
      <c r="AO366" s="98"/>
    </row>
    <row r="367" spans="1:41" ht="15.75" customHeight="1" x14ac:dyDescent="0.2">
      <c r="A367" s="65" t="s">
        <v>153</v>
      </c>
      <c r="B367" s="243">
        <f>('Pivot Table for Data Exchange'!$N$475)*100</f>
        <v>55.936088819857908</v>
      </c>
      <c r="C367" s="243">
        <f>('Pivot Table for Data Exchange'!$N$478)*100</f>
        <v>15.75890931055311</v>
      </c>
      <c r="D367" s="249">
        <f>SUM(E367:G367)</f>
        <v>28.305001869588978</v>
      </c>
      <c r="E367" s="243">
        <f>('Pivot Table for Data Exchange'!$N$481)*100</f>
        <v>24.843673598527339</v>
      </c>
      <c r="F367" s="243">
        <f>('Pivot Table for Data Exchange'!$N$484)*100</f>
        <v>2.4198233957488422</v>
      </c>
      <c r="G367" s="245">
        <f>('Pivot Table for Data Exchange'!$N$487)*100</f>
        <v>1.0415048753127967</v>
      </c>
      <c r="H367" s="243">
        <f>('Pivot Table for Data Exchange'!$N$490)*100</f>
        <v>0</v>
      </c>
      <c r="I367" s="65"/>
      <c r="J367" s="81"/>
      <c r="K367" s="81"/>
      <c r="L367" s="81"/>
      <c r="M367" s="81"/>
      <c r="N367" s="81"/>
      <c r="O367" s="81"/>
      <c r="P367" s="81"/>
      <c r="Q367" s="248">
        <f t="shared" si="44"/>
        <v>100</v>
      </c>
      <c r="R367" s="97"/>
      <c r="S367" s="98"/>
      <c r="T367" s="98"/>
      <c r="U367" s="98"/>
      <c r="V367" s="98"/>
      <c r="W367" s="98"/>
      <c r="X367" s="98"/>
      <c r="Y367" s="98"/>
      <c r="Z367" s="98"/>
      <c r="AA367" s="98"/>
      <c r="AB367" s="98"/>
      <c r="AC367" s="98"/>
      <c r="AD367" s="98"/>
      <c r="AE367" s="98"/>
      <c r="AF367" s="98"/>
      <c r="AG367" s="98"/>
      <c r="AH367" s="98"/>
      <c r="AI367" s="98"/>
      <c r="AJ367" s="98"/>
      <c r="AK367" s="98"/>
      <c r="AL367" s="98"/>
      <c r="AM367" s="98"/>
      <c r="AN367" s="98"/>
      <c r="AO367" s="98"/>
    </row>
    <row r="368" spans="1:41" ht="15.75" customHeight="1" x14ac:dyDescent="0.2">
      <c r="A368" s="65" t="s">
        <v>154</v>
      </c>
      <c r="B368" s="243">
        <f>('Pivot Table for Data Exchange'!$N$511)*100</f>
        <v>51.645243757961211</v>
      </c>
      <c r="C368" s="243">
        <f>('Pivot Table for Data Exchange'!$N$514)*100</f>
        <v>19.270819415123416</v>
      </c>
      <c r="D368" s="249">
        <f>SUM(E368:G368)</f>
        <v>29.08393682691537</v>
      </c>
      <c r="E368" s="243">
        <f>('Pivot Table for Data Exchange'!$N$517)*100</f>
        <v>19.109590871435824</v>
      </c>
      <c r="F368" s="243">
        <f>('Pivot Table for Data Exchange'!$N$520)*100</f>
        <v>9.9743459554795439</v>
      </c>
      <c r="G368" s="245">
        <f>('Pivot Table for Data Exchange'!$N$523)*100</f>
        <v>0</v>
      </c>
      <c r="H368" s="243">
        <f>('Pivot Table for Data Exchange'!$N$526)*100</f>
        <v>0</v>
      </c>
      <c r="I368" s="65"/>
      <c r="J368" s="81"/>
      <c r="K368" s="81"/>
      <c r="L368" s="81"/>
      <c r="M368" s="81"/>
      <c r="N368" s="81"/>
      <c r="O368" s="81"/>
      <c r="P368" s="81"/>
      <c r="Q368" s="248">
        <f t="shared" si="44"/>
        <v>100</v>
      </c>
      <c r="R368" s="97"/>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row>
    <row r="369" spans="1:41" ht="15.75" customHeight="1" x14ac:dyDescent="0.2">
      <c r="A369" s="39" t="s">
        <v>181</v>
      </c>
      <c r="B369" s="246">
        <f>('Pivot Table for Data Exchange'!$N$547)*100</f>
        <v>60.198678991389698</v>
      </c>
      <c r="C369" s="246">
        <f>('Pivot Table for Data Exchange'!$N$550)*100</f>
        <v>19.602729967194659</v>
      </c>
      <c r="D369" s="250">
        <f>SUM(E369:G369)</f>
        <v>20.198591041415643</v>
      </c>
      <c r="E369" s="246">
        <f>('Pivot Table for Data Exchange'!$N$553)*100</f>
        <v>19.10361386443391</v>
      </c>
      <c r="F369" s="246">
        <f>('Pivot Table for Data Exchange'!$N$556)*100</f>
        <v>0.86278924547717251</v>
      </c>
      <c r="G369" s="247">
        <f>('Pivot Table for Data Exchange'!$N$559)*100</f>
        <v>0.23218793150456021</v>
      </c>
      <c r="H369" s="246">
        <f>('Pivot Table for Data Exchange'!$N$562)*100</f>
        <v>0</v>
      </c>
      <c r="I369" s="65"/>
      <c r="J369" s="81"/>
      <c r="K369" s="81"/>
      <c r="L369" s="81"/>
      <c r="M369" s="81"/>
      <c r="N369" s="81"/>
      <c r="O369" s="81"/>
      <c r="P369" s="81"/>
      <c r="Q369" s="248">
        <f t="shared" si="44"/>
        <v>100</v>
      </c>
      <c r="R369" s="97"/>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row>
    <row r="370" spans="1:41" s="103" customFormat="1" ht="18" customHeight="1" x14ac:dyDescent="0.2">
      <c r="A370" s="24" t="s">
        <v>175</v>
      </c>
      <c r="B370" s="69"/>
      <c r="C370" s="69"/>
      <c r="D370" s="70"/>
      <c r="E370" s="69"/>
      <c r="F370" s="70"/>
      <c r="G370" s="70"/>
      <c r="H370" s="69"/>
      <c r="I370" s="24"/>
      <c r="J370" s="69"/>
      <c r="K370" s="69"/>
      <c r="L370" s="70"/>
      <c r="M370" s="69"/>
      <c r="N370" s="70"/>
      <c r="O370" s="70"/>
      <c r="P370" s="69"/>
      <c r="Q370" s="248">
        <f t="shared" si="44"/>
        <v>0</v>
      </c>
      <c r="R370" s="101"/>
      <c r="S370" s="102"/>
      <c r="T370" s="102"/>
      <c r="U370" s="102"/>
      <c r="V370" s="102"/>
      <c r="W370" s="102"/>
      <c r="X370" s="102"/>
      <c r="Y370" s="102"/>
      <c r="Z370" s="102"/>
      <c r="AA370" s="102"/>
      <c r="AB370" s="102"/>
      <c r="AC370" s="102"/>
      <c r="AD370" s="102"/>
      <c r="AE370" s="102"/>
      <c r="AF370" s="102"/>
      <c r="AG370" s="102"/>
      <c r="AH370" s="102"/>
      <c r="AI370" s="102"/>
      <c r="AJ370" s="102"/>
      <c r="AK370" s="102"/>
      <c r="AL370" s="102"/>
      <c r="AM370" s="102"/>
      <c r="AN370" s="102"/>
      <c r="AO370" s="102"/>
    </row>
    <row r="371" spans="1:41" s="103" customFormat="1" ht="27.75" customHeight="1" x14ac:dyDescent="0.25">
      <c r="A371" s="680" t="s">
        <v>180</v>
      </c>
      <c r="B371" s="682"/>
      <c r="C371" s="682"/>
      <c r="D371" s="682"/>
      <c r="E371" s="682"/>
      <c r="F371" s="682"/>
      <c r="G371" s="682"/>
      <c r="H371" s="682"/>
      <c r="I371" s="24"/>
      <c r="J371" s="25"/>
      <c r="K371" s="25"/>
      <c r="L371" s="25"/>
      <c r="M371" s="25"/>
      <c r="N371" s="25"/>
      <c r="O371" s="25"/>
      <c r="P371" s="77"/>
      <c r="Q371" s="248">
        <f t="shared" si="44"/>
        <v>0</v>
      </c>
      <c r="R371" s="106"/>
    </row>
    <row r="372" spans="1:41" s="103" customFormat="1" ht="13.5" customHeight="1" x14ac:dyDescent="0.2">
      <c r="A372" s="75"/>
      <c r="B372" s="25"/>
      <c r="C372" s="25"/>
      <c r="D372" s="25"/>
      <c r="E372" s="25"/>
      <c r="F372" s="25"/>
      <c r="G372" s="25"/>
      <c r="H372" s="26"/>
      <c r="I372" s="75"/>
      <c r="J372" s="25"/>
      <c r="K372" s="25"/>
      <c r="L372" s="25"/>
      <c r="M372" s="25"/>
      <c r="N372" s="25"/>
      <c r="O372" s="25"/>
      <c r="P372" s="25"/>
      <c r="Q372" s="248">
        <f t="shared" si="44"/>
        <v>0</v>
      </c>
      <c r="R372" s="106"/>
    </row>
    <row r="373" spans="1:41" s="103" customFormat="1" x14ac:dyDescent="0.2">
      <c r="A373" s="26"/>
      <c r="B373" s="69"/>
      <c r="C373" s="69"/>
      <c r="D373" s="70"/>
      <c r="E373" s="69"/>
      <c r="F373" s="70"/>
      <c r="G373" s="70"/>
      <c r="H373" s="27" t="s">
        <v>914</v>
      </c>
      <c r="I373" s="85"/>
      <c r="J373" s="26"/>
      <c r="K373" s="26"/>
      <c r="L373" s="26"/>
      <c r="M373" s="26"/>
      <c r="N373" s="26"/>
      <c r="O373" s="26"/>
      <c r="P373" s="26"/>
      <c r="Q373" s="248">
        <f t="shared" si="44"/>
        <v>0</v>
      </c>
      <c r="R373" s="101"/>
      <c r="S373" s="102"/>
      <c r="T373" s="102"/>
      <c r="U373" s="102"/>
      <c r="V373" s="102"/>
      <c r="W373" s="102"/>
      <c r="X373" s="102"/>
      <c r="Y373" s="102"/>
      <c r="Z373" s="102"/>
      <c r="AA373" s="102"/>
      <c r="AB373" s="102"/>
      <c r="AC373" s="102"/>
      <c r="AD373" s="102"/>
      <c r="AE373" s="102"/>
      <c r="AF373" s="102"/>
      <c r="AG373" s="102"/>
      <c r="AH373" s="102"/>
      <c r="AI373" s="102"/>
      <c r="AJ373" s="102"/>
      <c r="AK373" s="102"/>
      <c r="AL373" s="102"/>
      <c r="AM373" s="102"/>
      <c r="AN373" s="102"/>
      <c r="AO373" s="102"/>
    </row>
    <row r="374" spans="1:41" ht="18" x14ac:dyDescent="0.25">
      <c r="A374" s="16" t="s">
        <v>213</v>
      </c>
      <c r="B374" s="34"/>
      <c r="C374" s="34"/>
      <c r="D374" s="34"/>
      <c r="E374" s="34"/>
      <c r="F374" s="34"/>
      <c r="G374" s="34"/>
      <c r="H374" s="35"/>
      <c r="I374" s="80"/>
      <c r="J374" s="65"/>
      <c r="K374" s="65"/>
      <c r="L374" s="65"/>
      <c r="M374" s="65"/>
      <c r="N374" s="65"/>
      <c r="O374" s="65"/>
      <c r="P374" s="65"/>
      <c r="Q374" s="248">
        <f t="shared" si="44"/>
        <v>0</v>
      </c>
    </row>
    <row r="375" spans="1:41" x14ac:dyDescent="0.2">
      <c r="A375" s="18"/>
      <c r="B375" s="19"/>
      <c r="C375" s="19"/>
      <c r="D375" s="19"/>
      <c r="E375" s="19"/>
      <c r="F375" s="19"/>
      <c r="G375" s="19"/>
      <c r="H375" s="36"/>
      <c r="I375" s="80"/>
      <c r="J375" s="65"/>
      <c r="K375" s="65"/>
      <c r="L375" s="65"/>
      <c r="M375" s="65"/>
      <c r="N375" s="65"/>
      <c r="O375" s="65"/>
      <c r="P375" s="65"/>
      <c r="Q375" s="248">
        <f t="shared" si="44"/>
        <v>0</v>
      </c>
    </row>
    <row r="376" spans="1:41" ht="15.75" x14ac:dyDescent="0.25">
      <c r="A376" s="37" t="s">
        <v>162</v>
      </c>
      <c r="B376" s="19"/>
      <c r="C376" s="19"/>
      <c r="D376" s="19"/>
      <c r="E376" s="19"/>
      <c r="F376" s="19"/>
      <c r="G376" s="19"/>
      <c r="H376" s="36"/>
      <c r="I376" s="80"/>
      <c r="J376" s="65"/>
      <c r="K376" s="65"/>
      <c r="L376" s="65"/>
      <c r="M376" s="65"/>
      <c r="N376" s="65"/>
      <c r="O376" s="65"/>
      <c r="P376" s="65"/>
      <c r="Q376" s="248">
        <f t="shared" si="44"/>
        <v>0</v>
      </c>
    </row>
    <row r="377" spans="1:41" ht="15.75" x14ac:dyDescent="0.25">
      <c r="A377" s="37" t="s">
        <v>878</v>
      </c>
      <c r="B377" s="19"/>
      <c r="C377" s="19"/>
      <c r="D377" s="19"/>
      <c r="E377" s="19"/>
      <c r="F377" s="19"/>
      <c r="G377" s="19"/>
      <c r="H377" s="36"/>
      <c r="I377" s="80"/>
      <c r="J377" s="65"/>
      <c r="K377" s="65"/>
      <c r="L377" s="65"/>
      <c r="M377" s="65"/>
      <c r="N377" s="65"/>
      <c r="O377" s="65"/>
      <c r="P377" s="65"/>
      <c r="Q377" s="248">
        <f t="shared" si="44"/>
        <v>0</v>
      </c>
    </row>
    <row r="378" spans="1:41" x14ac:dyDescent="0.2">
      <c r="A378" s="39"/>
      <c r="B378" s="40"/>
      <c r="C378" s="40"/>
      <c r="D378" s="40"/>
      <c r="E378" s="40"/>
      <c r="F378" s="40"/>
      <c r="G378" s="40"/>
      <c r="H378" s="40"/>
      <c r="I378" s="80"/>
      <c r="J378" s="65"/>
      <c r="K378" s="65"/>
      <c r="L378" s="65"/>
      <c r="M378" s="65"/>
      <c r="N378" s="65"/>
      <c r="O378" s="65"/>
      <c r="P378" s="65"/>
      <c r="Q378" s="248">
        <f t="shared" si="44"/>
        <v>0</v>
      </c>
    </row>
    <row r="379" spans="1:41" x14ac:dyDescent="0.2">
      <c r="A379" s="43"/>
      <c r="B379" s="44" t="s">
        <v>164</v>
      </c>
      <c r="C379" s="44"/>
      <c r="D379" s="44"/>
      <c r="E379" s="44"/>
      <c r="F379" s="44"/>
      <c r="G379" s="44"/>
      <c r="H379" s="45"/>
      <c r="I379" s="80"/>
      <c r="J379" s="65"/>
      <c r="K379" s="65"/>
      <c r="L379" s="65"/>
      <c r="M379" s="65"/>
      <c r="N379" s="65"/>
      <c r="O379" s="65"/>
      <c r="P379" s="65"/>
      <c r="Q379" s="248">
        <f t="shared" si="44"/>
        <v>0</v>
      </c>
    </row>
    <row r="380" spans="1:41" x14ac:dyDescent="0.2">
      <c r="A380" s="43"/>
      <c r="B380" s="44" t="s">
        <v>165</v>
      </c>
      <c r="C380" s="44"/>
      <c r="D380" s="670" t="s">
        <v>166</v>
      </c>
      <c r="E380" s="668"/>
      <c r="F380" s="668"/>
      <c r="G380" s="668"/>
      <c r="H380" s="49" t="s">
        <v>39</v>
      </c>
      <c r="I380" s="80"/>
      <c r="J380" s="65"/>
      <c r="K380" s="65"/>
      <c r="L380" s="65"/>
      <c r="M380" s="65"/>
      <c r="N380" s="65"/>
      <c r="O380" s="65"/>
      <c r="P380" s="65"/>
      <c r="Q380" s="248">
        <f t="shared" si="44"/>
        <v>0</v>
      </c>
    </row>
    <row r="381" spans="1:41" ht="36" x14ac:dyDescent="0.2">
      <c r="A381" s="43"/>
      <c r="B381" s="50" t="s">
        <v>167</v>
      </c>
      <c r="C381" s="51" t="s">
        <v>168</v>
      </c>
      <c r="D381" s="52" t="s">
        <v>169</v>
      </c>
      <c r="E381" s="53" t="s">
        <v>7</v>
      </c>
      <c r="F381" s="50" t="s">
        <v>170</v>
      </c>
      <c r="G381" s="54" t="s">
        <v>171</v>
      </c>
      <c r="H381" s="55" t="s">
        <v>172</v>
      </c>
      <c r="I381" s="80"/>
      <c r="J381" s="65"/>
      <c r="K381" s="65"/>
      <c r="L381" s="65"/>
      <c r="M381" s="65"/>
      <c r="N381" s="65"/>
      <c r="O381" s="65"/>
      <c r="P381" s="65"/>
      <c r="Q381" s="248">
        <f t="shared" si="44"/>
        <v>0</v>
      </c>
    </row>
    <row r="382" spans="1:41" ht="15.75" customHeight="1" x14ac:dyDescent="0.2">
      <c r="A382" s="62" t="s">
        <v>141</v>
      </c>
      <c r="B382" s="82">
        <f>('Pivot Table for Data Exchange'!$R$7)*100</f>
        <v>68.4060574452879</v>
      </c>
      <c r="C382" s="243">
        <f>('Pivot Table for Data Exchange'!$R$10)*100</f>
        <v>23.487087365513514</v>
      </c>
      <c r="D382" s="249">
        <f>SUM(E382:G382)</f>
        <v>8.1068551891985869</v>
      </c>
      <c r="E382" s="243">
        <f>('Pivot Table for Data Exchange'!$R$13)*100</f>
        <v>8.1068551891985869</v>
      </c>
      <c r="F382" s="243">
        <f>('Pivot Table for Data Exchange'!$R$16)*100</f>
        <v>0</v>
      </c>
      <c r="G382" s="60">
        <f>('Pivot Table for Data Exchange'!$R$19)*100</f>
        <v>0</v>
      </c>
      <c r="H382" s="243">
        <f>('Pivot Table for Data Exchange'!$R$22)*100</f>
        <v>0</v>
      </c>
      <c r="I382" s="65"/>
      <c r="J382" s="81"/>
      <c r="K382" s="81"/>
      <c r="L382" s="81"/>
      <c r="M382" s="81"/>
      <c r="N382" s="81"/>
      <c r="O382" s="81"/>
      <c r="P382" s="81"/>
      <c r="Q382" s="248">
        <f t="shared" si="44"/>
        <v>100</v>
      </c>
      <c r="R382" s="97"/>
      <c r="S382" s="98"/>
      <c r="T382" s="98"/>
      <c r="U382" s="98"/>
      <c r="V382" s="98"/>
      <c r="W382" s="98"/>
      <c r="X382" s="98"/>
      <c r="Y382" s="98"/>
      <c r="Z382" s="98"/>
      <c r="AA382" s="98"/>
      <c r="AB382" s="98"/>
      <c r="AC382" s="98"/>
      <c r="AD382" s="98"/>
      <c r="AE382" s="98"/>
      <c r="AF382" s="98"/>
      <c r="AG382" s="98"/>
      <c r="AH382" s="98"/>
      <c r="AI382" s="98"/>
      <c r="AJ382" s="98"/>
      <c r="AK382" s="98"/>
      <c r="AL382" s="98"/>
      <c r="AM382" s="98"/>
      <c r="AN382" s="98"/>
      <c r="AO382" s="98"/>
    </row>
    <row r="383" spans="1:41" ht="15.75" customHeight="1" x14ac:dyDescent="0.2">
      <c r="A383" s="65" t="s">
        <v>142</v>
      </c>
      <c r="B383" s="243">
        <f>('Pivot Table for Data Exchange'!$R$43)*100</f>
        <v>0</v>
      </c>
      <c r="C383" s="243">
        <f>('Pivot Table for Data Exchange'!$R$46)*100</f>
        <v>0</v>
      </c>
      <c r="D383" s="249">
        <f t="shared" ref="D383:D385" si="47">SUM(E383:G383)</f>
        <v>0</v>
      </c>
      <c r="E383" s="243">
        <f>('Pivot Table for Data Exchange'!$R$49)*100</f>
        <v>0</v>
      </c>
      <c r="F383" s="243">
        <f>('Pivot Table for Data Exchange'!$R$52)*100</f>
        <v>0</v>
      </c>
      <c r="G383" s="245">
        <f>('Pivot Table for Data Exchange'!$R$55)*100</f>
        <v>0</v>
      </c>
      <c r="H383" s="243">
        <f>('Pivot Table for Data Exchange'!$R$58)*100</f>
        <v>0</v>
      </c>
      <c r="I383" s="65"/>
      <c r="J383" s="81"/>
      <c r="K383" s="81"/>
      <c r="L383" s="81"/>
      <c r="M383" s="81"/>
      <c r="N383" s="81"/>
      <c r="O383" s="81"/>
      <c r="P383" s="81"/>
      <c r="Q383" s="248">
        <f t="shared" si="44"/>
        <v>0</v>
      </c>
      <c r="R383" s="97"/>
      <c r="S383" s="98"/>
      <c r="T383" s="98"/>
      <c r="U383" s="98"/>
      <c r="V383" s="98"/>
      <c r="W383" s="98"/>
      <c r="X383" s="98"/>
      <c r="Y383" s="98"/>
      <c r="Z383" s="98"/>
      <c r="AA383" s="98"/>
      <c r="AB383" s="98"/>
      <c r="AC383" s="98"/>
      <c r="AD383" s="98"/>
      <c r="AE383" s="98"/>
      <c r="AF383" s="98"/>
      <c r="AG383" s="98"/>
      <c r="AH383" s="98"/>
      <c r="AI383" s="98"/>
      <c r="AJ383" s="98"/>
      <c r="AK383" s="98"/>
      <c r="AL383" s="98"/>
      <c r="AM383" s="98"/>
      <c r="AN383" s="98"/>
      <c r="AO383" s="98"/>
    </row>
    <row r="384" spans="1:41" ht="15.75" customHeight="1" x14ac:dyDescent="0.2">
      <c r="A384" s="65" t="s">
        <v>143</v>
      </c>
      <c r="B384" s="243">
        <f>('Pivot Table for Data Exchange'!$R$79)*100</f>
        <v>0</v>
      </c>
      <c r="C384" s="243">
        <f>('Pivot Table for Data Exchange'!$R$82)*100</f>
        <v>0</v>
      </c>
      <c r="D384" s="249">
        <f t="shared" si="47"/>
        <v>0</v>
      </c>
      <c r="E384" s="243">
        <f>('Pivot Table for Data Exchange'!$R$85)*100</f>
        <v>0</v>
      </c>
      <c r="F384" s="243">
        <f>('Pivot Table for Data Exchange'!$R$88)*100</f>
        <v>0</v>
      </c>
      <c r="G384" s="245">
        <f>('Pivot Table for Data Exchange'!$R$91)*100</f>
        <v>0</v>
      </c>
      <c r="H384" s="243">
        <f>('Pivot Table for Data Exchange'!$R$94)*100</f>
        <v>0</v>
      </c>
      <c r="I384" s="65"/>
      <c r="J384" s="81"/>
      <c r="K384" s="81"/>
      <c r="L384" s="81"/>
      <c r="M384" s="81"/>
      <c r="N384" s="81"/>
      <c r="O384" s="81"/>
      <c r="P384" s="81"/>
      <c r="Q384" s="248">
        <f t="shared" si="44"/>
        <v>0</v>
      </c>
      <c r="R384" s="97"/>
      <c r="S384" s="98"/>
      <c r="T384" s="104"/>
      <c r="U384" s="98"/>
      <c r="V384" s="98"/>
      <c r="W384" s="98"/>
      <c r="X384" s="98"/>
      <c r="Y384" s="98"/>
      <c r="Z384" s="98"/>
      <c r="AA384" s="98"/>
      <c r="AB384" s="98"/>
      <c r="AC384" s="98"/>
      <c r="AD384" s="98"/>
      <c r="AE384" s="98"/>
      <c r="AF384" s="98"/>
      <c r="AG384" s="98"/>
      <c r="AH384" s="98"/>
      <c r="AI384" s="98"/>
      <c r="AJ384" s="98"/>
      <c r="AK384" s="98"/>
      <c r="AL384" s="98"/>
      <c r="AM384" s="98"/>
      <c r="AN384" s="98"/>
      <c r="AO384" s="98"/>
    </row>
    <row r="385" spans="1:41" ht="15.75" customHeight="1" x14ac:dyDescent="0.2">
      <c r="A385" s="65" t="s">
        <v>144</v>
      </c>
      <c r="B385" s="243">
        <f>('Pivot Table for Data Exchange'!$R$115)*100</f>
        <v>0</v>
      </c>
      <c r="C385" s="243">
        <f>('Pivot Table for Data Exchange'!$R$118)*100</f>
        <v>0</v>
      </c>
      <c r="D385" s="249">
        <f t="shared" si="47"/>
        <v>0</v>
      </c>
      <c r="E385" s="243">
        <f>('Pivot Table for Data Exchange'!$R$121)*100</f>
        <v>0</v>
      </c>
      <c r="F385" s="243">
        <f>('Pivot Table for Data Exchange'!$R$124)*100</f>
        <v>0</v>
      </c>
      <c r="G385" s="245">
        <f>('Pivot Table for Data Exchange'!$R$127)*100</f>
        <v>0</v>
      </c>
      <c r="H385" s="243">
        <f>('Pivot Table for Data Exchange'!$R$130)*100</f>
        <v>0</v>
      </c>
      <c r="I385" s="65"/>
      <c r="J385" s="81"/>
      <c r="K385" s="81"/>
      <c r="L385" s="81"/>
      <c r="M385" s="81"/>
      <c r="N385" s="81"/>
      <c r="O385" s="81"/>
      <c r="P385" s="81"/>
      <c r="Q385" s="248">
        <f t="shared" si="44"/>
        <v>0</v>
      </c>
      <c r="R385" s="97"/>
      <c r="S385" s="98"/>
      <c r="U385" s="98"/>
      <c r="V385" s="98"/>
      <c r="W385" s="98"/>
      <c r="X385" s="98"/>
      <c r="Y385" s="98"/>
      <c r="Z385" s="98"/>
      <c r="AA385" s="98"/>
      <c r="AB385" s="98"/>
      <c r="AC385" s="98"/>
      <c r="AD385" s="98"/>
      <c r="AE385" s="98"/>
      <c r="AF385" s="98"/>
      <c r="AG385" s="98"/>
      <c r="AH385" s="98"/>
      <c r="AI385" s="98"/>
      <c r="AJ385" s="98"/>
      <c r="AK385" s="98"/>
      <c r="AL385" s="98"/>
      <c r="AM385" s="98"/>
      <c r="AN385" s="98"/>
      <c r="AO385" s="98"/>
    </row>
    <row r="386" spans="1:41" ht="15.75" customHeight="1" x14ac:dyDescent="0.2">
      <c r="A386" s="65"/>
      <c r="B386" s="243"/>
      <c r="C386" s="243"/>
      <c r="D386" s="249"/>
      <c r="E386" s="243"/>
      <c r="F386" s="243"/>
      <c r="G386" s="245"/>
      <c r="H386" s="243"/>
      <c r="I386" s="65"/>
      <c r="J386" s="81"/>
      <c r="K386" s="81"/>
      <c r="L386" s="81"/>
      <c r="M386" s="81"/>
      <c r="N386" s="81"/>
      <c r="O386" s="81"/>
      <c r="P386" s="81"/>
      <c r="Q386" s="248">
        <f t="shared" si="44"/>
        <v>0</v>
      </c>
      <c r="R386" s="97"/>
      <c r="S386" s="98"/>
      <c r="U386" s="98"/>
      <c r="V386" s="98"/>
      <c r="W386" s="98"/>
      <c r="X386" s="98"/>
      <c r="Y386" s="98"/>
      <c r="Z386" s="98"/>
      <c r="AA386" s="98"/>
      <c r="AB386" s="98"/>
      <c r="AC386" s="98"/>
      <c r="AD386" s="98"/>
      <c r="AE386" s="98"/>
      <c r="AF386" s="98"/>
      <c r="AG386" s="98"/>
      <c r="AH386" s="98"/>
      <c r="AI386" s="98"/>
      <c r="AJ386" s="98"/>
      <c r="AK386" s="98"/>
      <c r="AL386" s="98"/>
      <c r="AM386" s="98"/>
      <c r="AN386" s="98"/>
      <c r="AO386" s="98"/>
    </row>
    <row r="387" spans="1:41" ht="15.75" customHeight="1" x14ac:dyDescent="0.2">
      <c r="A387" s="65" t="s">
        <v>145</v>
      </c>
      <c r="B387" s="243">
        <f>('Pivot Table for Data Exchange'!$R$151)*100</f>
        <v>76.975953669682738</v>
      </c>
      <c r="C387" s="243">
        <f>('Pivot Table for Data Exchange'!$R$154)*100</f>
        <v>0</v>
      </c>
      <c r="D387" s="249">
        <f t="shared" ref="D387:D388" si="48">SUM(E387:G387)</f>
        <v>23.024046330317251</v>
      </c>
      <c r="E387" s="243">
        <f>('Pivot Table for Data Exchange'!$R$157)*100</f>
        <v>22.714377299567211</v>
      </c>
      <c r="F387" s="243">
        <f>('Pivot Table for Data Exchange'!$R$160)*100</f>
        <v>0.30966903075004065</v>
      </c>
      <c r="G387" s="245">
        <f>('Pivot Table for Data Exchange'!$R$163)*100</f>
        <v>0</v>
      </c>
      <c r="H387" s="243">
        <f>('Pivot Table for Data Exchange'!$R$166)*100</f>
        <v>0</v>
      </c>
      <c r="I387" s="65"/>
      <c r="J387" s="81"/>
      <c r="K387" s="81"/>
      <c r="L387" s="81"/>
      <c r="M387" s="81"/>
      <c r="N387" s="81"/>
      <c r="O387" s="81"/>
      <c r="P387" s="81"/>
      <c r="Q387" s="248">
        <f t="shared" si="44"/>
        <v>99.999999999999986</v>
      </c>
      <c r="R387" s="97"/>
      <c r="S387" s="98"/>
      <c r="T387" s="98"/>
      <c r="U387" s="98"/>
      <c r="V387" s="98"/>
      <c r="W387" s="98"/>
      <c r="X387" s="98"/>
      <c r="Y387" s="98"/>
      <c r="Z387" s="98"/>
      <c r="AA387" s="98"/>
      <c r="AB387" s="98"/>
      <c r="AC387" s="98"/>
      <c r="AD387" s="98"/>
      <c r="AE387" s="98"/>
      <c r="AF387" s="98"/>
      <c r="AG387" s="98"/>
      <c r="AH387" s="98"/>
      <c r="AI387" s="98"/>
      <c r="AJ387" s="98"/>
      <c r="AK387" s="98"/>
      <c r="AL387" s="98"/>
      <c r="AM387" s="98"/>
      <c r="AN387" s="98"/>
      <c r="AO387" s="98"/>
    </row>
    <row r="388" spans="1:41" ht="15.75" customHeight="1" x14ac:dyDescent="0.2">
      <c r="A388" s="65" t="s">
        <v>146</v>
      </c>
      <c r="B388" s="243">
        <f>('Pivot Table for Data Exchange'!$R$187)*100</f>
        <v>76.206452465079423</v>
      </c>
      <c r="C388" s="243">
        <f>('Pivot Table for Data Exchange'!$R$190)*100</f>
        <v>0.4140937159462405</v>
      </c>
      <c r="D388" s="249">
        <f t="shared" si="48"/>
        <v>23.379453818974341</v>
      </c>
      <c r="E388" s="243">
        <f>('Pivot Table for Data Exchange'!$R$193)*100</f>
        <v>23.379453818974341</v>
      </c>
      <c r="F388" s="243">
        <f>('Pivot Table for Data Exchange'!$R$196)*100</f>
        <v>0</v>
      </c>
      <c r="G388" s="245">
        <f>('Pivot Table for Data Exchange'!$R$199)*100</f>
        <v>0</v>
      </c>
      <c r="H388" s="243">
        <f>('Pivot Table for Data Exchange'!$R$202)*100</f>
        <v>0</v>
      </c>
      <c r="I388" s="65"/>
      <c r="J388" s="81"/>
      <c r="K388" s="81"/>
      <c r="L388" s="81"/>
      <c r="M388" s="81"/>
      <c r="N388" s="81"/>
      <c r="O388" s="81"/>
      <c r="P388" s="81"/>
      <c r="Q388" s="248">
        <f t="shared" si="44"/>
        <v>100</v>
      </c>
      <c r="R388" s="97"/>
      <c r="S388" s="98"/>
      <c r="T388" s="98"/>
      <c r="U388" s="98"/>
      <c r="V388" s="98"/>
      <c r="W388" s="98"/>
      <c r="X388" s="98"/>
      <c r="Y388" s="98"/>
      <c r="Z388" s="98"/>
      <c r="AA388" s="98"/>
      <c r="AB388" s="98"/>
      <c r="AC388" s="98"/>
      <c r="AD388" s="98"/>
      <c r="AE388" s="98"/>
      <c r="AF388" s="98"/>
      <c r="AG388" s="98"/>
      <c r="AH388" s="98"/>
      <c r="AI388" s="98"/>
      <c r="AJ388" s="98"/>
      <c r="AK388" s="98"/>
      <c r="AL388" s="98"/>
      <c r="AM388" s="98"/>
      <c r="AN388" s="98"/>
      <c r="AO388" s="98"/>
    </row>
    <row r="389" spans="1:41" ht="15.75" customHeight="1" x14ac:dyDescent="0.2">
      <c r="A389" s="65" t="s">
        <v>147</v>
      </c>
      <c r="B389" s="243">
        <f>('Pivot Table for Data Exchange'!$R$223)*100</f>
        <v>0</v>
      </c>
      <c r="C389" s="243">
        <f>('Pivot Table for Data Exchange'!$R$226)*100</f>
        <v>0</v>
      </c>
      <c r="D389" s="249">
        <f>SUM(E389:G389)</f>
        <v>0</v>
      </c>
      <c r="E389" s="243">
        <f>('Pivot Table for Data Exchange'!$R$229)*100</f>
        <v>0</v>
      </c>
      <c r="F389" s="243">
        <f>('Pivot Table for Data Exchange'!$R$232)*100</f>
        <v>0</v>
      </c>
      <c r="G389" s="245">
        <f>('Pivot Table for Data Exchange'!$R$235)*100</f>
        <v>0</v>
      </c>
      <c r="H389" s="243">
        <f>('Pivot Table for Data Exchange'!$R$238)*100</f>
        <v>0</v>
      </c>
      <c r="I389" s="86"/>
      <c r="J389" s="81"/>
      <c r="K389" s="81"/>
      <c r="L389" s="81"/>
      <c r="M389" s="81"/>
      <c r="N389" s="81"/>
      <c r="O389" s="81"/>
      <c r="P389" s="81"/>
      <c r="Q389" s="248">
        <f t="shared" si="44"/>
        <v>0</v>
      </c>
      <c r="R389" s="97"/>
      <c r="S389" s="98"/>
      <c r="T389" s="104"/>
      <c r="U389" s="98"/>
      <c r="V389" s="98"/>
      <c r="W389" s="98"/>
      <c r="X389" s="98"/>
      <c r="Y389" s="98"/>
      <c r="Z389" s="98"/>
      <c r="AA389" s="98"/>
      <c r="AB389" s="98"/>
      <c r="AC389" s="98"/>
      <c r="AD389" s="98"/>
      <c r="AE389" s="98"/>
      <c r="AF389" s="98"/>
      <c r="AG389" s="98"/>
      <c r="AH389" s="98"/>
      <c r="AI389" s="98"/>
      <c r="AJ389" s="98"/>
      <c r="AK389" s="98"/>
      <c r="AL389" s="98"/>
      <c r="AM389" s="98"/>
      <c r="AN389" s="98"/>
      <c r="AO389" s="98"/>
    </row>
    <row r="390" spans="1:41" ht="15.75" customHeight="1" x14ac:dyDescent="0.2">
      <c r="A390" s="65" t="s">
        <v>177</v>
      </c>
      <c r="B390" s="243">
        <f>('Pivot Table for Data Exchange'!$R$259)*100</f>
        <v>0</v>
      </c>
      <c r="C390" s="243">
        <f>('Pivot Table for Data Exchange'!$R$262)*100</f>
        <v>0</v>
      </c>
      <c r="D390" s="249">
        <f>SUM(E390:G390)</f>
        <v>0</v>
      </c>
      <c r="E390" s="243">
        <f>('Pivot Table for Data Exchange'!$R$265)*100</f>
        <v>0</v>
      </c>
      <c r="F390" s="243">
        <f>('Pivot Table for Data Exchange'!$R$268)*100</f>
        <v>0</v>
      </c>
      <c r="G390" s="245">
        <f>('Pivot Table for Data Exchange'!$R$271)*100</f>
        <v>0</v>
      </c>
      <c r="H390" s="243">
        <f>('Pivot Table for Data Exchange'!$R$274)*100</f>
        <v>0</v>
      </c>
      <c r="I390" s="65"/>
      <c r="J390" s="81"/>
      <c r="K390" s="81"/>
      <c r="L390" s="81"/>
      <c r="M390" s="81"/>
      <c r="N390" s="81"/>
      <c r="O390" s="81"/>
      <c r="P390" s="81"/>
      <c r="Q390" s="248">
        <f t="shared" si="44"/>
        <v>0</v>
      </c>
      <c r="R390" s="97"/>
      <c r="S390" s="98"/>
      <c r="U390" s="98"/>
      <c r="V390" s="98"/>
      <c r="W390" s="98"/>
      <c r="X390" s="98"/>
      <c r="Y390" s="98"/>
      <c r="Z390" s="98"/>
      <c r="AA390" s="98"/>
      <c r="AB390" s="98"/>
      <c r="AC390" s="98"/>
      <c r="AD390" s="98"/>
      <c r="AE390" s="98"/>
      <c r="AF390" s="98"/>
      <c r="AG390" s="98"/>
      <c r="AH390" s="98"/>
      <c r="AI390" s="98"/>
      <c r="AJ390" s="98"/>
      <c r="AK390" s="98"/>
      <c r="AL390" s="98"/>
      <c r="AM390" s="98"/>
      <c r="AN390" s="98"/>
      <c r="AO390" s="98"/>
    </row>
    <row r="391" spans="1:41" ht="15.75" customHeight="1" x14ac:dyDescent="0.2">
      <c r="A391" s="65"/>
      <c r="B391" s="243"/>
      <c r="C391" s="243"/>
      <c r="D391" s="249"/>
      <c r="E391" s="243"/>
      <c r="F391" s="243"/>
      <c r="G391" s="245"/>
      <c r="H391" s="243"/>
      <c r="I391" s="65"/>
      <c r="J391" s="81"/>
      <c r="K391" s="81"/>
      <c r="L391" s="81"/>
      <c r="M391" s="81"/>
      <c r="N391" s="81"/>
      <c r="O391" s="81"/>
      <c r="P391" s="81"/>
      <c r="Q391" s="248">
        <f t="shared" si="44"/>
        <v>0</v>
      </c>
      <c r="R391" s="97"/>
      <c r="S391" s="98"/>
      <c r="U391" s="98"/>
      <c r="V391" s="98"/>
      <c r="W391" s="98"/>
      <c r="X391" s="98"/>
      <c r="Y391" s="98"/>
      <c r="Z391" s="98"/>
      <c r="AA391" s="98"/>
      <c r="AB391" s="98"/>
      <c r="AC391" s="98"/>
      <c r="AD391" s="98"/>
      <c r="AE391" s="98"/>
      <c r="AF391" s="98"/>
      <c r="AG391" s="98"/>
      <c r="AH391" s="98"/>
      <c r="AI391" s="98"/>
      <c r="AJ391" s="98"/>
      <c r="AK391" s="98"/>
      <c r="AL391" s="98"/>
      <c r="AM391" s="98"/>
      <c r="AN391" s="98"/>
      <c r="AO391" s="98"/>
    </row>
    <row r="392" spans="1:41" ht="15.75" customHeight="1" x14ac:dyDescent="0.2">
      <c r="A392" s="65" t="s">
        <v>148</v>
      </c>
      <c r="B392" s="243">
        <f>('Pivot Table for Data Exchange'!$R$295)*100</f>
        <v>0</v>
      </c>
      <c r="C392" s="243">
        <f>('Pivot Table for Data Exchange'!$R$298)*100</f>
        <v>0</v>
      </c>
      <c r="D392" s="249">
        <f>SUM(E392:G392)</f>
        <v>0</v>
      </c>
      <c r="E392" s="243">
        <f>('Pivot Table for Data Exchange'!$R$301)*100</f>
        <v>0</v>
      </c>
      <c r="F392" s="243">
        <f>('Pivot Table for Data Exchange'!$R$304)*100</f>
        <v>0</v>
      </c>
      <c r="G392" s="245">
        <f>('Pivot Table for Data Exchange'!$R$307)*100</f>
        <v>0</v>
      </c>
      <c r="H392" s="243">
        <f>('Pivot Table for Data Exchange'!$R$310)*100</f>
        <v>0</v>
      </c>
      <c r="I392" s="65"/>
      <c r="J392" s="81"/>
      <c r="K392" s="81"/>
      <c r="L392" s="81"/>
      <c r="M392" s="81"/>
      <c r="N392" s="81"/>
      <c r="O392" s="81"/>
      <c r="P392" s="81"/>
      <c r="Q392" s="248">
        <f t="shared" si="44"/>
        <v>0</v>
      </c>
      <c r="R392" s="97"/>
      <c r="S392" s="98"/>
      <c r="T392" s="98"/>
      <c r="U392" s="98"/>
      <c r="V392" s="98"/>
      <c r="W392" s="98"/>
      <c r="X392" s="98"/>
      <c r="Y392" s="98"/>
      <c r="Z392" s="98"/>
      <c r="AA392" s="98"/>
      <c r="AB392" s="98"/>
      <c r="AC392" s="98"/>
      <c r="AD392" s="98"/>
      <c r="AE392" s="98"/>
      <c r="AF392" s="98"/>
      <c r="AG392" s="98"/>
      <c r="AH392" s="98"/>
      <c r="AI392" s="98"/>
      <c r="AJ392" s="98"/>
      <c r="AK392" s="98"/>
      <c r="AL392" s="98"/>
      <c r="AM392" s="98"/>
      <c r="AN392" s="98"/>
      <c r="AO392" s="98"/>
    </row>
    <row r="393" spans="1:41" ht="15.75" customHeight="1" x14ac:dyDescent="0.2">
      <c r="A393" s="65" t="s">
        <v>149</v>
      </c>
      <c r="B393" s="243">
        <f>('Pivot Table for Data Exchange'!$R$331)*100</f>
        <v>0</v>
      </c>
      <c r="C393" s="243">
        <f>('Pivot Table for Data Exchange'!$R$334)*100</f>
        <v>0</v>
      </c>
      <c r="D393" s="249">
        <f>SUM(E393:G393)</f>
        <v>0</v>
      </c>
      <c r="E393" s="243">
        <f>('Pivot Table for Data Exchange'!$R$337)*100</f>
        <v>0</v>
      </c>
      <c r="F393" s="243">
        <f>('Pivot Table for Data Exchange'!$R$340)*100</f>
        <v>0</v>
      </c>
      <c r="G393" s="245">
        <f>('Pivot Table for Data Exchange'!$R$343)*100</f>
        <v>0</v>
      </c>
      <c r="H393" s="243">
        <f>('Pivot Table for Data Exchange'!$R$346)*100</f>
        <v>0</v>
      </c>
      <c r="I393" s="65"/>
      <c r="J393" s="81"/>
      <c r="K393" s="81"/>
      <c r="L393" s="81"/>
      <c r="M393" s="81"/>
      <c r="N393" s="81"/>
      <c r="O393" s="81"/>
      <c r="P393" s="81"/>
      <c r="Q393" s="248">
        <f t="shared" si="44"/>
        <v>0</v>
      </c>
      <c r="R393" s="97"/>
      <c r="S393" s="98"/>
      <c r="T393" s="98"/>
      <c r="U393" s="98"/>
      <c r="V393" s="98"/>
      <c r="W393" s="98"/>
      <c r="X393" s="98"/>
      <c r="Y393" s="98"/>
      <c r="Z393" s="98"/>
      <c r="AA393" s="98"/>
      <c r="AB393" s="98"/>
      <c r="AC393" s="98"/>
      <c r="AD393" s="98"/>
      <c r="AE393" s="98"/>
      <c r="AF393" s="98"/>
      <c r="AG393" s="98"/>
      <c r="AH393" s="98"/>
      <c r="AI393" s="98"/>
      <c r="AJ393" s="98"/>
      <c r="AK393" s="98"/>
      <c r="AL393" s="98"/>
      <c r="AM393" s="98"/>
      <c r="AN393" s="98"/>
      <c r="AO393" s="98"/>
    </row>
    <row r="394" spans="1:41" ht="15.75" customHeight="1" x14ac:dyDescent="0.2">
      <c r="A394" s="65" t="s">
        <v>150</v>
      </c>
      <c r="B394" s="243">
        <f>('Pivot Table for Data Exchange'!$R$367)*100</f>
        <v>0</v>
      </c>
      <c r="C394" s="243">
        <f>('Pivot Table for Data Exchange'!$R$370)*100</f>
        <v>0</v>
      </c>
      <c r="D394" s="249">
        <f>SUM(E394:G394)</f>
        <v>0</v>
      </c>
      <c r="E394" s="243">
        <f>('Pivot Table for Data Exchange'!$R$373)*100</f>
        <v>0</v>
      </c>
      <c r="F394" s="243">
        <f>('Pivot Table for Data Exchange'!$R$376)*100</f>
        <v>0</v>
      </c>
      <c r="G394" s="245">
        <f>('Pivot Table for Data Exchange'!$R$379)*100</f>
        <v>0</v>
      </c>
      <c r="H394" s="243">
        <f>('Pivot Table for Data Exchange'!$R$382)*100</f>
        <v>0</v>
      </c>
      <c r="I394" s="65"/>
      <c r="J394" s="81"/>
      <c r="K394" s="81"/>
      <c r="L394" s="81"/>
      <c r="M394" s="81"/>
      <c r="N394" s="81"/>
      <c r="O394" s="81"/>
      <c r="P394" s="81"/>
      <c r="Q394" s="248">
        <f t="shared" si="44"/>
        <v>0</v>
      </c>
      <c r="R394" s="97"/>
      <c r="S394" s="98"/>
      <c r="T394" s="104"/>
      <c r="U394" s="98"/>
      <c r="V394" s="98"/>
      <c r="W394" s="98"/>
      <c r="X394" s="98"/>
      <c r="Y394" s="98"/>
      <c r="Z394" s="98"/>
      <c r="AA394" s="98"/>
      <c r="AB394" s="98"/>
      <c r="AC394" s="98"/>
      <c r="AD394" s="98"/>
      <c r="AE394" s="98"/>
      <c r="AF394" s="98"/>
      <c r="AG394" s="98"/>
      <c r="AH394" s="98"/>
      <c r="AI394" s="98"/>
      <c r="AJ394" s="98"/>
      <c r="AK394" s="98"/>
      <c r="AL394" s="98"/>
      <c r="AM394" s="98"/>
      <c r="AN394" s="98"/>
      <c r="AO394" s="98"/>
    </row>
    <row r="395" spans="1:41" ht="15.75" customHeight="1" x14ac:dyDescent="0.2">
      <c r="A395" s="65" t="s">
        <v>151</v>
      </c>
      <c r="B395" s="243">
        <f>('Pivot Table for Data Exchange'!$R$403)*100</f>
        <v>0</v>
      </c>
      <c r="C395" s="243">
        <f>('Pivot Table for Data Exchange'!$R$406)*100</f>
        <v>0</v>
      </c>
      <c r="D395" s="249">
        <f>SUM(E395:G395)</f>
        <v>0</v>
      </c>
      <c r="E395" s="243">
        <f>('Pivot Table for Data Exchange'!$R$409)*100</f>
        <v>0</v>
      </c>
      <c r="F395" s="243">
        <f>('Pivot Table for Data Exchange'!$R$412)*100</f>
        <v>0</v>
      </c>
      <c r="G395" s="245">
        <f>('Pivot Table for Data Exchange'!$R$415)*100</f>
        <v>0</v>
      </c>
      <c r="H395" s="243">
        <f>('Pivot Table for Data Exchange'!$R$418)*100</f>
        <v>0</v>
      </c>
      <c r="I395" s="65"/>
      <c r="J395" s="81"/>
      <c r="K395" s="81"/>
      <c r="L395" s="81"/>
      <c r="M395" s="81"/>
      <c r="N395" s="81"/>
      <c r="O395" s="81"/>
      <c r="P395" s="81"/>
      <c r="Q395" s="248">
        <f t="shared" si="44"/>
        <v>0</v>
      </c>
      <c r="R395" s="97"/>
      <c r="S395" s="98"/>
      <c r="T395" s="98"/>
      <c r="U395" s="98"/>
      <c r="V395" s="98"/>
      <c r="W395" s="98"/>
      <c r="X395" s="98"/>
      <c r="Y395" s="98"/>
      <c r="Z395" s="98"/>
      <c r="AA395" s="98"/>
      <c r="AB395" s="98"/>
      <c r="AC395" s="98"/>
      <c r="AD395" s="98"/>
      <c r="AE395" s="98"/>
      <c r="AF395" s="98"/>
      <c r="AG395" s="98"/>
      <c r="AH395" s="98"/>
      <c r="AI395" s="98"/>
      <c r="AJ395" s="98"/>
      <c r="AK395" s="98"/>
      <c r="AL395" s="98"/>
      <c r="AM395" s="98"/>
      <c r="AN395" s="98"/>
      <c r="AO395" s="98"/>
    </row>
    <row r="396" spans="1:41" ht="15.75" customHeight="1" x14ac:dyDescent="0.2">
      <c r="A396" s="65"/>
      <c r="B396" s="243"/>
      <c r="C396" s="243"/>
      <c r="D396" s="249"/>
      <c r="E396" s="243"/>
      <c r="F396" s="243"/>
      <c r="G396" s="245"/>
      <c r="H396" s="243"/>
      <c r="I396" s="65"/>
      <c r="J396" s="81"/>
      <c r="K396" s="81"/>
      <c r="L396" s="81"/>
      <c r="M396" s="81"/>
      <c r="N396" s="81"/>
      <c r="O396" s="81"/>
      <c r="P396" s="81"/>
      <c r="Q396" s="248">
        <f t="shared" si="44"/>
        <v>0</v>
      </c>
      <c r="R396" s="97"/>
      <c r="S396" s="98"/>
      <c r="T396" s="98"/>
      <c r="U396" s="98"/>
      <c r="V396" s="98"/>
      <c r="W396" s="98"/>
      <c r="X396" s="98"/>
      <c r="Y396" s="98"/>
      <c r="Z396" s="98"/>
      <c r="AA396" s="98"/>
      <c r="AB396" s="98"/>
      <c r="AC396" s="98"/>
      <c r="AD396" s="98"/>
      <c r="AE396" s="98"/>
      <c r="AF396" s="98"/>
      <c r="AG396" s="98"/>
      <c r="AH396" s="98"/>
      <c r="AI396" s="98"/>
      <c r="AJ396" s="98"/>
      <c r="AK396" s="98"/>
      <c r="AL396" s="98"/>
      <c r="AM396" s="98"/>
      <c r="AN396" s="98"/>
      <c r="AO396" s="98"/>
    </row>
    <row r="397" spans="1:41" ht="15.75" customHeight="1" x14ac:dyDescent="0.2">
      <c r="A397" s="65" t="s">
        <v>152</v>
      </c>
      <c r="B397" s="243">
        <f>('Pivot Table for Data Exchange'!$R$439)*100</f>
        <v>0</v>
      </c>
      <c r="C397" s="243">
        <f>('Pivot Table for Data Exchange'!$R$442)*100</f>
        <v>0</v>
      </c>
      <c r="D397" s="249">
        <f>SUM(E397:G397)</f>
        <v>0</v>
      </c>
      <c r="E397" s="243">
        <f>('Pivot Table for Data Exchange'!$R$445)*100</f>
        <v>0</v>
      </c>
      <c r="F397" s="243">
        <f>('Pivot Table for Data Exchange'!$R$448)*100</f>
        <v>0</v>
      </c>
      <c r="G397" s="245">
        <f>('Pivot Table for Data Exchange'!$R$451)*100</f>
        <v>0</v>
      </c>
      <c r="H397" s="243">
        <f>('Pivot Table for Data Exchange'!$R$454)*100</f>
        <v>0</v>
      </c>
      <c r="I397" s="65"/>
      <c r="J397" s="81"/>
      <c r="K397" s="81"/>
      <c r="L397" s="81"/>
      <c r="M397" s="81"/>
      <c r="N397" s="81"/>
      <c r="O397" s="81"/>
      <c r="P397" s="81"/>
      <c r="Q397" s="248">
        <f t="shared" si="44"/>
        <v>0</v>
      </c>
      <c r="R397" s="97"/>
      <c r="S397" s="98"/>
      <c r="T397" s="98"/>
      <c r="U397" s="98"/>
      <c r="V397" s="98"/>
      <c r="W397" s="98"/>
      <c r="X397" s="98"/>
      <c r="Y397" s="98"/>
      <c r="Z397" s="98"/>
      <c r="AA397" s="98"/>
      <c r="AB397" s="98"/>
      <c r="AC397" s="98"/>
      <c r="AD397" s="98"/>
      <c r="AE397" s="98"/>
      <c r="AF397" s="98"/>
      <c r="AG397" s="98"/>
      <c r="AH397" s="98"/>
      <c r="AI397" s="98"/>
      <c r="AJ397" s="98"/>
      <c r="AK397" s="98"/>
      <c r="AL397" s="98"/>
      <c r="AM397" s="98"/>
      <c r="AN397" s="98"/>
      <c r="AO397" s="98"/>
    </row>
    <row r="398" spans="1:41" ht="15.75" customHeight="1" x14ac:dyDescent="0.2">
      <c r="A398" s="65" t="s">
        <v>153</v>
      </c>
      <c r="B398" s="243">
        <f>('Pivot Table for Data Exchange'!$R$475)*100</f>
        <v>0</v>
      </c>
      <c r="C398" s="243">
        <f>('Pivot Table for Data Exchange'!$R$478)*100</f>
        <v>0</v>
      </c>
      <c r="D398" s="249">
        <f>SUM(E398:G398)</f>
        <v>0</v>
      </c>
      <c r="E398" s="243">
        <f>('Pivot Table for Data Exchange'!$R$481)*100</f>
        <v>0</v>
      </c>
      <c r="F398" s="243">
        <f>('Pivot Table for Data Exchange'!$R$484)*100</f>
        <v>0</v>
      </c>
      <c r="G398" s="245">
        <f>('Pivot Table for Data Exchange'!$R$487)*100</f>
        <v>0</v>
      </c>
      <c r="H398" s="243">
        <f>('Pivot Table for Data Exchange'!$R$490)*100</f>
        <v>0</v>
      </c>
      <c r="I398" s="65"/>
      <c r="J398" s="81"/>
      <c r="K398" s="81"/>
      <c r="L398" s="81"/>
      <c r="M398" s="81"/>
      <c r="N398" s="81"/>
      <c r="O398" s="81"/>
      <c r="P398" s="81"/>
      <c r="Q398" s="248">
        <f t="shared" si="44"/>
        <v>0</v>
      </c>
      <c r="R398" s="97"/>
      <c r="S398" s="98"/>
      <c r="T398" s="98"/>
      <c r="U398" s="98"/>
      <c r="V398" s="98"/>
      <c r="W398" s="98"/>
      <c r="X398" s="98"/>
      <c r="Y398" s="98"/>
      <c r="Z398" s="98"/>
      <c r="AA398" s="98"/>
      <c r="AB398" s="98"/>
      <c r="AC398" s="98"/>
      <c r="AD398" s="98"/>
      <c r="AE398" s="98"/>
      <c r="AF398" s="98"/>
      <c r="AG398" s="98"/>
      <c r="AH398" s="98"/>
      <c r="AI398" s="98"/>
      <c r="AJ398" s="98"/>
      <c r="AK398" s="98"/>
      <c r="AL398" s="98"/>
      <c r="AM398" s="98"/>
      <c r="AN398" s="98"/>
      <c r="AO398" s="98"/>
    </row>
    <row r="399" spans="1:41" ht="15.75" customHeight="1" x14ac:dyDescent="0.2">
      <c r="A399" s="65" t="s">
        <v>154</v>
      </c>
      <c r="B399" s="243">
        <f>('Pivot Table for Data Exchange'!$R$511)*100</f>
        <v>0</v>
      </c>
      <c r="C399" s="243">
        <f>('Pivot Table for Data Exchange'!$R$514)*100</f>
        <v>0</v>
      </c>
      <c r="D399" s="249">
        <f>SUM(E399:G399)</f>
        <v>0</v>
      </c>
      <c r="E399" s="243">
        <f>('Pivot Table for Data Exchange'!$R$517)*100</f>
        <v>0</v>
      </c>
      <c r="F399" s="243">
        <f>('Pivot Table for Data Exchange'!$R$520)*100</f>
        <v>0</v>
      </c>
      <c r="G399" s="245">
        <f>('Pivot Table for Data Exchange'!$R$523)*100</f>
        <v>0</v>
      </c>
      <c r="H399" s="243">
        <f>('Pivot Table for Data Exchange'!$R$526)*100</f>
        <v>0</v>
      </c>
      <c r="I399" s="65"/>
      <c r="J399" s="81"/>
      <c r="K399" s="81"/>
      <c r="L399" s="81"/>
      <c r="M399" s="81"/>
      <c r="N399" s="81"/>
      <c r="O399" s="81"/>
      <c r="P399" s="81"/>
      <c r="Q399" s="248">
        <f t="shared" si="44"/>
        <v>0</v>
      </c>
      <c r="R399" s="97"/>
      <c r="S399" s="98"/>
      <c r="T399" s="98"/>
      <c r="U399" s="98"/>
      <c r="V399" s="98"/>
      <c r="W399" s="98"/>
      <c r="X399" s="98"/>
      <c r="Y399" s="98"/>
      <c r="Z399" s="98"/>
      <c r="AA399" s="98"/>
      <c r="AB399" s="98"/>
      <c r="AC399" s="98"/>
      <c r="AD399" s="98"/>
      <c r="AE399" s="98"/>
      <c r="AF399" s="98"/>
      <c r="AG399" s="98"/>
      <c r="AH399" s="98"/>
      <c r="AI399" s="98"/>
      <c r="AJ399" s="98"/>
      <c r="AK399" s="98"/>
      <c r="AL399" s="98"/>
      <c r="AM399" s="98"/>
      <c r="AN399" s="98"/>
      <c r="AO399" s="98"/>
    </row>
    <row r="400" spans="1:41" ht="15.75" customHeight="1" x14ac:dyDescent="0.2">
      <c r="A400" s="39" t="s">
        <v>155</v>
      </c>
      <c r="B400" s="246">
        <f>('Pivot Table for Data Exchange'!$R$547)*100</f>
        <v>0</v>
      </c>
      <c r="C400" s="246">
        <f>('Pivot Table for Data Exchange'!$R$550)*100</f>
        <v>0</v>
      </c>
      <c r="D400" s="250">
        <f>SUM(E400:G400)</f>
        <v>0</v>
      </c>
      <c r="E400" s="246">
        <f>('Pivot Table for Data Exchange'!$R$553)*100</f>
        <v>0</v>
      </c>
      <c r="F400" s="246">
        <f>('Pivot Table for Data Exchange'!$R$556)*100</f>
        <v>0</v>
      </c>
      <c r="G400" s="247">
        <f>('Pivot Table for Data Exchange'!$R$559)*100</f>
        <v>0</v>
      </c>
      <c r="H400" s="246">
        <f>('Pivot Table for Data Exchange'!$R$562)*100</f>
        <v>0</v>
      </c>
      <c r="I400" s="65"/>
      <c r="J400" s="81"/>
      <c r="K400" s="81"/>
      <c r="L400" s="81"/>
      <c r="M400" s="81"/>
      <c r="N400" s="81"/>
      <c r="O400" s="81"/>
      <c r="P400" s="81"/>
      <c r="Q400" s="248">
        <f t="shared" si="44"/>
        <v>0</v>
      </c>
      <c r="R400" s="97"/>
      <c r="S400" s="98"/>
      <c r="T400" s="98"/>
      <c r="U400" s="98"/>
      <c r="V400" s="98"/>
      <c r="W400" s="98"/>
      <c r="X400" s="98"/>
      <c r="Y400" s="98"/>
      <c r="Z400" s="98"/>
      <c r="AA400" s="98"/>
      <c r="AB400" s="98"/>
      <c r="AC400" s="98"/>
      <c r="AD400" s="98"/>
      <c r="AE400" s="98"/>
      <c r="AF400" s="98"/>
      <c r="AG400" s="98"/>
      <c r="AH400" s="98"/>
      <c r="AI400" s="98"/>
      <c r="AJ400" s="98"/>
      <c r="AK400" s="98"/>
      <c r="AL400" s="98"/>
      <c r="AM400" s="98"/>
      <c r="AN400" s="98"/>
      <c r="AO400" s="98"/>
    </row>
    <row r="401" spans="1:41" s="103" customFormat="1" ht="18" customHeight="1" x14ac:dyDescent="0.2">
      <c r="A401" s="24" t="s">
        <v>175</v>
      </c>
      <c r="B401" s="69"/>
      <c r="C401" s="69"/>
      <c r="D401" s="70"/>
      <c r="E401" s="69"/>
      <c r="F401" s="70"/>
      <c r="G401" s="70"/>
      <c r="H401" s="69"/>
      <c r="I401" s="24"/>
      <c r="J401" s="69"/>
      <c r="K401" s="69"/>
      <c r="L401" s="70"/>
      <c r="M401" s="69"/>
      <c r="N401" s="70"/>
      <c r="O401" s="70"/>
      <c r="P401" s="69"/>
      <c r="Q401" s="248">
        <f t="shared" si="44"/>
        <v>0</v>
      </c>
      <c r="R401" s="101"/>
      <c r="S401" s="102"/>
      <c r="T401" s="102"/>
      <c r="U401" s="102"/>
      <c r="V401" s="102"/>
      <c r="W401" s="102"/>
      <c r="X401" s="102"/>
      <c r="Y401" s="102"/>
      <c r="Z401" s="102"/>
      <c r="AA401" s="102"/>
      <c r="AB401" s="102"/>
      <c r="AC401" s="102"/>
      <c r="AD401" s="102"/>
      <c r="AE401" s="102"/>
      <c r="AF401" s="102"/>
      <c r="AG401" s="102"/>
      <c r="AH401" s="102"/>
      <c r="AI401" s="102"/>
      <c r="AJ401" s="102"/>
      <c r="AK401" s="102"/>
      <c r="AL401" s="102"/>
      <c r="AM401" s="102"/>
      <c r="AN401" s="102"/>
      <c r="AO401" s="102"/>
    </row>
    <row r="402" spans="1:41" s="103" customFormat="1" ht="18" customHeight="1" x14ac:dyDescent="0.2">
      <c r="A402" s="24"/>
      <c r="B402" s="69"/>
      <c r="C402" s="69"/>
      <c r="D402" s="70"/>
      <c r="E402" s="69"/>
      <c r="F402" s="70"/>
      <c r="G402" s="70"/>
      <c r="H402" s="69"/>
      <c r="I402" s="24"/>
      <c r="J402" s="69"/>
      <c r="K402" s="69"/>
      <c r="L402" s="70"/>
      <c r="M402" s="69"/>
      <c r="N402" s="70"/>
      <c r="O402" s="70"/>
      <c r="P402" s="69"/>
      <c r="Q402" s="248">
        <f t="shared" si="44"/>
        <v>0</v>
      </c>
      <c r="R402" s="101"/>
      <c r="S402" s="102"/>
      <c r="T402" s="102"/>
      <c r="U402" s="102"/>
      <c r="V402" s="102"/>
      <c r="W402" s="102"/>
      <c r="X402" s="102"/>
      <c r="Y402" s="102"/>
      <c r="Z402" s="102"/>
      <c r="AA402" s="102"/>
      <c r="AB402" s="102"/>
      <c r="AC402" s="102"/>
      <c r="AD402" s="102"/>
      <c r="AE402" s="102"/>
      <c r="AF402" s="102"/>
      <c r="AG402" s="102"/>
      <c r="AH402" s="102"/>
      <c r="AI402" s="102"/>
      <c r="AJ402" s="102"/>
      <c r="AK402" s="102"/>
      <c r="AL402" s="102"/>
      <c r="AM402" s="102"/>
      <c r="AN402" s="102"/>
      <c r="AO402" s="102"/>
    </row>
    <row r="403" spans="1:41" s="100" customFormat="1" ht="15.75" customHeight="1" x14ac:dyDescent="0.2">
      <c r="A403" s="65"/>
      <c r="B403" s="83"/>
      <c r="C403" s="83"/>
      <c r="D403" s="83"/>
      <c r="E403" s="83"/>
      <c r="F403" s="83"/>
      <c r="G403" s="83"/>
      <c r="H403" s="27" t="s">
        <v>914</v>
      </c>
      <c r="I403" s="65"/>
      <c r="J403" s="81"/>
      <c r="K403" s="81"/>
      <c r="L403" s="81"/>
      <c r="M403" s="81"/>
      <c r="N403" s="81"/>
      <c r="O403" s="81"/>
      <c r="P403" s="81"/>
      <c r="Q403" s="248">
        <f t="shared" si="44"/>
        <v>0</v>
      </c>
      <c r="R403" s="97"/>
      <c r="S403" s="107"/>
      <c r="T403" s="107"/>
      <c r="U403" s="107"/>
      <c r="V403" s="107"/>
      <c r="W403" s="107"/>
      <c r="X403" s="107"/>
      <c r="Y403" s="107"/>
      <c r="Z403" s="107"/>
      <c r="AA403" s="107"/>
      <c r="AB403" s="107"/>
      <c r="AC403" s="107"/>
      <c r="AD403" s="107"/>
      <c r="AE403" s="107"/>
      <c r="AF403" s="107"/>
      <c r="AG403" s="107"/>
      <c r="AH403" s="107"/>
      <c r="AI403" s="107"/>
      <c r="AJ403" s="107"/>
      <c r="AK403" s="107"/>
      <c r="AL403" s="107"/>
      <c r="AM403" s="107"/>
      <c r="AN403" s="107"/>
      <c r="AO403" s="107"/>
    </row>
    <row r="404" spans="1:41" ht="18" x14ac:dyDescent="0.25">
      <c r="A404" s="16" t="s">
        <v>214</v>
      </c>
      <c r="B404" s="34"/>
      <c r="C404" s="34"/>
      <c r="D404" s="34"/>
      <c r="E404" s="34"/>
      <c r="F404" s="34"/>
      <c r="G404" s="34"/>
      <c r="H404" s="35"/>
      <c r="I404" s="80"/>
      <c r="J404" s="65"/>
      <c r="K404" s="65"/>
      <c r="L404" s="65"/>
      <c r="M404" s="65"/>
      <c r="N404" s="65"/>
      <c r="O404" s="65"/>
      <c r="P404" s="65"/>
      <c r="Q404" s="248">
        <f t="shared" si="44"/>
        <v>0</v>
      </c>
    </row>
    <row r="405" spans="1:41" x14ac:dyDescent="0.2">
      <c r="A405" s="18"/>
      <c r="B405" s="19"/>
      <c r="C405" s="19"/>
      <c r="D405" s="19"/>
      <c r="E405" s="19"/>
      <c r="F405" s="19"/>
      <c r="G405" s="19"/>
      <c r="H405" s="36"/>
      <c r="I405" s="80"/>
      <c r="J405" s="65"/>
      <c r="K405" s="65"/>
      <c r="L405" s="65"/>
      <c r="M405" s="65"/>
      <c r="N405" s="65"/>
      <c r="O405" s="65"/>
      <c r="P405" s="65"/>
      <c r="Q405" s="248">
        <f t="shared" si="44"/>
        <v>0</v>
      </c>
    </row>
    <row r="406" spans="1:41" ht="15.75" x14ac:dyDescent="0.25">
      <c r="A406" s="37" t="s">
        <v>162</v>
      </c>
      <c r="B406" s="19"/>
      <c r="C406" s="19"/>
      <c r="D406" s="19"/>
      <c r="E406" s="19"/>
      <c r="F406" s="19"/>
      <c r="G406" s="19"/>
      <c r="H406" s="36"/>
      <c r="I406" s="80"/>
      <c r="J406" s="65"/>
      <c r="K406" s="65"/>
      <c r="L406" s="65"/>
      <c r="M406" s="65"/>
      <c r="N406" s="65"/>
      <c r="O406" s="65"/>
      <c r="P406" s="65"/>
      <c r="Q406" s="248">
        <f t="shared" si="44"/>
        <v>0</v>
      </c>
    </row>
    <row r="407" spans="1:41" ht="15.75" x14ac:dyDescent="0.25">
      <c r="A407" s="37" t="s">
        <v>879</v>
      </c>
      <c r="B407" s="19"/>
      <c r="C407" s="19"/>
      <c r="D407" s="19"/>
      <c r="E407" s="19"/>
      <c r="F407" s="19"/>
      <c r="G407" s="19"/>
      <c r="H407" s="36"/>
      <c r="I407" s="80"/>
      <c r="J407" s="65"/>
      <c r="K407" s="65"/>
      <c r="L407" s="65"/>
      <c r="M407" s="65"/>
      <c r="N407" s="65"/>
      <c r="O407" s="65"/>
      <c r="P407" s="65"/>
      <c r="Q407" s="248">
        <f t="shared" si="44"/>
        <v>0</v>
      </c>
    </row>
    <row r="408" spans="1:41" x14ac:dyDescent="0.2">
      <c r="A408" s="39"/>
      <c r="B408" s="40"/>
      <c r="C408" s="40"/>
      <c r="D408" s="40"/>
      <c r="E408" s="40"/>
      <c r="F408" s="40"/>
      <c r="G408" s="40"/>
      <c r="H408" s="40"/>
      <c r="I408" s="80"/>
      <c r="J408" s="65"/>
      <c r="K408" s="65"/>
      <c r="L408" s="65"/>
      <c r="M408" s="65"/>
      <c r="N408" s="65"/>
      <c r="O408" s="65"/>
      <c r="P408" s="65"/>
      <c r="Q408" s="248">
        <f t="shared" si="44"/>
        <v>0</v>
      </c>
    </row>
    <row r="409" spans="1:41" x14ac:dyDescent="0.2">
      <c r="A409" s="43"/>
      <c r="B409" s="44" t="s">
        <v>164</v>
      </c>
      <c r="C409" s="44"/>
      <c r="D409" s="44"/>
      <c r="E409" s="44"/>
      <c r="F409" s="44"/>
      <c r="G409" s="44"/>
      <c r="H409" s="45"/>
      <c r="I409" s="80"/>
      <c r="J409" s="65"/>
      <c r="K409" s="65"/>
      <c r="L409" s="65"/>
      <c r="M409" s="65"/>
      <c r="N409" s="65"/>
      <c r="O409" s="65"/>
      <c r="P409" s="65"/>
      <c r="Q409" s="248">
        <f t="shared" si="44"/>
        <v>0</v>
      </c>
    </row>
    <row r="410" spans="1:41" x14ac:dyDescent="0.2">
      <c r="A410" s="43"/>
      <c r="B410" s="44" t="s">
        <v>165</v>
      </c>
      <c r="C410" s="44"/>
      <c r="D410" s="670" t="s">
        <v>166</v>
      </c>
      <c r="E410" s="668"/>
      <c r="F410" s="668"/>
      <c r="G410" s="668"/>
      <c r="H410" s="49" t="s">
        <v>39</v>
      </c>
      <c r="I410" s="80"/>
      <c r="J410" s="65"/>
      <c r="K410" s="65"/>
      <c r="L410" s="65"/>
      <c r="M410" s="65"/>
      <c r="N410" s="65"/>
      <c r="O410" s="65"/>
      <c r="P410" s="65"/>
      <c r="Q410" s="248">
        <f t="shared" si="44"/>
        <v>0</v>
      </c>
    </row>
    <row r="411" spans="1:41" ht="36" x14ac:dyDescent="0.2">
      <c r="A411" s="43"/>
      <c r="B411" s="50" t="s">
        <v>167</v>
      </c>
      <c r="C411" s="51" t="s">
        <v>168</v>
      </c>
      <c r="D411" s="52" t="s">
        <v>169</v>
      </c>
      <c r="E411" s="53" t="s">
        <v>7</v>
      </c>
      <c r="F411" s="50" t="s">
        <v>170</v>
      </c>
      <c r="G411" s="54" t="s">
        <v>171</v>
      </c>
      <c r="H411" s="55" t="s">
        <v>172</v>
      </c>
      <c r="I411" s="80"/>
      <c r="J411" s="65"/>
      <c r="K411" s="65"/>
      <c r="L411" s="65"/>
      <c r="M411" s="65"/>
      <c r="N411" s="65"/>
      <c r="O411" s="65"/>
      <c r="P411" s="65"/>
      <c r="Q411" s="248">
        <f t="shared" si="44"/>
        <v>0</v>
      </c>
    </row>
    <row r="412" spans="1:41" ht="15.75" customHeight="1" x14ac:dyDescent="0.2">
      <c r="A412" s="62" t="s">
        <v>141</v>
      </c>
      <c r="B412" s="82">
        <f>('Pivot Table for Data Exchange'!$P$7)*100</f>
        <v>40.738178763772915</v>
      </c>
      <c r="C412" s="243">
        <f>('Pivot Table for Data Exchange'!$P$10)*100</f>
        <v>51.1117150056821</v>
      </c>
      <c r="D412" s="249">
        <f>SUM(E412:G412)</f>
        <v>8.1501062305449867</v>
      </c>
      <c r="E412" s="243">
        <f>('Pivot Table for Data Exchange'!$P$13)*100</f>
        <v>8.1501062305449867</v>
      </c>
      <c r="F412" s="243">
        <f>('Pivot Table for Data Exchange'!$P$16)*100</f>
        <v>0</v>
      </c>
      <c r="G412" s="60">
        <f>('Pivot Table for Data Exchange'!$P$19)*100</f>
        <v>0</v>
      </c>
      <c r="H412" s="243">
        <f>('Pivot Table for Data Exchange'!$P$22)*100</f>
        <v>0</v>
      </c>
      <c r="I412" s="65"/>
      <c r="J412" s="81"/>
      <c r="K412" s="81"/>
      <c r="L412" s="81"/>
      <c r="M412" s="81"/>
      <c r="N412" s="81"/>
      <c r="O412" s="81"/>
      <c r="P412" s="81"/>
      <c r="Q412" s="248">
        <f t="shared" si="44"/>
        <v>100</v>
      </c>
      <c r="R412" s="97"/>
      <c r="S412" s="98"/>
      <c r="T412" s="98"/>
      <c r="U412" s="98"/>
      <c r="V412" s="98"/>
      <c r="W412" s="98"/>
      <c r="X412" s="98"/>
      <c r="Y412" s="98"/>
      <c r="Z412" s="98"/>
      <c r="AA412" s="98"/>
      <c r="AB412" s="98"/>
      <c r="AC412" s="98"/>
      <c r="AD412" s="98"/>
      <c r="AE412" s="98"/>
      <c r="AF412" s="98"/>
      <c r="AG412" s="98"/>
      <c r="AH412" s="98"/>
      <c r="AI412" s="98"/>
      <c r="AJ412" s="98"/>
      <c r="AK412" s="98"/>
      <c r="AL412" s="98"/>
      <c r="AM412" s="98"/>
      <c r="AN412" s="98"/>
      <c r="AO412" s="98"/>
    </row>
    <row r="413" spans="1:41" ht="15.75" customHeight="1" x14ac:dyDescent="0.2">
      <c r="A413" s="65" t="s">
        <v>142</v>
      </c>
      <c r="B413" s="243">
        <f>('Pivot Table for Data Exchange'!$P$43)*100</f>
        <v>0</v>
      </c>
      <c r="C413" s="243">
        <f>('Pivot Table for Data Exchange'!$P$46)*100</f>
        <v>0</v>
      </c>
      <c r="D413" s="249">
        <f t="shared" ref="D413:D415" si="49">SUM(E413:G413)</f>
        <v>0</v>
      </c>
      <c r="E413" s="243">
        <f>('Pivot Table for Data Exchange'!$P$49)*100</f>
        <v>0</v>
      </c>
      <c r="F413" s="243">
        <f>('Pivot Table for Data Exchange'!$P$52)*100</f>
        <v>0</v>
      </c>
      <c r="G413" s="245">
        <f>('Pivot Table for Data Exchange'!$P$55)*100</f>
        <v>0</v>
      </c>
      <c r="H413" s="243">
        <f>('Pivot Table for Data Exchange'!$P$58)*100</f>
        <v>0</v>
      </c>
      <c r="I413" s="65"/>
      <c r="J413" s="81"/>
      <c r="K413" s="81"/>
      <c r="L413" s="81"/>
      <c r="M413" s="81"/>
      <c r="N413" s="81"/>
      <c r="O413" s="81"/>
      <c r="P413" s="81"/>
      <c r="Q413" s="248">
        <f t="shared" ref="Q413:Q460" si="50">SUM(B413,C413,D413,H413)</f>
        <v>0</v>
      </c>
      <c r="R413" s="97"/>
      <c r="S413" s="98"/>
      <c r="T413" s="98"/>
      <c r="U413" s="98"/>
      <c r="V413" s="98"/>
      <c r="W413" s="98"/>
      <c r="X413" s="98"/>
      <c r="Y413" s="98"/>
      <c r="Z413" s="98"/>
      <c r="AA413" s="98"/>
      <c r="AB413" s="98"/>
      <c r="AC413" s="98"/>
      <c r="AD413" s="98"/>
      <c r="AE413" s="98"/>
      <c r="AF413" s="98"/>
      <c r="AG413" s="98"/>
      <c r="AH413" s="98"/>
      <c r="AI413" s="98"/>
      <c r="AJ413" s="98"/>
      <c r="AK413" s="98"/>
      <c r="AL413" s="98"/>
      <c r="AM413" s="98"/>
      <c r="AN413" s="98"/>
      <c r="AO413" s="98"/>
    </row>
    <row r="414" spans="1:41" ht="15.75" customHeight="1" x14ac:dyDescent="0.2">
      <c r="A414" s="65" t="s">
        <v>143</v>
      </c>
      <c r="B414" s="243">
        <f>('Pivot Table for Data Exchange'!$P$79)*100</f>
        <v>0</v>
      </c>
      <c r="C414" s="243">
        <f>('Pivot Table for Data Exchange'!$P$82)*100</f>
        <v>0</v>
      </c>
      <c r="D414" s="249">
        <f t="shared" si="49"/>
        <v>0</v>
      </c>
      <c r="E414" s="243">
        <f>('Pivot Table for Data Exchange'!$P$85)*100</f>
        <v>0</v>
      </c>
      <c r="F414" s="243">
        <f>('Pivot Table for Data Exchange'!$P$88)*100</f>
        <v>0</v>
      </c>
      <c r="G414" s="245">
        <f>('Pivot Table for Data Exchange'!$P$91)*100</f>
        <v>0</v>
      </c>
      <c r="H414" s="243">
        <f>('Pivot Table for Data Exchange'!$P$94)*100</f>
        <v>0</v>
      </c>
      <c r="I414" s="65"/>
      <c r="J414" s="81"/>
      <c r="K414" s="81"/>
      <c r="L414" s="81"/>
      <c r="M414" s="81"/>
      <c r="N414" s="81"/>
      <c r="O414" s="81"/>
      <c r="P414" s="81"/>
      <c r="Q414" s="248">
        <f t="shared" si="50"/>
        <v>0</v>
      </c>
      <c r="R414" s="97"/>
      <c r="S414" s="98"/>
      <c r="T414" s="104"/>
      <c r="U414" s="98"/>
      <c r="V414" s="98"/>
      <c r="W414" s="98"/>
      <c r="X414" s="98"/>
      <c r="Y414" s="98"/>
      <c r="Z414" s="98"/>
      <c r="AA414" s="98"/>
      <c r="AB414" s="98"/>
      <c r="AC414" s="98"/>
      <c r="AD414" s="98"/>
      <c r="AE414" s="98"/>
      <c r="AF414" s="98"/>
      <c r="AG414" s="98"/>
      <c r="AH414" s="98"/>
      <c r="AI414" s="98"/>
      <c r="AJ414" s="98"/>
      <c r="AK414" s="98"/>
      <c r="AL414" s="98"/>
      <c r="AM414" s="98"/>
      <c r="AN414" s="98"/>
      <c r="AO414" s="98"/>
    </row>
    <row r="415" spans="1:41" ht="15.75" customHeight="1" x14ac:dyDescent="0.2">
      <c r="A415" s="65" t="s">
        <v>144</v>
      </c>
      <c r="B415" s="243">
        <f>('Pivot Table for Data Exchange'!$P$115)*100</f>
        <v>0</v>
      </c>
      <c r="C415" s="243">
        <f>('Pivot Table for Data Exchange'!$P$118)*100</f>
        <v>0</v>
      </c>
      <c r="D415" s="249">
        <f t="shared" si="49"/>
        <v>0</v>
      </c>
      <c r="E415" s="243">
        <f>('Pivot Table for Data Exchange'!$P$121)*100</f>
        <v>0</v>
      </c>
      <c r="F415" s="243">
        <f>('Pivot Table for Data Exchange'!$P$124)*100</f>
        <v>0</v>
      </c>
      <c r="G415" s="245">
        <f>('Pivot Table for Data Exchange'!$P$127)*100</f>
        <v>0</v>
      </c>
      <c r="H415" s="243">
        <f>('Pivot Table for Data Exchange'!$P$130)*100</f>
        <v>0</v>
      </c>
      <c r="I415" s="65"/>
      <c r="J415" s="81"/>
      <c r="K415" s="81"/>
      <c r="L415" s="81"/>
      <c r="M415" s="81"/>
      <c r="N415" s="81"/>
      <c r="O415" s="81"/>
      <c r="P415" s="81"/>
      <c r="Q415" s="248">
        <f t="shared" si="50"/>
        <v>0</v>
      </c>
      <c r="R415" s="97"/>
      <c r="S415" s="98"/>
      <c r="U415" s="98"/>
      <c r="V415" s="98"/>
      <c r="W415" s="98"/>
      <c r="X415" s="98"/>
      <c r="Y415" s="98"/>
      <c r="Z415" s="98"/>
      <c r="AA415" s="98"/>
      <c r="AB415" s="98"/>
      <c r="AC415" s="98"/>
      <c r="AD415" s="98"/>
      <c r="AE415" s="98"/>
      <c r="AF415" s="98"/>
      <c r="AG415" s="98"/>
      <c r="AH415" s="98"/>
      <c r="AI415" s="98"/>
      <c r="AJ415" s="98"/>
      <c r="AK415" s="98"/>
      <c r="AL415" s="98"/>
      <c r="AM415" s="98"/>
      <c r="AN415" s="98"/>
      <c r="AO415" s="98"/>
    </row>
    <row r="416" spans="1:41" ht="15.75" customHeight="1" x14ac:dyDescent="0.2">
      <c r="A416" s="65"/>
      <c r="B416" s="243"/>
      <c r="C416" s="243"/>
      <c r="D416" s="249"/>
      <c r="E416" s="243"/>
      <c r="F416" s="243"/>
      <c r="G416" s="245"/>
      <c r="H416" s="243"/>
      <c r="I416" s="65"/>
      <c r="J416" s="81"/>
      <c r="K416" s="81"/>
      <c r="L416" s="81"/>
      <c r="M416" s="81"/>
      <c r="N416" s="81"/>
      <c r="O416" s="81"/>
      <c r="P416" s="81"/>
      <c r="Q416" s="248">
        <f t="shared" si="50"/>
        <v>0</v>
      </c>
      <c r="R416" s="97"/>
      <c r="S416" s="98"/>
      <c r="U416" s="98"/>
      <c r="V416" s="98"/>
      <c r="W416" s="98"/>
      <c r="X416" s="98"/>
      <c r="Y416" s="98"/>
      <c r="Z416" s="98"/>
      <c r="AA416" s="98"/>
      <c r="AB416" s="98"/>
      <c r="AC416" s="98"/>
      <c r="AD416" s="98"/>
      <c r="AE416" s="98"/>
      <c r="AF416" s="98"/>
      <c r="AG416" s="98"/>
      <c r="AH416" s="98"/>
      <c r="AI416" s="98"/>
      <c r="AJ416" s="98"/>
      <c r="AK416" s="98"/>
      <c r="AL416" s="98"/>
      <c r="AM416" s="98"/>
      <c r="AN416" s="98"/>
      <c r="AO416" s="98"/>
    </row>
    <row r="417" spans="1:41" ht="15.75" customHeight="1" x14ac:dyDescent="0.2">
      <c r="A417" s="65" t="s">
        <v>145</v>
      </c>
      <c r="B417" s="243">
        <f>('Pivot Table for Data Exchange'!$P$151)*100</f>
        <v>76.975953669682738</v>
      </c>
      <c r="C417" s="243">
        <f>('Pivot Table for Data Exchange'!$P$154)*100</f>
        <v>0</v>
      </c>
      <c r="D417" s="249">
        <f t="shared" ref="D417:D418" si="51">SUM(E417:G417)</f>
        <v>23.024046330317251</v>
      </c>
      <c r="E417" s="243">
        <f>('Pivot Table for Data Exchange'!$P$157)*100</f>
        <v>22.714377299567211</v>
      </c>
      <c r="F417" s="243">
        <f>('Pivot Table for Data Exchange'!$P$160)*100</f>
        <v>0.30966903075004065</v>
      </c>
      <c r="G417" s="245">
        <f>('Pivot Table for Data Exchange'!$P$163)*100</f>
        <v>0</v>
      </c>
      <c r="H417" s="243">
        <f>('Pivot Table for Data Exchange'!$P$166)*100</f>
        <v>0</v>
      </c>
      <c r="I417" s="65"/>
      <c r="J417" s="81"/>
      <c r="K417" s="81"/>
      <c r="L417" s="81"/>
      <c r="M417" s="81"/>
      <c r="N417" s="81"/>
      <c r="O417" s="81"/>
      <c r="P417" s="81"/>
      <c r="Q417" s="248">
        <f t="shared" si="50"/>
        <v>99.999999999999986</v>
      </c>
      <c r="R417" s="97"/>
      <c r="S417" s="98"/>
      <c r="T417" s="98"/>
      <c r="U417" s="98"/>
      <c r="V417" s="98"/>
      <c r="W417" s="98"/>
      <c r="X417" s="98"/>
      <c r="Y417" s="98"/>
      <c r="Z417" s="98"/>
      <c r="AA417" s="98"/>
      <c r="AB417" s="98"/>
      <c r="AC417" s="98"/>
      <c r="AD417" s="98"/>
      <c r="AE417" s="98"/>
      <c r="AF417" s="98"/>
      <c r="AG417" s="98"/>
      <c r="AH417" s="98"/>
      <c r="AI417" s="98"/>
      <c r="AJ417" s="98"/>
      <c r="AK417" s="98"/>
      <c r="AL417" s="98"/>
      <c r="AM417" s="98"/>
      <c r="AN417" s="98"/>
      <c r="AO417" s="98"/>
    </row>
    <row r="418" spans="1:41" ht="15.75" customHeight="1" x14ac:dyDescent="0.2">
      <c r="A418" s="65" t="s">
        <v>146</v>
      </c>
      <c r="B418" s="243">
        <f>('Pivot Table for Data Exchange'!$P$187)*100</f>
        <v>76.206452465079423</v>
      </c>
      <c r="C418" s="243">
        <f>('Pivot Table for Data Exchange'!$P$190)*100</f>
        <v>0.4140937159462405</v>
      </c>
      <c r="D418" s="249">
        <f t="shared" si="51"/>
        <v>23.379453818974341</v>
      </c>
      <c r="E418" s="243">
        <f>('Pivot Table for Data Exchange'!$P$193)*100</f>
        <v>23.379453818974341</v>
      </c>
      <c r="F418" s="243">
        <f>('Pivot Table for Data Exchange'!$P$196)*100</f>
        <v>0</v>
      </c>
      <c r="G418" s="245">
        <f>('Pivot Table for Data Exchange'!$P$199)*100</f>
        <v>0</v>
      </c>
      <c r="H418" s="243">
        <f>('Pivot Table for Data Exchange'!$P$202)*100</f>
        <v>0</v>
      </c>
      <c r="I418" s="65"/>
      <c r="J418" s="81"/>
      <c r="K418" s="81"/>
      <c r="L418" s="81"/>
      <c r="M418" s="81"/>
      <c r="N418" s="81"/>
      <c r="O418" s="81"/>
      <c r="P418" s="81"/>
      <c r="Q418" s="248">
        <f t="shared" si="50"/>
        <v>100</v>
      </c>
      <c r="R418" s="97"/>
      <c r="S418" s="98"/>
      <c r="T418" s="98"/>
      <c r="U418" s="98"/>
      <c r="V418" s="98"/>
      <c r="W418" s="98"/>
      <c r="X418" s="98"/>
      <c r="Y418" s="98"/>
      <c r="Z418" s="98"/>
      <c r="AA418" s="98"/>
      <c r="AB418" s="98"/>
      <c r="AC418" s="98"/>
      <c r="AD418" s="98"/>
      <c r="AE418" s="98"/>
      <c r="AF418" s="98"/>
      <c r="AG418" s="98"/>
      <c r="AH418" s="98"/>
      <c r="AI418" s="98"/>
      <c r="AJ418" s="98"/>
      <c r="AK418" s="98"/>
      <c r="AL418" s="98"/>
      <c r="AM418" s="98"/>
      <c r="AN418" s="98"/>
      <c r="AO418" s="98"/>
    </row>
    <row r="419" spans="1:41" ht="15.75" customHeight="1" x14ac:dyDescent="0.2">
      <c r="A419" s="65" t="s">
        <v>147</v>
      </c>
      <c r="B419" s="243">
        <f>('Pivot Table for Data Exchange'!$P$223)*100</f>
        <v>0</v>
      </c>
      <c r="C419" s="243">
        <f>('Pivot Table for Data Exchange'!$P$226)*100</f>
        <v>0</v>
      </c>
      <c r="D419" s="249">
        <f>SUM(E419:G419)</f>
        <v>0</v>
      </c>
      <c r="E419" s="243">
        <f>('Pivot Table for Data Exchange'!$P$229)*100</f>
        <v>0</v>
      </c>
      <c r="F419" s="243">
        <f>('Pivot Table for Data Exchange'!$P$232)*100</f>
        <v>0</v>
      </c>
      <c r="G419" s="245">
        <f>('Pivot Table for Data Exchange'!$P$235)*100</f>
        <v>0</v>
      </c>
      <c r="H419" s="243">
        <f>('Pivot Table for Data Exchange'!$P$238)*100</f>
        <v>0</v>
      </c>
      <c r="I419" s="86"/>
      <c r="J419" s="81"/>
      <c r="K419" s="81"/>
      <c r="L419" s="81"/>
      <c r="M419" s="81"/>
      <c r="N419" s="81"/>
      <c r="O419" s="81"/>
      <c r="P419" s="81"/>
      <c r="Q419" s="248">
        <f t="shared" si="50"/>
        <v>0</v>
      </c>
      <c r="R419" s="97"/>
      <c r="S419" s="98"/>
      <c r="T419" s="104"/>
      <c r="U419" s="98"/>
      <c r="V419" s="98"/>
      <c r="W419" s="98"/>
      <c r="X419" s="98"/>
      <c r="Y419" s="98"/>
      <c r="Z419" s="98"/>
      <c r="AA419" s="98"/>
      <c r="AB419" s="98"/>
      <c r="AC419" s="98"/>
      <c r="AD419" s="98"/>
      <c r="AE419" s="98"/>
      <c r="AF419" s="98"/>
      <c r="AG419" s="98"/>
      <c r="AH419" s="98"/>
      <c r="AI419" s="98"/>
      <c r="AJ419" s="98"/>
      <c r="AK419" s="98"/>
      <c r="AL419" s="98"/>
      <c r="AM419" s="98"/>
      <c r="AN419" s="98"/>
      <c r="AO419" s="98"/>
    </row>
    <row r="420" spans="1:41" ht="15.75" customHeight="1" x14ac:dyDescent="0.2">
      <c r="A420" s="65" t="s">
        <v>177</v>
      </c>
      <c r="B420" s="243">
        <f>('Pivot Table for Data Exchange'!$P$259)*100</f>
        <v>0</v>
      </c>
      <c r="C420" s="243">
        <f>('Pivot Table for Data Exchange'!$P$262)*100</f>
        <v>0</v>
      </c>
      <c r="D420" s="249">
        <f>SUM(E420:G420)</f>
        <v>0</v>
      </c>
      <c r="E420" s="243">
        <f>('Pivot Table for Data Exchange'!$P$265)*100</f>
        <v>0</v>
      </c>
      <c r="F420" s="243">
        <f>('Pivot Table for Data Exchange'!$P$268)*100</f>
        <v>0</v>
      </c>
      <c r="G420" s="245">
        <f>('Pivot Table for Data Exchange'!$P$271)*100</f>
        <v>0</v>
      </c>
      <c r="H420" s="243">
        <f>('Pivot Table for Data Exchange'!$P$274)*100</f>
        <v>0</v>
      </c>
      <c r="I420" s="65"/>
      <c r="J420" s="81"/>
      <c r="K420" s="81"/>
      <c r="L420" s="81"/>
      <c r="M420" s="81"/>
      <c r="N420" s="81"/>
      <c r="O420" s="81"/>
      <c r="P420" s="81"/>
      <c r="Q420" s="248">
        <f t="shared" si="50"/>
        <v>0</v>
      </c>
      <c r="R420" s="97"/>
      <c r="S420" s="98"/>
      <c r="U420" s="98"/>
      <c r="V420" s="98"/>
      <c r="W420" s="98"/>
      <c r="X420" s="98"/>
      <c r="Y420" s="98"/>
      <c r="Z420" s="98"/>
      <c r="AA420" s="98"/>
      <c r="AB420" s="98"/>
      <c r="AC420" s="98"/>
      <c r="AD420" s="98"/>
      <c r="AE420" s="98"/>
      <c r="AF420" s="98"/>
      <c r="AG420" s="98"/>
      <c r="AH420" s="98"/>
      <c r="AI420" s="98"/>
      <c r="AJ420" s="98"/>
      <c r="AK420" s="98"/>
      <c r="AL420" s="98"/>
      <c r="AM420" s="98"/>
      <c r="AN420" s="98"/>
      <c r="AO420" s="98"/>
    </row>
    <row r="421" spans="1:41" ht="15.75" customHeight="1" x14ac:dyDescent="0.2">
      <c r="A421" s="65"/>
      <c r="B421" s="243"/>
      <c r="C421" s="243"/>
      <c r="D421" s="249"/>
      <c r="E421" s="243"/>
      <c r="F421" s="243"/>
      <c r="G421" s="245"/>
      <c r="H421" s="243"/>
      <c r="I421" s="65"/>
      <c r="J421" s="81"/>
      <c r="K421" s="81"/>
      <c r="L421" s="81"/>
      <c r="M421" s="81"/>
      <c r="N421" s="81"/>
      <c r="O421" s="81"/>
      <c r="P421" s="81"/>
      <c r="Q421" s="248">
        <f t="shared" si="50"/>
        <v>0</v>
      </c>
      <c r="R421" s="97"/>
      <c r="S421" s="98"/>
      <c r="U421" s="98"/>
      <c r="V421" s="98"/>
      <c r="W421" s="98"/>
      <c r="X421" s="98"/>
      <c r="Y421" s="98"/>
      <c r="Z421" s="98"/>
      <c r="AA421" s="98"/>
      <c r="AB421" s="98"/>
      <c r="AC421" s="98"/>
      <c r="AD421" s="98"/>
      <c r="AE421" s="98"/>
      <c r="AF421" s="98"/>
      <c r="AG421" s="98"/>
      <c r="AH421" s="98"/>
      <c r="AI421" s="98"/>
      <c r="AJ421" s="98"/>
      <c r="AK421" s="98"/>
      <c r="AL421" s="98"/>
      <c r="AM421" s="98"/>
      <c r="AN421" s="98"/>
      <c r="AO421" s="98"/>
    </row>
    <row r="422" spans="1:41" ht="15.75" customHeight="1" x14ac:dyDescent="0.2">
      <c r="A422" s="65" t="s">
        <v>148</v>
      </c>
      <c r="B422" s="243">
        <f>('Pivot Table for Data Exchange'!$P$295)*100</f>
        <v>0</v>
      </c>
      <c r="C422" s="243">
        <f>('Pivot Table for Data Exchange'!$P$298)*100</f>
        <v>0</v>
      </c>
      <c r="D422" s="249">
        <f>SUM(E422:G422)</f>
        <v>0</v>
      </c>
      <c r="E422" s="243">
        <f>('Pivot Table for Data Exchange'!$P$301)*100</f>
        <v>0</v>
      </c>
      <c r="F422" s="243">
        <f>('Pivot Table for Data Exchange'!$P$304)*100</f>
        <v>0</v>
      </c>
      <c r="G422" s="245">
        <f>('Pivot Table for Data Exchange'!$P$307)*100</f>
        <v>0</v>
      </c>
      <c r="H422" s="243">
        <f>('Pivot Table for Data Exchange'!$P$310)*100</f>
        <v>0</v>
      </c>
      <c r="I422" s="65"/>
      <c r="J422" s="81"/>
      <c r="K422" s="81"/>
      <c r="L422" s="81"/>
      <c r="M422" s="81"/>
      <c r="N422" s="81"/>
      <c r="O422" s="81"/>
      <c r="P422" s="81"/>
      <c r="Q422" s="248">
        <f t="shared" si="50"/>
        <v>0</v>
      </c>
      <c r="R422" s="97"/>
      <c r="S422" s="98"/>
      <c r="T422" s="98"/>
      <c r="U422" s="98"/>
      <c r="V422" s="98"/>
      <c r="W422" s="98"/>
      <c r="X422" s="98"/>
      <c r="Y422" s="98"/>
      <c r="Z422" s="98"/>
      <c r="AA422" s="98"/>
      <c r="AB422" s="98"/>
      <c r="AC422" s="98"/>
      <c r="AD422" s="98"/>
      <c r="AE422" s="98"/>
      <c r="AF422" s="98"/>
      <c r="AG422" s="98"/>
      <c r="AH422" s="98"/>
      <c r="AI422" s="98"/>
      <c r="AJ422" s="98"/>
      <c r="AK422" s="98"/>
      <c r="AL422" s="98"/>
      <c r="AM422" s="98"/>
      <c r="AN422" s="98"/>
      <c r="AO422" s="98"/>
    </row>
    <row r="423" spans="1:41" ht="15.75" customHeight="1" x14ac:dyDescent="0.2">
      <c r="A423" s="65" t="s">
        <v>149</v>
      </c>
      <c r="B423" s="243">
        <f>('Pivot Table for Data Exchange'!$P$331)*100</f>
        <v>0</v>
      </c>
      <c r="C423" s="243">
        <f>('Pivot Table for Data Exchange'!$P$334)*100</f>
        <v>0</v>
      </c>
      <c r="D423" s="249">
        <f>SUM(E423:G423)</f>
        <v>0</v>
      </c>
      <c r="E423" s="243">
        <f>('Pivot Table for Data Exchange'!$P$337)*100</f>
        <v>0</v>
      </c>
      <c r="F423" s="243">
        <f>('Pivot Table for Data Exchange'!$P$340)*100</f>
        <v>0</v>
      </c>
      <c r="G423" s="245">
        <f>('Pivot Table for Data Exchange'!$P$343)*100</f>
        <v>0</v>
      </c>
      <c r="H423" s="243">
        <f>('Pivot Table for Data Exchange'!$P$346)*100</f>
        <v>0</v>
      </c>
      <c r="I423" s="65"/>
      <c r="J423" s="81"/>
      <c r="K423" s="81"/>
      <c r="L423" s="81"/>
      <c r="M423" s="81"/>
      <c r="N423" s="81"/>
      <c r="O423" s="81"/>
      <c r="P423" s="81"/>
      <c r="Q423" s="248">
        <f t="shared" si="50"/>
        <v>0</v>
      </c>
      <c r="R423" s="97"/>
      <c r="S423" s="98"/>
      <c r="T423" s="98"/>
      <c r="U423" s="98"/>
      <c r="V423" s="98"/>
      <c r="W423" s="98"/>
      <c r="X423" s="98"/>
      <c r="Y423" s="98"/>
      <c r="Z423" s="98"/>
      <c r="AA423" s="98"/>
      <c r="AB423" s="98"/>
      <c r="AC423" s="98"/>
      <c r="AD423" s="98"/>
      <c r="AE423" s="98"/>
      <c r="AF423" s="98"/>
      <c r="AG423" s="98"/>
      <c r="AH423" s="98"/>
      <c r="AI423" s="98"/>
      <c r="AJ423" s="98"/>
      <c r="AK423" s="98"/>
      <c r="AL423" s="98"/>
      <c r="AM423" s="98"/>
      <c r="AN423" s="98"/>
      <c r="AO423" s="98"/>
    </row>
    <row r="424" spans="1:41" ht="15.75" customHeight="1" x14ac:dyDescent="0.2">
      <c r="A424" s="65" t="s">
        <v>150</v>
      </c>
      <c r="B424" s="243">
        <f>('Pivot Table for Data Exchange'!$P$367)*100</f>
        <v>0</v>
      </c>
      <c r="C424" s="243">
        <f>('Pivot Table for Data Exchange'!$P$370)*100</f>
        <v>0</v>
      </c>
      <c r="D424" s="249">
        <f>SUM(E424:G424)</f>
        <v>0</v>
      </c>
      <c r="E424" s="243">
        <f>('Pivot Table for Data Exchange'!$P$373)*100</f>
        <v>0</v>
      </c>
      <c r="F424" s="243">
        <f>('Pivot Table for Data Exchange'!$P$376)*100</f>
        <v>0</v>
      </c>
      <c r="G424" s="245">
        <f>('Pivot Table for Data Exchange'!$P$379)*100</f>
        <v>0</v>
      </c>
      <c r="H424" s="243">
        <f>('Pivot Table for Data Exchange'!$P$382)*100</f>
        <v>0</v>
      </c>
      <c r="I424" s="65"/>
      <c r="J424" s="81"/>
      <c r="K424" s="81"/>
      <c r="L424" s="81"/>
      <c r="M424" s="81"/>
      <c r="N424" s="81"/>
      <c r="O424" s="81"/>
      <c r="P424" s="81"/>
      <c r="Q424" s="248">
        <f t="shared" si="50"/>
        <v>0</v>
      </c>
      <c r="R424" s="97"/>
      <c r="S424" s="98"/>
      <c r="T424" s="104"/>
      <c r="U424" s="98"/>
      <c r="V424" s="98"/>
      <c r="W424" s="98"/>
      <c r="X424" s="98"/>
      <c r="Y424" s="98"/>
      <c r="Z424" s="98"/>
      <c r="AA424" s="98"/>
      <c r="AB424" s="98"/>
      <c r="AC424" s="98"/>
      <c r="AD424" s="98"/>
      <c r="AE424" s="98"/>
      <c r="AF424" s="98"/>
      <c r="AG424" s="98"/>
      <c r="AH424" s="98"/>
      <c r="AI424" s="98"/>
      <c r="AJ424" s="98"/>
      <c r="AK424" s="98"/>
      <c r="AL424" s="98"/>
      <c r="AM424" s="98"/>
      <c r="AN424" s="98"/>
      <c r="AO424" s="98"/>
    </row>
    <row r="425" spans="1:41" ht="15.75" customHeight="1" x14ac:dyDescent="0.2">
      <c r="A425" s="65" t="s">
        <v>151</v>
      </c>
      <c r="B425" s="243">
        <f>('Pivot Table for Data Exchange'!$P$403)*100</f>
        <v>0</v>
      </c>
      <c r="C425" s="243">
        <f>('Pivot Table for Data Exchange'!$P$406)*100</f>
        <v>0</v>
      </c>
      <c r="D425" s="249">
        <f>SUM(E425:G425)</f>
        <v>0</v>
      </c>
      <c r="E425" s="243">
        <f>('Pivot Table for Data Exchange'!$P$409)*100</f>
        <v>0</v>
      </c>
      <c r="F425" s="243">
        <f>('Pivot Table for Data Exchange'!$P$412)*100</f>
        <v>0</v>
      </c>
      <c r="G425" s="245">
        <f>('Pivot Table for Data Exchange'!$P$415)*100</f>
        <v>0</v>
      </c>
      <c r="H425" s="243">
        <f>('Pivot Table for Data Exchange'!$P$418)*100</f>
        <v>0</v>
      </c>
      <c r="I425" s="65"/>
      <c r="J425" s="81"/>
      <c r="K425" s="81"/>
      <c r="L425" s="81"/>
      <c r="M425" s="81"/>
      <c r="N425" s="81"/>
      <c r="O425" s="81"/>
      <c r="P425" s="81"/>
      <c r="Q425" s="248">
        <f t="shared" si="50"/>
        <v>0</v>
      </c>
      <c r="R425" s="97"/>
      <c r="S425" s="98"/>
      <c r="T425" s="98"/>
      <c r="U425" s="98"/>
      <c r="V425" s="98"/>
      <c r="W425" s="98"/>
      <c r="X425" s="98"/>
      <c r="Y425" s="98"/>
      <c r="Z425" s="98"/>
      <c r="AA425" s="98"/>
      <c r="AB425" s="98"/>
      <c r="AC425" s="98"/>
      <c r="AD425" s="98"/>
      <c r="AE425" s="98"/>
      <c r="AF425" s="98"/>
      <c r="AG425" s="98"/>
      <c r="AH425" s="98"/>
      <c r="AI425" s="98"/>
      <c r="AJ425" s="98"/>
      <c r="AK425" s="98"/>
      <c r="AL425" s="98"/>
      <c r="AM425" s="98"/>
      <c r="AN425" s="98"/>
      <c r="AO425" s="98"/>
    </row>
    <row r="426" spans="1:41" ht="15.75" customHeight="1" x14ac:dyDescent="0.2">
      <c r="A426" s="65"/>
      <c r="B426" s="243"/>
      <c r="C426" s="243"/>
      <c r="D426" s="249"/>
      <c r="E426" s="243"/>
      <c r="F426" s="243"/>
      <c r="G426" s="245"/>
      <c r="H426" s="243"/>
      <c r="I426" s="65"/>
      <c r="J426" s="81"/>
      <c r="K426" s="81"/>
      <c r="L426" s="81"/>
      <c r="M426" s="81"/>
      <c r="N426" s="81"/>
      <c r="O426" s="81"/>
      <c r="P426" s="81"/>
      <c r="Q426" s="248">
        <f t="shared" si="50"/>
        <v>0</v>
      </c>
      <c r="R426" s="97"/>
      <c r="S426" s="98"/>
      <c r="T426" s="98"/>
      <c r="U426" s="98"/>
      <c r="V426" s="98"/>
      <c r="W426" s="98"/>
      <c r="X426" s="98"/>
      <c r="Y426" s="98"/>
      <c r="Z426" s="98"/>
      <c r="AA426" s="98"/>
      <c r="AB426" s="98"/>
      <c r="AC426" s="98"/>
      <c r="AD426" s="98"/>
      <c r="AE426" s="98"/>
      <c r="AF426" s="98"/>
      <c r="AG426" s="98"/>
      <c r="AH426" s="98"/>
      <c r="AI426" s="98"/>
      <c r="AJ426" s="98"/>
      <c r="AK426" s="98"/>
      <c r="AL426" s="98"/>
      <c r="AM426" s="98"/>
      <c r="AN426" s="98"/>
      <c r="AO426" s="98"/>
    </row>
    <row r="427" spans="1:41" ht="15.75" customHeight="1" x14ac:dyDescent="0.2">
      <c r="A427" s="65" t="s">
        <v>152</v>
      </c>
      <c r="B427" s="243">
        <f>('Pivot Table for Data Exchange'!$P$439)*100</f>
        <v>0</v>
      </c>
      <c r="C427" s="243">
        <f>('Pivot Table for Data Exchange'!$P$442)*100</f>
        <v>0</v>
      </c>
      <c r="D427" s="249">
        <f>SUM(E427:G427)</f>
        <v>0</v>
      </c>
      <c r="E427" s="243">
        <f>('Pivot Table for Data Exchange'!$P$445)*100</f>
        <v>0</v>
      </c>
      <c r="F427" s="243">
        <f>('Pivot Table for Data Exchange'!$P$448)*100</f>
        <v>0</v>
      </c>
      <c r="G427" s="245">
        <f>('Pivot Table for Data Exchange'!$P$451)*100</f>
        <v>0</v>
      </c>
      <c r="H427" s="243">
        <f>('Pivot Table for Data Exchange'!$P$454)*100</f>
        <v>0</v>
      </c>
      <c r="I427" s="65"/>
      <c r="J427" s="81"/>
      <c r="K427" s="81"/>
      <c r="L427" s="81"/>
      <c r="M427" s="81"/>
      <c r="N427" s="81"/>
      <c r="O427" s="81"/>
      <c r="P427" s="81"/>
      <c r="Q427" s="248">
        <f t="shared" si="50"/>
        <v>0</v>
      </c>
      <c r="R427" s="97"/>
      <c r="S427" s="98"/>
      <c r="T427" s="98"/>
      <c r="U427" s="98"/>
      <c r="V427" s="98"/>
      <c r="W427" s="98"/>
      <c r="X427" s="98"/>
      <c r="Y427" s="98"/>
      <c r="Z427" s="98"/>
      <c r="AA427" s="98"/>
      <c r="AB427" s="98"/>
      <c r="AC427" s="98"/>
      <c r="AD427" s="98"/>
      <c r="AE427" s="98"/>
      <c r="AF427" s="98"/>
      <c r="AG427" s="98"/>
      <c r="AH427" s="98"/>
      <c r="AI427" s="98"/>
      <c r="AJ427" s="98"/>
      <c r="AK427" s="98"/>
      <c r="AL427" s="98"/>
      <c r="AM427" s="98"/>
      <c r="AN427" s="98"/>
      <c r="AO427" s="98"/>
    </row>
    <row r="428" spans="1:41" ht="15.75" customHeight="1" x14ac:dyDescent="0.2">
      <c r="A428" s="65" t="s">
        <v>153</v>
      </c>
      <c r="B428" s="243">
        <f>('Pivot Table for Data Exchange'!$P$475)*100</f>
        <v>0</v>
      </c>
      <c r="C428" s="243">
        <f>('Pivot Table for Data Exchange'!$P$478)*100</f>
        <v>0</v>
      </c>
      <c r="D428" s="249">
        <f>SUM(E428:G428)</f>
        <v>0</v>
      </c>
      <c r="E428" s="243">
        <f>('Pivot Table for Data Exchange'!$P$481)*100</f>
        <v>0</v>
      </c>
      <c r="F428" s="243">
        <f>('Pivot Table for Data Exchange'!$P$484)*100</f>
        <v>0</v>
      </c>
      <c r="G428" s="245">
        <f>('Pivot Table for Data Exchange'!$P$487)*100</f>
        <v>0</v>
      </c>
      <c r="H428" s="243">
        <f>('Pivot Table for Data Exchange'!$P$490)*100</f>
        <v>0</v>
      </c>
      <c r="I428" s="65"/>
      <c r="J428" s="81"/>
      <c r="K428" s="81"/>
      <c r="L428" s="81"/>
      <c r="M428" s="81"/>
      <c r="N428" s="81"/>
      <c r="O428" s="81"/>
      <c r="P428" s="81"/>
      <c r="Q428" s="248">
        <f t="shared" si="50"/>
        <v>0</v>
      </c>
      <c r="R428" s="97"/>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row>
    <row r="429" spans="1:41" ht="15.75" customHeight="1" x14ac:dyDescent="0.2">
      <c r="A429" s="65" t="s">
        <v>154</v>
      </c>
      <c r="B429" s="243">
        <f>('Pivot Table for Data Exchange'!$P$511)*100</f>
        <v>0</v>
      </c>
      <c r="C429" s="243">
        <f>('Pivot Table for Data Exchange'!$P$514)*100</f>
        <v>0</v>
      </c>
      <c r="D429" s="249">
        <f>SUM(E429:G429)</f>
        <v>0</v>
      </c>
      <c r="E429" s="243">
        <f>('Pivot Table for Data Exchange'!$P$517)*100</f>
        <v>0</v>
      </c>
      <c r="F429" s="243">
        <f>('Pivot Table for Data Exchange'!$P$520)*100</f>
        <v>0</v>
      </c>
      <c r="G429" s="245">
        <f>('Pivot Table for Data Exchange'!$P$523)*100</f>
        <v>0</v>
      </c>
      <c r="H429" s="243">
        <f>('Pivot Table for Data Exchange'!$P$526)*100</f>
        <v>0</v>
      </c>
      <c r="I429" s="65"/>
      <c r="J429" s="81"/>
      <c r="K429" s="81"/>
      <c r="L429" s="81"/>
      <c r="M429" s="81"/>
      <c r="N429" s="81"/>
      <c r="O429" s="81"/>
      <c r="P429" s="81"/>
      <c r="Q429" s="248">
        <f t="shared" si="50"/>
        <v>0</v>
      </c>
      <c r="R429" s="97"/>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row>
    <row r="430" spans="1:41" ht="15.75" customHeight="1" x14ac:dyDescent="0.2">
      <c r="A430" s="39" t="s">
        <v>155</v>
      </c>
      <c r="B430" s="246">
        <f>('Pivot Table for Data Exchange'!$P$547)*100</f>
        <v>0</v>
      </c>
      <c r="C430" s="246">
        <f>('Pivot Table for Data Exchange'!$P$550)*100</f>
        <v>0</v>
      </c>
      <c r="D430" s="250">
        <f>SUM(E430:G430)</f>
        <v>0</v>
      </c>
      <c r="E430" s="246">
        <f>('Pivot Table for Data Exchange'!$P$553)*100</f>
        <v>0</v>
      </c>
      <c r="F430" s="246">
        <f>('Pivot Table for Data Exchange'!$P$556)*100</f>
        <v>0</v>
      </c>
      <c r="G430" s="247">
        <f>('Pivot Table for Data Exchange'!$P$559)*100</f>
        <v>0</v>
      </c>
      <c r="H430" s="246">
        <f>('Pivot Table for Data Exchange'!$P$562)*100</f>
        <v>0</v>
      </c>
      <c r="I430" s="65"/>
      <c r="J430" s="81"/>
      <c r="K430" s="81"/>
      <c r="L430" s="81"/>
      <c r="M430" s="81"/>
      <c r="N430" s="81"/>
      <c r="O430" s="81"/>
      <c r="P430" s="81"/>
      <c r="Q430" s="248">
        <f t="shared" si="50"/>
        <v>0</v>
      </c>
      <c r="R430" s="97"/>
      <c r="S430" s="98"/>
      <c r="T430" s="98"/>
      <c r="U430" s="98"/>
      <c r="V430" s="98"/>
      <c r="W430" s="98"/>
      <c r="X430" s="98"/>
      <c r="Y430" s="98"/>
      <c r="Z430" s="98"/>
      <c r="AA430" s="98"/>
      <c r="AB430" s="98"/>
      <c r="AC430" s="98"/>
      <c r="AD430" s="98"/>
      <c r="AE430" s="98"/>
      <c r="AF430" s="98"/>
      <c r="AG430" s="98"/>
      <c r="AH430" s="98"/>
      <c r="AI430" s="98"/>
      <c r="AJ430" s="98"/>
      <c r="AK430" s="98"/>
      <c r="AL430" s="98"/>
      <c r="AM430" s="98"/>
      <c r="AN430" s="98"/>
      <c r="AO430" s="98"/>
    </row>
    <row r="431" spans="1:41" s="103" customFormat="1" ht="18" customHeight="1" x14ac:dyDescent="0.2">
      <c r="A431" s="24" t="s">
        <v>175</v>
      </c>
      <c r="B431" s="69"/>
      <c r="C431" s="69"/>
      <c r="D431" s="70"/>
      <c r="E431" s="69"/>
      <c r="F431" s="70"/>
      <c r="G431" s="70"/>
      <c r="H431" s="69"/>
      <c r="I431" s="24"/>
      <c r="J431" s="69"/>
      <c r="K431" s="69"/>
      <c r="L431" s="70"/>
      <c r="M431" s="69"/>
      <c r="N431" s="70"/>
      <c r="O431" s="70"/>
      <c r="P431" s="69"/>
      <c r="Q431" s="248">
        <f t="shared" si="50"/>
        <v>0</v>
      </c>
      <c r="R431" s="101"/>
      <c r="S431" s="102"/>
      <c r="T431" s="102"/>
      <c r="U431" s="102"/>
      <c r="V431" s="102"/>
      <c r="W431" s="102"/>
      <c r="X431" s="102"/>
      <c r="Y431" s="102"/>
      <c r="Z431" s="102"/>
      <c r="AA431" s="102"/>
      <c r="AB431" s="102"/>
      <c r="AC431" s="102"/>
      <c r="AD431" s="102"/>
      <c r="AE431" s="102"/>
      <c r="AF431" s="102"/>
      <c r="AG431" s="102"/>
      <c r="AH431" s="102"/>
      <c r="AI431" s="102"/>
      <c r="AJ431" s="102"/>
      <c r="AK431" s="102"/>
      <c r="AL431" s="102"/>
      <c r="AM431" s="102"/>
      <c r="AN431" s="102"/>
      <c r="AO431" s="102"/>
    </row>
    <row r="432" spans="1:41" s="103" customFormat="1" ht="13.5" customHeight="1" x14ac:dyDescent="0.2">
      <c r="A432" s="24"/>
      <c r="B432" s="76"/>
      <c r="C432" s="25"/>
      <c r="D432" s="25"/>
      <c r="E432" s="25"/>
      <c r="F432" s="25"/>
      <c r="G432" s="25"/>
      <c r="H432" s="25"/>
      <c r="I432" s="24"/>
      <c r="J432" s="25"/>
      <c r="K432" s="25"/>
      <c r="L432" s="25"/>
      <c r="M432" s="25"/>
      <c r="N432" s="25"/>
      <c r="O432" s="25"/>
      <c r="P432" s="77"/>
      <c r="Q432" s="248">
        <f t="shared" si="50"/>
        <v>0</v>
      </c>
      <c r="R432" s="106"/>
    </row>
    <row r="433" spans="1:41" s="103" customFormat="1" ht="13.5" customHeight="1" x14ac:dyDescent="0.2">
      <c r="A433" s="75"/>
      <c r="B433" s="25"/>
      <c r="C433" s="25"/>
      <c r="D433" s="25"/>
      <c r="E433" s="25"/>
      <c r="F433" s="25"/>
      <c r="G433" s="25"/>
      <c r="H433" s="27" t="s">
        <v>914</v>
      </c>
      <c r="I433" s="75"/>
      <c r="J433" s="25"/>
      <c r="K433" s="25"/>
      <c r="L433" s="25"/>
      <c r="M433" s="25"/>
      <c r="N433" s="25"/>
      <c r="O433" s="25"/>
      <c r="P433" s="25"/>
      <c r="Q433" s="248">
        <f t="shared" si="50"/>
        <v>0</v>
      </c>
      <c r="R433" s="106"/>
    </row>
    <row r="434" spans="1:41" ht="18" x14ac:dyDescent="0.25">
      <c r="A434" s="16" t="s">
        <v>215</v>
      </c>
      <c r="B434" s="34"/>
      <c r="C434" s="34"/>
      <c r="D434" s="34"/>
      <c r="E434" s="34"/>
      <c r="F434" s="34"/>
      <c r="G434" s="34"/>
      <c r="H434" s="35"/>
      <c r="I434" s="80"/>
      <c r="J434" s="65"/>
      <c r="K434" s="65"/>
      <c r="L434" s="65"/>
      <c r="M434" s="65"/>
      <c r="N434" s="65"/>
      <c r="O434" s="65"/>
      <c r="P434" s="65"/>
      <c r="Q434" s="248">
        <f t="shared" si="50"/>
        <v>0</v>
      </c>
    </row>
    <row r="435" spans="1:41" x14ac:dyDescent="0.2">
      <c r="A435" s="18"/>
      <c r="B435" s="19"/>
      <c r="C435" s="19"/>
      <c r="D435" s="19"/>
      <c r="E435" s="19"/>
      <c r="F435" s="19"/>
      <c r="G435" s="19"/>
      <c r="H435" s="36"/>
      <c r="I435" s="80"/>
      <c r="J435" s="65"/>
      <c r="K435" s="65"/>
      <c r="L435" s="65"/>
      <c r="M435" s="65"/>
      <c r="N435" s="65"/>
      <c r="O435" s="65"/>
      <c r="P435" s="65"/>
      <c r="Q435" s="248">
        <f t="shared" si="50"/>
        <v>0</v>
      </c>
    </row>
    <row r="436" spans="1:41" ht="15.75" x14ac:dyDescent="0.25">
      <c r="A436" s="37" t="s">
        <v>162</v>
      </c>
      <c r="B436" s="19"/>
      <c r="C436" s="19"/>
      <c r="D436" s="19"/>
      <c r="E436" s="19"/>
      <c r="F436" s="19"/>
      <c r="G436" s="19"/>
      <c r="H436" s="36"/>
      <c r="I436" s="80"/>
      <c r="J436" s="65"/>
      <c r="K436" s="65"/>
      <c r="L436" s="65"/>
      <c r="M436" s="65"/>
      <c r="N436" s="65"/>
      <c r="O436" s="65"/>
      <c r="P436" s="65"/>
      <c r="Q436" s="248">
        <f t="shared" si="50"/>
        <v>0</v>
      </c>
    </row>
    <row r="437" spans="1:41" ht="15.75" x14ac:dyDescent="0.25">
      <c r="A437" s="37" t="s">
        <v>880</v>
      </c>
      <c r="B437" s="19"/>
      <c r="C437" s="19"/>
      <c r="D437" s="19"/>
      <c r="E437" s="19"/>
      <c r="F437" s="19"/>
      <c r="G437" s="19"/>
      <c r="H437" s="36"/>
      <c r="I437" s="80"/>
      <c r="J437" s="65"/>
      <c r="K437" s="65"/>
      <c r="L437" s="65"/>
      <c r="M437" s="65"/>
      <c r="N437" s="65"/>
      <c r="O437" s="65"/>
      <c r="P437" s="65"/>
      <c r="Q437" s="248">
        <f t="shared" si="50"/>
        <v>0</v>
      </c>
    </row>
    <row r="438" spans="1:41" x14ac:dyDescent="0.2">
      <c r="A438" s="39"/>
      <c r="B438" s="40"/>
      <c r="C438" s="40"/>
      <c r="D438" s="40"/>
      <c r="E438" s="40"/>
      <c r="F438" s="40"/>
      <c r="G438" s="40"/>
      <c r="H438" s="40"/>
      <c r="I438" s="80"/>
      <c r="J438" s="65"/>
      <c r="K438" s="65"/>
      <c r="L438" s="65"/>
      <c r="M438" s="65"/>
      <c r="N438" s="65"/>
      <c r="O438" s="65"/>
      <c r="P438" s="65"/>
      <c r="Q438" s="248">
        <f t="shared" si="50"/>
        <v>0</v>
      </c>
    </row>
    <row r="439" spans="1:41" x14ac:dyDescent="0.2">
      <c r="A439" s="43"/>
      <c r="B439" s="44" t="s">
        <v>164</v>
      </c>
      <c r="C439" s="44"/>
      <c r="D439" s="44"/>
      <c r="E439" s="44"/>
      <c r="F439" s="44"/>
      <c r="G439" s="44"/>
      <c r="H439" s="45"/>
      <c r="I439" s="80"/>
      <c r="J439" s="65"/>
      <c r="K439" s="65"/>
      <c r="L439" s="65"/>
      <c r="M439" s="65"/>
      <c r="N439" s="65"/>
      <c r="O439" s="65"/>
      <c r="P439" s="65"/>
      <c r="Q439" s="248">
        <f t="shared" si="50"/>
        <v>0</v>
      </c>
    </row>
    <row r="440" spans="1:41" x14ac:dyDescent="0.2">
      <c r="A440" s="43"/>
      <c r="B440" s="44" t="s">
        <v>165</v>
      </c>
      <c r="C440" s="44"/>
      <c r="D440" s="670" t="s">
        <v>166</v>
      </c>
      <c r="E440" s="668"/>
      <c r="F440" s="668"/>
      <c r="G440" s="668"/>
      <c r="H440" s="49" t="s">
        <v>39</v>
      </c>
      <c r="I440" s="80"/>
      <c r="J440" s="65"/>
      <c r="K440" s="65"/>
      <c r="L440" s="65"/>
      <c r="M440" s="65"/>
      <c r="N440" s="65"/>
      <c r="O440" s="65"/>
      <c r="P440" s="65"/>
      <c r="Q440" s="248">
        <f t="shared" si="50"/>
        <v>0</v>
      </c>
    </row>
    <row r="441" spans="1:41" ht="36" x14ac:dyDescent="0.2">
      <c r="A441" s="43"/>
      <c r="B441" s="50" t="s">
        <v>167</v>
      </c>
      <c r="C441" s="51" t="s">
        <v>168</v>
      </c>
      <c r="D441" s="52" t="s">
        <v>169</v>
      </c>
      <c r="E441" s="53" t="s">
        <v>7</v>
      </c>
      <c r="F441" s="50" t="s">
        <v>170</v>
      </c>
      <c r="G441" s="54" t="s">
        <v>171</v>
      </c>
      <c r="H441" s="55" t="s">
        <v>172</v>
      </c>
      <c r="I441" s="80"/>
      <c r="J441" s="65"/>
      <c r="K441" s="65"/>
      <c r="L441" s="65"/>
      <c r="M441" s="65"/>
      <c r="N441" s="65"/>
      <c r="O441" s="65"/>
      <c r="P441" s="65"/>
      <c r="Q441" s="248">
        <f t="shared" si="50"/>
        <v>0</v>
      </c>
    </row>
    <row r="442" spans="1:41" ht="15.75" customHeight="1" x14ac:dyDescent="0.2">
      <c r="A442" s="62" t="s">
        <v>141</v>
      </c>
      <c r="B442" s="82">
        <f>('Pivot Table for Data Exchange'!$Q$7)*100</f>
        <v>86.164848407966517</v>
      </c>
      <c r="C442" s="243">
        <f>('Pivot Table for Data Exchange'!$Q$10)*100</f>
        <v>5.7560573385766842</v>
      </c>
      <c r="D442" s="249">
        <f>SUM(E442:G442)</f>
        <v>8.0790942534568053</v>
      </c>
      <c r="E442" s="243">
        <f>('Pivot Table for Data Exchange'!$Q$13)*100</f>
        <v>8.0790942534568053</v>
      </c>
      <c r="F442" s="243">
        <f>('Pivot Table for Data Exchange'!$Q$16)*100</f>
        <v>0</v>
      </c>
      <c r="G442" s="60">
        <f>('Pivot Table for Data Exchange'!$Q$19)*100</f>
        <v>0</v>
      </c>
      <c r="H442" s="243">
        <f>('Pivot Table for Data Exchange'!$Q$22)*100</f>
        <v>0</v>
      </c>
      <c r="I442" s="65"/>
      <c r="J442" s="81"/>
      <c r="K442" s="81"/>
      <c r="L442" s="81"/>
      <c r="M442" s="81"/>
      <c r="N442" s="81"/>
      <c r="O442" s="81"/>
      <c r="P442" s="81"/>
      <c r="Q442" s="248">
        <f t="shared" si="50"/>
        <v>100</v>
      </c>
      <c r="R442" s="97"/>
      <c r="S442" s="98"/>
      <c r="T442" s="98"/>
      <c r="U442" s="98"/>
      <c r="V442" s="98"/>
      <c r="W442" s="98"/>
      <c r="X442" s="98"/>
      <c r="Y442" s="98"/>
      <c r="Z442" s="98"/>
      <c r="AA442" s="98"/>
      <c r="AB442" s="98"/>
      <c r="AC442" s="98"/>
      <c r="AD442" s="98"/>
      <c r="AE442" s="98"/>
      <c r="AF442" s="98"/>
      <c r="AG442" s="98"/>
      <c r="AH442" s="98"/>
      <c r="AI442" s="98"/>
      <c r="AJ442" s="98"/>
      <c r="AK442" s="98"/>
      <c r="AL442" s="98"/>
      <c r="AM442" s="98"/>
      <c r="AN442" s="98"/>
      <c r="AO442" s="98"/>
    </row>
    <row r="443" spans="1:41" ht="15.75" customHeight="1" x14ac:dyDescent="0.2">
      <c r="A443" s="65" t="s">
        <v>142</v>
      </c>
      <c r="B443" s="243">
        <f>('Pivot Table for Data Exchange'!$Q$43)*100</f>
        <v>0</v>
      </c>
      <c r="C443" s="243">
        <f>('Pivot Table for Data Exchange'!$Q$46)*100</f>
        <v>0</v>
      </c>
      <c r="D443" s="249">
        <f t="shared" ref="D443:D445" si="52">SUM(E443:G443)</f>
        <v>0</v>
      </c>
      <c r="E443" s="243">
        <f>('Pivot Table for Data Exchange'!$Q$49)*100</f>
        <v>0</v>
      </c>
      <c r="F443" s="243">
        <f>('Pivot Table for Data Exchange'!$Q$52)*100</f>
        <v>0</v>
      </c>
      <c r="G443" s="245">
        <f>('Pivot Table for Data Exchange'!$Q$55)*100</f>
        <v>0</v>
      </c>
      <c r="H443" s="243">
        <f>('Pivot Table for Data Exchange'!$Q$58)*100</f>
        <v>0</v>
      </c>
      <c r="I443" s="65"/>
      <c r="J443" s="81"/>
      <c r="K443" s="81"/>
      <c r="L443" s="81"/>
      <c r="M443" s="81"/>
      <c r="N443" s="81"/>
      <c r="O443" s="81"/>
      <c r="P443" s="81"/>
      <c r="Q443" s="248">
        <f t="shared" si="50"/>
        <v>0</v>
      </c>
      <c r="R443" s="97"/>
      <c r="S443" s="98"/>
      <c r="T443" s="98"/>
      <c r="U443" s="98"/>
      <c r="V443" s="98"/>
      <c r="W443" s="98"/>
      <c r="X443" s="98"/>
      <c r="Y443" s="98"/>
      <c r="Z443" s="98"/>
      <c r="AA443" s="98"/>
      <c r="AB443" s="98"/>
      <c r="AC443" s="98"/>
      <c r="AD443" s="98"/>
      <c r="AE443" s="98"/>
      <c r="AF443" s="98"/>
      <c r="AG443" s="98"/>
      <c r="AH443" s="98"/>
      <c r="AI443" s="98"/>
      <c r="AJ443" s="98"/>
      <c r="AK443" s="98"/>
      <c r="AL443" s="98"/>
      <c r="AM443" s="98"/>
      <c r="AN443" s="98"/>
      <c r="AO443" s="98"/>
    </row>
    <row r="444" spans="1:41" ht="15.75" customHeight="1" x14ac:dyDescent="0.2">
      <c r="A444" s="65" t="s">
        <v>143</v>
      </c>
      <c r="B444" s="243">
        <f>('Pivot Table for Data Exchange'!$Q$79)*100</f>
        <v>0</v>
      </c>
      <c r="C444" s="243">
        <f>('Pivot Table for Data Exchange'!$Q$82)*100</f>
        <v>0</v>
      </c>
      <c r="D444" s="249">
        <f t="shared" si="52"/>
        <v>0</v>
      </c>
      <c r="E444" s="243">
        <f>('Pivot Table for Data Exchange'!$Q$85)*100</f>
        <v>0</v>
      </c>
      <c r="F444" s="243">
        <f>('Pivot Table for Data Exchange'!$Q$88)*100</f>
        <v>0</v>
      </c>
      <c r="G444" s="245">
        <f>('Pivot Table for Data Exchange'!$Q$91)*100</f>
        <v>0</v>
      </c>
      <c r="H444" s="243">
        <f>('Pivot Table for Data Exchange'!$Q$94)*100</f>
        <v>0</v>
      </c>
      <c r="I444" s="65"/>
      <c r="J444" s="81"/>
      <c r="K444" s="81"/>
      <c r="L444" s="81"/>
      <c r="M444" s="81"/>
      <c r="N444" s="81"/>
      <c r="O444" s="81"/>
      <c r="P444" s="81"/>
      <c r="Q444" s="248">
        <f t="shared" si="50"/>
        <v>0</v>
      </c>
      <c r="R444" s="97"/>
      <c r="S444" s="98"/>
      <c r="T444" s="104"/>
      <c r="U444" s="98"/>
      <c r="V444" s="98"/>
      <c r="W444" s="98"/>
      <c r="X444" s="98"/>
      <c r="Y444" s="98"/>
      <c r="Z444" s="98"/>
      <c r="AA444" s="98"/>
      <c r="AB444" s="98"/>
      <c r="AC444" s="98"/>
      <c r="AD444" s="98"/>
      <c r="AE444" s="98"/>
      <c r="AF444" s="98"/>
      <c r="AG444" s="98"/>
      <c r="AH444" s="98"/>
      <c r="AI444" s="98"/>
      <c r="AJ444" s="98"/>
      <c r="AK444" s="98"/>
      <c r="AL444" s="98"/>
      <c r="AM444" s="98"/>
      <c r="AN444" s="98"/>
      <c r="AO444" s="98"/>
    </row>
    <row r="445" spans="1:41" ht="15.75" customHeight="1" x14ac:dyDescent="0.2">
      <c r="A445" s="65" t="s">
        <v>144</v>
      </c>
      <c r="B445" s="243">
        <f>('Pivot Table for Data Exchange'!$Q$115)*100</f>
        <v>0</v>
      </c>
      <c r="C445" s="243">
        <f>('Pivot Table for Data Exchange'!$Q$118)*100</f>
        <v>0</v>
      </c>
      <c r="D445" s="249">
        <f t="shared" si="52"/>
        <v>0</v>
      </c>
      <c r="E445" s="243">
        <f>('Pivot Table for Data Exchange'!$Q$121)*100</f>
        <v>0</v>
      </c>
      <c r="F445" s="243">
        <f>('Pivot Table for Data Exchange'!$Q$124)*100</f>
        <v>0</v>
      </c>
      <c r="G445" s="245">
        <f>('Pivot Table for Data Exchange'!$Q$127)*100</f>
        <v>0</v>
      </c>
      <c r="H445" s="243">
        <f>('Pivot Table for Data Exchange'!$Q$130)*100</f>
        <v>0</v>
      </c>
      <c r="I445" s="65"/>
      <c r="J445" s="81"/>
      <c r="K445" s="81"/>
      <c r="L445" s="81"/>
      <c r="M445" s="81"/>
      <c r="N445" s="81"/>
      <c r="O445" s="81"/>
      <c r="P445" s="81"/>
      <c r="Q445" s="248">
        <f t="shared" si="50"/>
        <v>0</v>
      </c>
      <c r="R445" s="97"/>
      <c r="S445" s="98"/>
      <c r="U445" s="98"/>
      <c r="V445" s="98"/>
      <c r="W445" s="98"/>
      <c r="X445" s="98"/>
      <c r="Y445" s="98"/>
      <c r="Z445" s="98"/>
      <c r="AA445" s="98"/>
      <c r="AB445" s="98"/>
      <c r="AC445" s="98"/>
      <c r="AD445" s="98"/>
      <c r="AE445" s="98"/>
      <c r="AF445" s="98"/>
      <c r="AG445" s="98"/>
      <c r="AH445" s="98"/>
      <c r="AI445" s="98"/>
      <c r="AJ445" s="98"/>
      <c r="AK445" s="98"/>
      <c r="AL445" s="98"/>
      <c r="AM445" s="98"/>
      <c r="AN445" s="98"/>
      <c r="AO445" s="98"/>
    </row>
    <row r="446" spans="1:41" ht="15.75" customHeight="1" x14ac:dyDescent="0.2">
      <c r="A446" s="65"/>
      <c r="B446" s="243"/>
      <c r="C446" s="243"/>
      <c r="D446" s="249"/>
      <c r="E446" s="243"/>
      <c r="F446" s="243"/>
      <c r="G446" s="245"/>
      <c r="H446" s="243"/>
      <c r="I446" s="65"/>
      <c r="J446" s="81"/>
      <c r="K446" s="81"/>
      <c r="L446" s="81"/>
      <c r="M446" s="81"/>
      <c r="N446" s="81"/>
      <c r="O446" s="81"/>
      <c r="P446" s="81"/>
      <c r="Q446" s="248">
        <f t="shared" si="50"/>
        <v>0</v>
      </c>
      <c r="R446" s="97"/>
      <c r="S446" s="98"/>
      <c r="U446" s="98"/>
      <c r="V446" s="98"/>
      <c r="W446" s="98"/>
      <c r="X446" s="98"/>
      <c r="Y446" s="98"/>
      <c r="Z446" s="98"/>
      <c r="AA446" s="98"/>
      <c r="AB446" s="98"/>
      <c r="AC446" s="98"/>
      <c r="AD446" s="98"/>
      <c r="AE446" s="98"/>
      <c r="AF446" s="98"/>
      <c r="AG446" s="98"/>
      <c r="AH446" s="98"/>
      <c r="AI446" s="98"/>
      <c r="AJ446" s="98"/>
      <c r="AK446" s="98"/>
      <c r="AL446" s="98"/>
      <c r="AM446" s="98"/>
      <c r="AN446" s="98"/>
      <c r="AO446" s="98"/>
    </row>
    <row r="447" spans="1:41" ht="15.75" customHeight="1" x14ac:dyDescent="0.2">
      <c r="A447" s="65" t="s">
        <v>145</v>
      </c>
      <c r="B447" s="243">
        <f>('Pivot Table for Data Exchange'!$Q$151)*100</f>
        <v>0</v>
      </c>
      <c r="C447" s="243">
        <f>('Pivot Table for Data Exchange'!$Q$154)*100</f>
        <v>0</v>
      </c>
      <c r="D447" s="249">
        <f t="shared" ref="D447:D448" si="53">SUM(E447:G447)</f>
        <v>0</v>
      </c>
      <c r="E447" s="243">
        <f>('Pivot Table for Data Exchange'!$Q$157)*100</f>
        <v>0</v>
      </c>
      <c r="F447" s="243">
        <f>('Pivot Table for Data Exchange'!$Q$160)*100</f>
        <v>0</v>
      </c>
      <c r="G447" s="245">
        <f>('Pivot Table for Data Exchange'!$Q$163)*100</f>
        <v>0</v>
      </c>
      <c r="H447" s="243">
        <f>('Pivot Table for Data Exchange'!$Q$166)*100</f>
        <v>0</v>
      </c>
      <c r="I447" s="65"/>
      <c r="J447" s="81"/>
      <c r="K447" s="81"/>
      <c r="L447" s="81"/>
      <c r="M447" s="81"/>
      <c r="N447" s="81"/>
      <c r="O447" s="81"/>
      <c r="P447" s="81"/>
      <c r="Q447" s="248">
        <f t="shared" si="50"/>
        <v>0</v>
      </c>
      <c r="R447" s="97"/>
      <c r="S447" s="98"/>
      <c r="T447" s="98"/>
      <c r="U447" s="98"/>
      <c r="V447" s="98"/>
      <c r="W447" s="98"/>
      <c r="X447" s="98"/>
      <c r="Y447" s="98"/>
      <c r="Z447" s="98"/>
      <c r="AA447" s="98"/>
      <c r="AB447" s="98"/>
      <c r="AC447" s="98"/>
      <c r="AD447" s="98"/>
      <c r="AE447" s="98"/>
      <c r="AF447" s="98"/>
      <c r="AG447" s="98"/>
      <c r="AH447" s="98"/>
      <c r="AI447" s="98"/>
      <c r="AJ447" s="98"/>
      <c r="AK447" s="98"/>
      <c r="AL447" s="98"/>
      <c r="AM447" s="98"/>
      <c r="AN447" s="98"/>
      <c r="AO447" s="98"/>
    </row>
    <row r="448" spans="1:41" ht="15.75" customHeight="1" x14ac:dyDescent="0.2">
      <c r="A448" s="65" t="s">
        <v>146</v>
      </c>
      <c r="B448" s="243">
        <f>('Pivot Table for Data Exchange'!$Q$187)*100</f>
        <v>0</v>
      </c>
      <c r="C448" s="243">
        <f>('Pivot Table for Data Exchange'!$Q$190)*100</f>
        <v>0</v>
      </c>
      <c r="D448" s="249">
        <f t="shared" si="53"/>
        <v>0</v>
      </c>
      <c r="E448" s="243">
        <f>('Pivot Table for Data Exchange'!$Q$193)*100</f>
        <v>0</v>
      </c>
      <c r="F448" s="243">
        <f>('Pivot Table for Data Exchange'!$Q$196)*100</f>
        <v>0</v>
      </c>
      <c r="G448" s="245">
        <f>('Pivot Table for Data Exchange'!$Q$199)*100</f>
        <v>0</v>
      </c>
      <c r="H448" s="243">
        <f>('Pivot Table for Data Exchange'!$Q$202)*100</f>
        <v>0</v>
      </c>
      <c r="I448" s="65"/>
      <c r="J448" s="81"/>
      <c r="K448" s="81"/>
      <c r="L448" s="81"/>
      <c r="M448" s="81"/>
      <c r="N448" s="81"/>
      <c r="O448" s="81"/>
      <c r="P448" s="81"/>
      <c r="Q448" s="248">
        <f t="shared" si="50"/>
        <v>0</v>
      </c>
      <c r="R448" s="97"/>
      <c r="S448" s="98"/>
      <c r="T448" s="98"/>
      <c r="U448" s="98"/>
      <c r="V448" s="98"/>
      <c r="W448" s="98"/>
      <c r="X448" s="98"/>
      <c r="Y448" s="98"/>
      <c r="Z448" s="98"/>
      <c r="AA448" s="98"/>
      <c r="AB448" s="98"/>
      <c r="AC448" s="98"/>
      <c r="AD448" s="98"/>
      <c r="AE448" s="98"/>
      <c r="AF448" s="98"/>
      <c r="AG448" s="98"/>
      <c r="AH448" s="98"/>
      <c r="AI448" s="98"/>
      <c r="AJ448" s="98"/>
      <c r="AK448" s="98"/>
      <c r="AL448" s="98"/>
      <c r="AM448" s="98"/>
      <c r="AN448" s="98"/>
      <c r="AO448" s="98"/>
    </row>
    <row r="449" spans="1:41" ht="15.75" customHeight="1" x14ac:dyDescent="0.2">
      <c r="A449" s="65" t="s">
        <v>147</v>
      </c>
      <c r="B449" s="243">
        <f>('Pivot Table for Data Exchange'!$Q$223)*100</f>
        <v>0</v>
      </c>
      <c r="C449" s="243">
        <f>('Pivot Table for Data Exchange'!$Q$226)*100</f>
        <v>0</v>
      </c>
      <c r="D449" s="249">
        <f>SUM(E449:G449)</f>
        <v>0</v>
      </c>
      <c r="E449" s="243">
        <f>('Pivot Table for Data Exchange'!$Q$229)*100</f>
        <v>0</v>
      </c>
      <c r="F449" s="243">
        <f>('Pivot Table for Data Exchange'!$Q$232)*100</f>
        <v>0</v>
      </c>
      <c r="G449" s="245">
        <f>('Pivot Table for Data Exchange'!$Q$235)*100</f>
        <v>0</v>
      </c>
      <c r="H449" s="243">
        <f>('Pivot Table for Data Exchange'!$Q$238)*100</f>
        <v>0</v>
      </c>
      <c r="I449" s="86"/>
      <c r="J449" s="81"/>
      <c r="K449" s="81"/>
      <c r="L449" s="81"/>
      <c r="M449" s="81"/>
      <c r="N449" s="81"/>
      <c r="O449" s="81"/>
      <c r="P449" s="81"/>
      <c r="Q449" s="248">
        <f t="shared" si="50"/>
        <v>0</v>
      </c>
      <c r="R449" s="97"/>
      <c r="S449" s="98"/>
      <c r="T449" s="104"/>
      <c r="U449" s="98"/>
      <c r="V449" s="98"/>
      <c r="W449" s="98"/>
      <c r="X449" s="98"/>
      <c r="Y449" s="98"/>
      <c r="Z449" s="98"/>
      <c r="AA449" s="98"/>
      <c r="AB449" s="98"/>
      <c r="AC449" s="98"/>
      <c r="AD449" s="98"/>
      <c r="AE449" s="98"/>
      <c r="AF449" s="98"/>
      <c r="AG449" s="98"/>
      <c r="AH449" s="98"/>
      <c r="AI449" s="98"/>
      <c r="AJ449" s="98"/>
      <c r="AK449" s="98"/>
      <c r="AL449" s="98"/>
      <c r="AM449" s="98"/>
      <c r="AN449" s="98"/>
      <c r="AO449" s="98"/>
    </row>
    <row r="450" spans="1:41" ht="15.75" customHeight="1" x14ac:dyDescent="0.2">
      <c r="A450" s="65" t="s">
        <v>177</v>
      </c>
      <c r="B450" s="243">
        <f>('Pivot Table for Data Exchange'!$Q$259)*100</f>
        <v>0</v>
      </c>
      <c r="C450" s="243">
        <f>('Pivot Table for Data Exchange'!$Q$262)*100</f>
        <v>0</v>
      </c>
      <c r="D450" s="249">
        <f>SUM(E450:G450)</f>
        <v>0</v>
      </c>
      <c r="E450" s="243">
        <f>('Pivot Table for Data Exchange'!$Q$265)*100</f>
        <v>0</v>
      </c>
      <c r="F450" s="243">
        <f>('Pivot Table for Data Exchange'!$Q$268)*100</f>
        <v>0</v>
      </c>
      <c r="G450" s="245">
        <f>('Pivot Table for Data Exchange'!$Q$271)*100</f>
        <v>0</v>
      </c>
      <c r="H450" s="243">
        <f>('Pivot Table for Data Exchange'!$Q$274)*100</f>
        <v>0</v>
      </c>
      <c r="I450" s="65"/>
      <c r="J450" s="81"/>
      <c r="K450" s="81"/>
      <c r="L450" s="81"/>
      <c r="M450" s="81"/>
      <c r="N450" s="81"/>
      <c r="O450" s="81"/>
      <c r="P450" s="81"/>
      <c r="Q450" s="248">
        <f t="shared" si="50"/>
        <v>0</v>
      </c>
      <c r="R450" s="97"/>
      <c r="S450" s="98"/>
      <c r="U450" s="98"/>
      <c r="V450" s="98"/>
      <c r="W450" s="98"/>
      <c r="X450" s="98"/>
      <c r="Y450" s="98"/>
      <c r="Z450" s="98"/>
      <c r="AA450" s="98"/>
      <c r="AB450" s="98"/>
      <c r="AC450" s="98"/>
      <c r="AD450" s="98"/>
      <c r="AE450" s="98"/>
      <c r="AF450" s="98"/>
      <c r="AG450" s="98"/>
      <c r="AH450" s="98"/>
      <c r="AI450" s="98"/>
      <c r="AJ450" s="98"/>
      <c r="AK450" s="98"/>
      <c r="AL450" s="98"/>
      <c r="AM450" s="98"/>
      <c r="AN450" s="98"/>
      <c r="AO450" s="98"/>
    </row>
    <row r="451" spans="1:41" ht="15.75" customHeight="1" x14ac:dyDescent="0.2">
      <c r="A451" s="65"/>
      <c r="B451" s="243"/>
      <c r="C451" s="243"/>
      <c r="D451" s="249"/>
      <c r="E451" s="243"/>
      <c r="F451" s="243"/>
      <c r="G451" s="245"/>
      <c r="H451" s="243"/>
      <c r="I451" s="65"/>
      <c r="J451" s="81"/>
      <c r="K451" s="81"/>
      <c r="L451" s="81"/>
      <c r="M451" s="81"/>
      <c r="N451" s="81"/>
      <c r="O451" s="81"/>
      <c r="P451" s="81"/>
      <c r="Q451" s="248">
        <f t="shared" si="50"/>
        <v>0</v>
      </c>
      <c r="R451" s="97"/>
      <c r="S451" s="98"/>
      <c r="U451" s="98"/>
      <c r="V451" s="98"/>
      <c r="W451" s="98"/>
      <c r="X451" s="98"/>
      <c r="Y451" s="98"/>
      <c r="Z451" s="98"/>
      <c r="AA451" s="98"/>
      <c r="AB451" s="98"/>
      <c r="AC451" s="98"/>
      <c r="AD451" s="98"/>
      <c r="AE451" s="98"/>
      <c r="AF451" s="98"/>
      <c r="AG451" s="98"/>
      <c r="AH451" s="98"/>
      <c r="AI451" s="98"/>
      <c r="AJ451" s="98"/>
      <c r="AK451" s="98"/>
      <c r="AL451" s="98"/>
      <c r="AM451" s="98"/>
      <c r="AN451" s="98"/>
      <c r="AO451" s="98"/>
    </row>
    <row r="452" spans="1:41" ht="15.75" customHeight="1" x14ac:dyDescent="0.2">
      <c r="A452" s="65" t="s">
        <v>148</v>
      </c>
      <c r="B452" s="243">
        <f>('Pivot Table for Data Exchange'!$Q$295)*100</f>
        <v>0</v>
      </c>
      <c r="C452" s="243">
        <f>('Pivot Table for Data Exchange'!$Q$298)*100</f>
        <v>0</v>
      </c>
      <c r="D452" s="249">
        <f>SUM(E452:G452)</f>
        <v>0</v>
      </c>
      <c r="E452" s="243">
        <f>('Pivot Table for Data Exchange'!$Q$301)*100</f>
        <v>0</v>
      </c>
      <c r="F452" s="243">
        <f>('Pivot Table for Data Exchange'!$Q$304)*100</f>
        <v>0</v>
      </c>
      <c r="G452" s="245">
        <f>('Pivot Table for Data Exchange'!$Q$307)*100</f>
        <v>0</v>
      </c>
      <c r="H452" s="243">
        <f>('Pivot Table for Data Exchange'!$Q$310)*100</f>
        <v>0</v>
      </c>
      <c r="I452" s="65"/>
      <c r="J452" s="81"/>
      <c r="K452" s="81"/>
      <c r="L452" s="81"/>
      <c r="M452" s="81"/>
      <c r="N452" s="81"/>
      <c r="O452" s="81"/>
      <c r="P452" s="81"/>
      <c r="Q452" s="248">
        <f t="shared" si="50"/>
        <v>0</v>
      </c>
      <c r="R452" s="97"/>
      <c r="S452" s="98"/>
      <c r="T452" s="98"/>
      <c r="U452" s="98"/>
      <c r="V452" s="98"/>
      <c r="W452" s="98"/>
      <c r="X452" s="98"/>
      <c r="Y452" s="98"/>
      <c r="Z452" s="98"/>
      <c r="AA452" s="98"/>
      <c r="AB452" s="98"/>
      <c r="AC452" s="98"/>
      <c r="AD452" s="98"/>
      <c r="AE452" s="98"/>
      <c r="AF452" s="98"/>
      <c r="AG452" s="98"/>
      <c r="AH452" s="98"/>
      <c r="AI452" s="98"/>
      <c r="AJ452" s="98"/>
      <c r="AK452" s="98"/>
      <c r="AL452" s="98"/>
      <c r="AM452" s="98"/>
      <c r="AN452" s="98"/>
      <c r="AO452" s="98"/>
    </row>
    <row r="453" spans="1:41" ht="15.75" customHeight="1" x14ac:dyDescent="0.2">
      <c r="A453" s="65" t="s">
        <v>149</v>
      </c>
      <c r="B453" s="243">
        <f>('Pivot Table for Data Exchange'!$Q$331)*100</f>
        <v>0</v>
      </c>
      <c r="C453" s="243">
        <f>('Pivot Table for Data Exchange'!$Q$334)*100</f>
        <v>0</v>
      </c>
      <c r="D453" s="249">
        <f>SUM(E453:G453)</f>
        <v>0</v>
      </c>
      <c r="E453" s="243">
        <f>('Pivot Table for Data Exchange'!$Q$337)*100</f>
        <v>0</v>
      </c>
      <c r="F453" s="243">
        <f>('Pivot Table for Data Exchange'!$Q$340)*100</f>
        <v>0</v>
      </c>
      <c r="G453" s="245">
        <f>('Pivot Table for Data Exchange'!$Q$343)*100</f>
        <v>0</v>
      </c>
      <c r="H453" s="243">
        <f>('Pivot Table for Data Exchange'!$Q$346)*100</f>
        <v>0</v>
      </c>
      <c r="I453" s="65"/>
      <c r="J453" s="81"/>
      <c r="K453" s="81"/>
      <c r="L453" s="81"/>
      <c r="M453" s="81"/>
      <c r="N453" s="81"/>
      <c r="O453" s="81"/>
      <c r="P453" s="81"/>
      <c r="Q453" s="248">
        <f t="shared" si="50"/>
        <v>0</v>
      </c>
      <c r="R453" s="97"/>
      <c r="S453" s="98"/>
      <c r="T453" s="98"/>
      <c r="U453" s="98"/>
      <c r="V453" s="98"/>
      <c r="W453" s="98"/>
      <c r="X453" s="98"/>
      <c r="Y453" s="98"/>
      <c r="Z453" s="98"/>
      <c r="AA453" s="98"/>
      <c r="AB453" s="98"/>
      <c r="AC453" s="98"/>
      <c r="AD453" s="98"/>
      <c r="AE453" s="98"/>
      <c r="AF453" s="98"/>
      <c r="AG453" s="98"/>
      <c r="AH453" s="98"/>
      <c r="AI453" s="98"/>
      <c r="AJ453" s="98"/>
      <c r="AK453" s="98"/>
      <c r="AL453" s="98"/>
      <c r="AM453" s="98"/>
      <c r="AN453" s="98"/>
      <c r="AO453" s="98"/>
    </row>
    <row r="454" spans="1:41" ht="15.75" customHeight="1" x14ac:dyDescent="0.2">
      <c r="A454" s="65" t="s">
        <v>150</v>
      </c>
      <c r="B454" s="243">
        <f>('Pivot Table for Data Exchange'!$Q$367)*100</f>
        <v>0</v>
      </c>
      <c r="C454" s="243">
        <f>('Pivot Table for Data Exchange'!$Q$370)*100</f>
        <v>0</v>
      </c>
      <c r="D454" s="249">
        <f>SUM(E454:G454)</f>
        <v>0</v>
      </c>
      <c r="E454" s="243">
        <f>('Pivot Table for Data Exchange'!$Q$373)*100</f>
        <v>0</v>
      </c>
      <c r="F454" s="243">
        <f>('Pivot Table for Data Exchange'!$Q$376)*100</f>
        <v>0</v>
      </c>
      <c r="G454" s="245">
        <f>('Pivot Table for Data Exchange'!$Q$379)*100</f>
        <v>0</v>
      </c>
      <c r="H454" s="243">
        <f>('Pivot Table for Data Exchange'!$Q$382)*100</f>
        <v>0</v>
      </c>
      <c r="I454" s="65"/>
      <c r="J454" s="81"/>
      <c r="K454" s="81"/>
      <c r="L454" s="81"/>
      <c r="M454" s="81"/>
      <c r="N454" s="81"/>
      <c r="O454" s="81"/>
      <c r="P454" s="81"/>
      <c r="Q454" s="248">
        <f t="shared" si="50"/>
        <v>0</v>
      </c>
      <c r="R454" s="97"/>
      <c r="S454" s="98"/>
      <c r="T454" s="104"/>
      <c r="U454" s="98"/>
      <c r="V454" s="98"/>
      <c r="W454" s="98"/>
      <c r="X454" s="98"/>
      <c r="Y454" s="98"/>
      <c r="Z454" s="98"/>
      <c r="AA454" s="98"/>
      <c r="AB454" s="98"/>
      <c r="AC454" s="98"/>
      <c r="AD454" s="98"/>
      <c r="AE454" s="98"/>
      <c r="AF454" s="98"/>
      <c r="AG454" s="98"/>
      <c r="AH454" s="98"/>
      <c r="AI454" s="98"/>
      <c r="AJ454" s="98"/>
      <c r="AK454" s="98"/>
      <c r="AL454" s="98"/>
      <c r="AM454" s="98"/>
      <c r="AN454" s="98"/>
      <c r="AO454" s="98"/>
    </row>
    <row r="455" spans="1:41" ht="15.75" customHeight="1" x14ac:dyDescent="0.2">
      <c r="A455" s="65" t="s">
        <v>151</v>
      </c>
      <c r="B455" s="243">
        <f>('Pivot Table for Data Exchange'!$Q$403)*100</f>
        <v>0</v>
      </c>
      <c r="C455" s="243">
        <f>('Pivot Table for Data Exchange'!$Q$406)*100</f>
        <v>0</v>
      </c>
      <c r="D455" s="249">
        <f>SUM(E455:G455)</f>
        <v>0</v>
      </c>
      <c r="E455" s="243">
        <f>('Pivot Table for Data Exchange'!$Q$409)*100</f>
        <v>0</v>
      </c>
      <c r="F455" s="243">
        <f>('Pivot Table for Data Exchange'!$Q$412)*100</f>
        <v>0</v>
      </c>
      <c r="G455" s="245">
        <f>('Pivot Table for Data Exchange'!$Q$415)*100</f>
        <v>0</v>
      </c>
      <c r="H455" s="243">
        <f>('Pivot Table for Data Exchange'!$Q$418)*100</f>
        <v>0</v>
      </c>
      <c r="I455" s="65"/>
      <c r="J455" s="81"/>
      <c r="K455" s="81"/>
      <c r="L455" s="81"/>
      <c r="M455" s="81"/>
      <c r="N455" s="81"/>
      <c r="O455" s="81"/>
      <c r="P455" s="81"/>
      <c r="Q455" s="248">
        <f t="shared" si="50"/>
        <v>0</v>
      </c>
      <c r="R455" s="97"/>
      <c r="S455" s="98"/>
      <c r="T455" s="98"/>
      <c r="U455" s="98"/>
      <c r="V455" s="98"/>
      <c r="W455" s="98"/>
      <c r="X455" s="98"/>
      <c r="Y455" s="98"/>
      <c r="Z455" s="98"/>
      <c r="AA455" s="98"/>
      <c r="AB455" s="98"/>
      <c r="AC455" s="98"/>
      <c r="AD455" s="98"/>
      <c r="AE455" s="98"/>
      <c r="AF455" s="98"/>
      <c r="AG455" s="98"/>
      <c r="AH455" s="98"/>
      <c r="AI455" s="98"/>
      <c r="AJ455" s="98"/>
      <c r="AK455" s="98"/>
      <c r="AL455" s="98"/>
      <c r="AM455" s="98"/>
      <c r="AN455" s="98"/>
      <c r="AO455" s="98"/>
    </row>
    <row r="456" spans="1:41" ht="15.75" customHeight="1" x14ac:dyDescent="0.2">
      <c r="A456" s="65"/>
      <c r="B456" s="243"/>
      <c r="C456" s="243"/>
      <c r="D456" s="249"/>
      <c r="E456" s="243"/>
      <c r="F456" s="243"/>
      <c r="G456" s="245"/>
      <c r="H456" s="243"/>
      <c r="I456" s="65"/>
      <c r="J456" s="81"/>
      <c r="K456" s="81"/>
      <c r="L456" s="81"/>
      <c r="M456" s="81"/>
      <c r="N456" s="81"/>
      <c r="O456" s="81"/>
      <c r="P456" s="81"/>
      <c r="Q456" s="248">
        <f t="shared" si="50"/>
        <v>0</v>
      </c>
      <c r="R456" s="97"/>
      <c r="S456" s="98"/>
      <c r="T456" s="98"/>
      <c r="U456" s="98"/>
      <c r="V456" s="98"/>
      <c r="W456" s="98"/>
      <c r="X456" s="98"/>
      <c r="Y456" s="98"/>
      <c r="Z456" s="98"/>
      <c r="AA456" s="98"/>
      <c r="AB456" s="98"/>
      <c r="AC456" s="98"/>
      <c r="AD456" s="98"/>
      <c r="AE456" s="98"/>
      <c r="AF456" s="98"/>
      <c r="AG456" s="98"/>
      <c r="AH456" s="98"/>
      <c r="AI456" s="98"/>
      <c r="AJ456" s="98"/>
      <c r="AK456" s="98"/>
      <c r="AL456" s="98"/>
      <c r="AM456" s="98"/>
      <c r="AN456" s="98"/>
      <c r="AO456" s="98"/>
    </row>
    <row r="457" spans="1:41" ht="15.75" customHeight="1" x14ac:dyDescent="0.2">
      <c r="A457" s="65" t="s">
        <v>152</v>
      </c>
      <c r="B457" s="243">
        <f>('Pivot Table for Data Exchange'!$Q$439)*100</f>
        <v>0</v>
      </c>
      <c r="C457" s="243">
        <f>('Pivot Table for Data Exchange'!$Q$442)*100</f>
        <v>0</v>
      </c>
      <c r="D457" s="249">
        <f>SUM(E457:G457)</f>
        <v>0</v>
      </c>
      <c r="E457" s="243">
        <f>('Pivot Table for Data Exchange'!$Q$445)*100</f>
        <v>0</v>
      </c>
      <c r="F457" s="243">
        <f>('Pivot Table for Data Exchange'!$Q$448)*100</f>
        <v>0</v>
      </c>
      <c r="G457" s="245">
        <f>('Pivot Table for Data Exchange'!$Q$451)*100</f>
        <v>0</v>
      </c>
      <c r="H457" s="243">
        <f>('Pivot Table for Data Exchange'!$Q$454)*100</f>
        <v>0</v>
      </c>
      <c r="I457" s="65"/>
      <c r="J457" s="81"/>
      <c r="K457" s="81"/>
      <c r="L457" s="81"/>
      <c r="M457" s="81"/>
      <c r="N457" s="81"/>
      <c r="O457" s="81"/>
      <c r="P457" s="81"/>
      <c r="Q457" s="248">
        <f t="shared" si="50"/>
        <v>0</v>
      </c>
      <c r="R457" s="97"/>
      <c r="S457" s="98"/>
      <c r="T457" s="98"/>
      <c r="U457" s="98"/>
      <c r="V457" s="98"/>
      <c r="W457" s="98"/>
      <c r="X457" s="98"/>
      <c r="Y457" s="98"/>
      <c r="Z457" s="98"/>
      <c r="AA457" s="98"/>
      <c r="AB457" s="98"/>
      <c r="AC457" s="98"/>
      <c r="AD457" s="98"/>
      <c r="AE457" s="98"/>
      <c r="AF457" s="98"/>
      <c r="AG457" s="98"/>
      <c r="AH457" s="98"/>
      <c r="AI457" s="98"/>
      <c r="AJ457" s="98"/>
      <c r="AK457" s="98"/>
      <c r="AL457" s="98"/>
      <c r="AM457" s="98"/>
      <c r="AN457" s="98"/>
      <c r="AO457" s="98"/>
    </row>
    <row r="458" spans="1:41" ht="15.75" customHeight="1" x14ac:dyDescent="0.2">
      <c r="A458" s="65" t="s">
        <v>153</v>
      </c>
      <c r="B458" s="243">
        <f>('Pivot Table for Data Exchange'!$Q$475)*100</f>
        <v>0</v>
      </c>
      <c r="C458" s="243">
        <f>('Pivot Table for Data Exchange'!$Q$478)*100</f>
        <v>0</v>
      </c>
      <c r="D458" s="249">
        <f>SUM(E458:G458)</f>
        <v>0</v>
      </c>
      <c r="E458" s="243">
        <f>('Pivot Table for Data Exchange'!$Q$481)*100</f>
        <v>0</v>
      </c>
      <c r="F458" s="243">
        <f>('Pivot Table for Data Exchange'!$Q$484)*100</f>
        <v>0</v>
      </c>
      <c r="G458" s="245">
        <f>('Pivot Table for Data Exchange'!$Q$487)*100</f>
        <v>0</v>
      </c>
      <c r="H458" s="243">
        <f>('Pivot Table for Data Exchange'!$Q$490)*100</f>
        <v>0</v>
      </c>
      <c r="I458" s="65"/>
      <c r="J458" s="81"/>
      <c r="K458" s="81"/>
      <c r="L458" s="81"/>
      <c r="M458" s="81"/>
      <c r="N458" s="81"/>
      <c r="O458" s="81"/>
      <c r="P458" s="81"/>
      <c r="Q458" s="248">
        <f t="shared" si="50"/>
        <v>0</v>
      </c>
      <c r="R458" s="97"/>
      <c r="S458" s="98"/>
      <c r="T458" s="98"/>
      <c r="U458" s="98"/>
      <c r="V458" s="98"/>
      <c r="W458" s="98"/>
      <c r="X458" s="98"/>
      <c r="Y458" s="98"/>
      <c r="Z458" s="98"/>
      <c r="AA458" s="98"/>
      <c r="AB458" s="98"/>
      <c r="AC458" s="98"/>
      <c r="AD458" s="98"/>
      <c r="AE458" s="98"/>
      <c r="AF458" s="98"/>
      <c r="AG458" s="98"/>
      <c r="AH458" s="98"/>
      <c r="AI458" s="98"/>
      <c r="AJ458" s="98"/>
      <c r="AK458" s="98"/>
      <c r="AL458" s="98"/>
      <c r="AM458" s="98"/>
      <c r="AN458" s="98"/>
      <c r="AO458" s="98"/>
    </row>
    <row r="459" spans="1:41" ht="15.75" customHeight="1" x14ac:dyDescent="0.2">
      <c r="A459" s="65" t="s">
        <v>154</v>
      </c>
      <c r="B459" s="243">
        <f>('Pivot Table for Data Exchange'!$Q$511)*100</f>
        <v>0</v>
      </c>
      <c r="C459" s="243">
        <f>('Pivot Table for Data Exchange'!$Q$514)*100</f>
        <v>0</v>
      </c>
      <c r="D459" s="249">
        <f>SUM(E459:G459)</f>
        <v>0</v>
      </c>
      <c r="E459" s="243">
        <f>('Pivot Table for Data Exchange'!$Q$517)*100</f>
        <v>0</v>
      </c>
      <c r="F459" s="243">
        <f>('Pivot Table for Data Exchange'!$Q$520)*100</f>
        <v>0</v>
      </c>
      <c r="G459" s="245">
        <f>('Pivot Table for Data Exchange'!$Q$523)*100</f>
        <v>0</v>
      </c>
      <c r="H459" s="243">
        <f>('Pivot Table for Data Exchange'!$Q$526)*100</f>
        <v>0</v>
      </c>
      <c r="I459" s="65"/>
      <c r="J459" s="81"/>
      <c r="K459" s="81"/>
      <c r="L459" s="81"/>
      <c r="M459" s="81"/>
      <c r="N459" s="81"/>
      <c r="O459" s="81"/>
      <c r="P459" s="81"/>
      <c r="Q459" s="248">
        <f t="shared" si="50"/>
        <v>0</v>
      </c>
      <c r="R459" s="97"/>
      <c r="S459" s="98"/>
      <c r="T459" s="98"/>
      <c r="U459" s="98"/>
      <c r="V459" s="98"/>
      <c r="W459" s="98"/>
      <c r="X459" s="98"/>
      <c r="Y459" s="98"/>
      <c r="Z459" s="98"/>
      <c r="AA459" s="98"/>
      <c r="AB459" s="98"/>
      <c r="AC459" s="98"/>
      <c r="AD459" s="98"/>
      <c r="AE459" s="98"/>
      <c r="AF459" s="98"/>
      <c r="AG459" s="98"/>
      <c r="AH459" s="98"/>
      <c r="AI459" s="98"/>
      <c r="AJ459" s="98"/>
      <c r="AK459" s="98"/>
      <c r="AL459" s="98"/>
      <c r="AM459" s="98"/>
      <c r="AN459" s="98"/>
      <c r="AO459" s="98"/>
    </row>
    <row r="460" spans="1:41" ht="15.75" customHeight="1" x14ac:dyDescent="0.2">
      <c r="A460" s="39" t="s">
        <v>155</v>
      </c>
      <c r="B460" s="246">
        <f>('Pivot Table for Data Exchange'!$Q$547)*100</f>
        <v>0</v>
      </c>
      <c r="C460" s="246">
        <f>('Pivot Table for Data Exchange'!$Q$550)*100</f>
        <v>0</v>
      </c>
      <c r="D460" s="250">
        <f>SUM(E460:G460)</f>
        <v>0</v>
      </c>
      <c r="E460" s="246">
        <f>('Pivot Table for Data Exchange'!$Q$553)*100</f>
        <v>0</v>
      </c>
      <c r="F460" s="246">
        <f>('Pivot Table for Data Exchange'!$Q$556)*100</f>
        <v>0</v>
      </c>
      <c r="G460" s="247">
        <f>('Pivot Table for Data Exchange'!$Q$559)*100</f>
        <v>0</v>
      </c>
      <c r="H460" s="246">
        <f>('Pivot Table for Data Exchange'!$Q$562)*100</f>
        <v>0</v>
      </c>
      <c r="I460" s="65"/>
      <c r="J460" s="81"/>
      <c r="K460" s="81"/>
      <c r="L460" s="81"/>
      <c r="M460" s="81"/>
      <c r="N460" s="81"/>
      <c r="O460" s="81"/>
      <c r="P460" s="81"/>
      <c r="Q460" s="248">
        <f t="shared" si="50"/>
        <v>0</v>
      </c>
      <c r="R460" s="97"/>
      <c r="S460" s="98"/>
      <c r="T460" s="98"/>
      <c r="U460" s="98"/>
      <c r="V460" s="98"/>
      <c r="W460" s="98"/>
      <c r="X460" s="98"/>
      <c r="Y460" s="98"/>
      <c r="Z460" s="98"/>
      <c r="AA460" s="98"/>
      <c r="AB460" s="98"/>
      <c r="AC460" s="98"/>
      <c r="AD460" s="98"/>
      <c r="AE460" s="98"/>
      <c r="AF460" s="98"/>
      <c r="AG460" s="98"/>
      <c r="AH460" s="98"/>
      <c r="AI460" s="98"/>
      <c r="AJ460" s="98"/>
      <c r="AK460" s="98"/>
      <c r="AL460" s="98"/>
      <c r="AM460" s="98"/>
      <c r="AN460" s="98"/>
      <c r="AO460" s="98"/>
    </row>
    <row r="461" spans="1:41" s="103" customFormat="1" ht="18" customHeight="1" x14ac:dyDescent="0.2">
      <c r="A461" s="24" t="s">
        <v>175</v>
      </c>
      <c r="B461" s="69"/>
      <c r="C461" s="69"/>
      <c r="D461" s="70"/>
      <c r="E461" s="69"/>
      <c r="F461" s="70"/>
      <c r="G461" s="70"/>
      <c r="H461" s="69"/>
      <c r="I461" s="24"/>
      <c r="J461" s="69"/>
      <c r="K461" s="69"/>
      <c r="L461" s="70"/>
      <c r="M461" s="69"/>
      <c r="N461" s="70"/>
      <c r="O461" s="70"/>
      <c r="P461" s="69"/>
      <c r="Q461" s="101"/>
      <c r="R461" s="101"/>
      <c r="S461" s="102"/>
      <c r="T461" s="102"/>
      <c r="U461" s="102"/>
      <c r="V461" s="102"/>
      <c r="W461" s="102"/>
      <c r="X461" s="102"/>
      <c r="Y461" s="102"/>
      <c r="Z461" s="102"/>
      <c r="AA461" s="102"/>
      <c r="AB461" s="102"/>
      <c r="AC461" s="102"/>
      <c r="AD461" s="102"/>
      <c r="AE461" s="102"/>
      <c r="AF461" s="102"/>
      <c r="AG461" s="102"/>
      <c r="AH461" s="102"/>
      <c r="AI461" s="102"/>
      <c r="AJ461" s="102"/>
      <c r="AK461" s="102"/>
      <c r="AL461" s="102"/>
      <c r="AM461" s="102"/>
      <c r="AN461" s="102"/>
      <c r="AO461" s="102"/>
    </row>
    <row r="462" spans="1:41" s="103" customFormat="1" ht="18" customHeight="1" x14ac:dyDescent="0.2">
      <c r="A462" s="24"/>
      <c r="B462" s="69"/>
      <c r="C462" s="69"/>
      <c r="D462" s="70"/>
      <c r="E462" s="69"/>
      <c r="F462" s="70"/>
      <c r="G462" s="70"/>
      <c r="H462" s="69"/>
      <c r="I462" s="24"/>
      <c r="J462" s="69"/>
      <c r="K462" s="69"/>
      <c r="L462" s="70"/>
      <c r="M462" s="69"/>
      <c r="N462" s="70"/>
      <c r="O462" s="70"/>
      <c r="P462" s="69"/>
      <c r="Q462" s="101"/>
      <c r="R462" s="101"/>
      <c r="S462" s="102"/>
      <c r="T462" s="102"/>
      <c r="U462" s="102"/>
      <c r="V462" s="102"/>
      <c r="W462" s="102"/>
      <c r="X462" s="102"/>
      <c r="Y462" s="102"/>
      <c r="Z462" s="102"/>
      <c r="AA462" s="102"/>
      <c r="AB462" s="102"/>
      <c r="AC462" s="102"/>
      <c r="AD462" s="102"/>
      <c r="AE462" s="102"/>
      <c r="AF462" s="102"/>
      <c r="AG462" s="102"/>
      <c r="AH462" s="102"/>
      <c r="AI462" s="102"/>
      <c r="AJ462" s="102"/>
      <c r="AK462" s="102"/>
      <c r="AL462" s="102"/>
      <c r="AM462" s="102"/>
      <c r="AN462" s="102"/>
      <c r="AO462" s="102"/>
    </row>
    <row r="463" spans="1:41" s="103" customFormat="1" ht="13.5" customHeight="1" x14ac:dyDescent="0.2">
      <c r="A463" s="24"/>
      <c r="B463" s="76"/>
      <c r="C463" s="25"/>
      <c r="D463" s="25"/>
      <c r="E463" s="25"/>
      <c r="F463" s="25"/>
      <c r="G463" s="25"/>
      <c r="H463" s="27" t="s">
        <v>914</v>
      </c>
      <c r="I463" s="24"/>
      <c r="J463" s="25"/>
      <c r="K463" s="25"/>
      <c r="L463" s="25"/>
      <c r="M463" s="25"/>
      <c r="N463" s="25"/>
      <c r="O463" s="25"/>
      <c r="P463" s="77"/>
      <c r="Q463" s="108"/>
      <c r="R463" s="106"/>
    </row>
    <row r="464" spans="1:41" s="103" customFormat="1" ht="13.5" customHeight="1" x14ac:dyDescent="0.2">
      <c r="A464" s="75"/>
      <c r="B464" s="25"/>
      <c r="C464" s="25"/>
      <c r="D464" s="25"/>
      <c r="E464" s="25"/>
      <c r="F464" s="25"/>
      <c r="G464" s="25"/>
      <c r="H464" s="26"/>
      <c r="I464" s="75"/>
      <c r="J464" s="25"/>
      <c r="K464" s="25"/>
      <c r="L464" s="25"/>
      <c r="M464" s="25"/>
      <c r="N464" s="25"/>
      <c r="O464" s="25"/>
      <c r="P464" s="25"/>
      <c r="Q464" s="108"/>
      <c r="R464" s="106"/>
    </row>
    <row r="465" spans="1:18" s="103" customFormat="1" ht="13.5" customHeight="1" x14ac:dyDescent="0.2">
      <c r="A465" s="75"/>
      <c r="B465" s="25"/>
      <c r="C465" s="25"/>
      <c r="D465" s="25"/>
      <c r="E465" s="25"/>
      <c r="F465" s="25"/>
      <c r="G465" s="25"/>
      <c r="H465" s="26"/>
      <c r="I465" s="75"/>
      <c r="J465" s="25"/>
      <c r="K465" s="25"/>
      <c r="L465" s="25"/>
      <c r="M465" s="25"/>
      <c r="N465" s="25"/>
      <c r="O465" s="25"/>
      <c r="P465" s="25"/>
      <c r="Q465" s="108"/>
      <c r="R465" s="106"/>
    </row>
    <row r="466" spans="1:18" x14ac:dyDescent="0.2">
      <c r="I466" s="80"/>
      <c r="J466" s="65"/>
      <c r="K466" s="65"/>
      <c r="L466" s="65"/>
      <c r="M466" s="65"/>
      <c r="N466" s="65"/>
      <c r="O466" s="65"/>
      <c r="P466" s="65"/>
    </row>
    <row r="467" spans="1:18" x14ac:dyDescent="0.2">
      <c r="I467" s="80"/>
      <c r="J467" s="65"/>
      <c r="K467" s="65"/>
      <c r="L467" s="65"/>
      <c r="M467" s="65"/>
      <c r="N467" s="65"/>
      <c r="O467" s="65"/>
      <c r="P467" s="65"/>
    </row>
    <row r="468" spans="1:18" x14ac:dyDescent="0.2">
      <c r="I468" s="80"/>
      <c r="J468" s="65"/>
      <c r="K468" s="65"/>
      <c r="L468" s="65"/>
      <c r="M468" s="65"/>
      <c r="N468" s="65"/>
      <c r="O468" s="65"/>
      <c r="P468" s="65"/>
    </row>
    <row r="469" spans="1:18" x14ac:dyDescent="0.2">
      <c r="I469" s="80"/>
      <c r="J469" s="65"/>
      <c r="K469" s="65"/>
      <c r="L469" s="65"/>
      <c r="M469" s="65"/>
      <c r="N469" s="65"/>
      <c r="O469" s="65"/>
      <c r="P469" s="65"/>
    </row>
    <row r="470" spans="1:18" x14ac:dyDescent="0.2">
      <c r="I470" s="80"/>
      <c r="J470" s="65"/>
      <c r="K470" s="65"/>
      <c r="L470" s="65"/>
      <c r="M470" s="65"/>
      <c r="N470" s="65"/>
      <c r="O470" s="65"/>
      <c r="P470" s="65"/>
    </row>
    <row r="471" spans="1:18" x14ac:dyDescent="0.2">
      <c r="I471" s="80"/>
      <c r="J471" s="65"/>
      <c r="K471" s="65"/>
      <c r="L471" s="65"/>
      <c r="M471" s="65"/>
      <c r="N471" s="65"/>
      <c r="O471" s="65"/>
      <c r="P471" s="65"/>
    </row>
    <row r="472" spans="1:18" x14ac:dyDescent="0.2">
      <c r="I472" s="80"/>
      <c r="J472" s="65"/>
      <c r="K472" s="65"/>
      <c r="L472" s="65"/>
      <c r="M472" s="65"/>
      <c r="N472" s="65"/>
      <c r="O472" s="65"/>
      <c r="P472" s="65"/>
    </row>
    <row r="473" spans="1:18" x14ac:dyDescent="0.2">
      <c r="I473" s="80"/>
      <c r="J473" s="65"/>
      <c r="K473" s="65"/>
      <c r="L473" s="65"/>
      <c r="M473" s="65"/>
      <c r="N473" s="65"/>
      <c r="O473" s="65"/>
      <c r="P473" s="65"/>
    </row>
    <row r="474" spans="1:18" x14ac:dyDescent="0.2">
      <c r="I474" s="80"/>
      <c r="J474" s="65"/>
      <c r="K474" s="65"/>
      <c r="L474" s="65"/>
      <c r="M474" s="65"/>
      <c r="N474" s="65"/>
      <c r="O474" s="65"/>
      <c r="P474" s="65"/>
    </row>
    <row r="475" spans="1:18" x14ac:dyDescent="0.2">
      <c r="I475" s="80"/>
      <c r="J475" s="65"/>
      <c r="K475" s="65"/>
      <c r="L475" s="65"/>
      <c r="M475" s="65"/>
      <c r="N475" s="65"/>
      <c r="O475" s="65"/>
      <c r="P475" s="65"/>
    </row>
    <row r="476" spans="1:18" x14ac:dyDescent="0.2">
      <c r="I476" s="80"/>
      <c r="J476" s="65"/>
      <c r="K476" s="65"/>
      <c r="L476" s="65"/>
      <c r="M476" s="65"/>
      <c r="N476" s="65"/>
      <c r="O476" s="65"/>
      <c r="P476" s="65"/>
    </row>
    <row r="477" spans="1:18" x14ac:dyDescent="0.2">
      <c r="I477" s="80"/>
      <c r="J477" s="65"/>
      <c r="K477" s="65"/>
      <c r="L477" s="65"/>
      <c r="M477" s="65"/>
      <c r="N477" s="65"/>
      <c r="O477" s="65"/>
      <c r="P477" s="65"/>
    </row>
    <row r="478" spans="1:18" x14ac:dyDescent="0.2">
      <c r="I478" s="80"/>
      <c r="J478" s="65"/>
      <c r="K478" s="65"/>
      <c r="L478" s="65"/>
      <c r="M478" s="65"/>
      <c r="N478" s="65"/>
      <c r="O478" s="65"/>
      <c r="P478" s="65"/>
    </row>
    <row r="479" spans="1:18" x14ac:dyDescent="0.2">
      <c r="I479" s="80"/>
      <c r="J479" s="65"/>
      <c r="K479" s="65"/>
      <c r="L479" s="65"/>
      <c r="M479" s="65"/>
      <c r="N479" s="65"/>
      <c r="O479" s="65"/>
      <c r="P479" s="65"/>
    </row>
    <row r="480" spans="1:18" x14ac:dyDescent="0.2">
      <c r="I480" s="80"/>
      <c r="J480" s="65"/>
      <c r="K480" s="65"/>
      <c r="L480" s="65"/>
      <c r="M480" s="65"/>
      <c r="N480" s="65"/>
      <c r="O480" s="65"/>
      <c r="P480" s="65"/>
    </row>
    <row r="481" spans="9:16" x14ac:dyDescent="0.2">
      <c r="I481" s="80"/>
      <c r="J481" s="65"/>
      <c r="K481" s="65"/>
      <c r="L481" s="65"/>
      <c r="M481" s="65"/>
      <c r="N481" s="65"/>
      <c r="O481" s="65"/>
      <c r="P481" s="65"/>
    </row>
    <row r="482" spans="9:16" x14ac:dyDescent="0.2">
      <c r="I482" s="80"/>
      <c r="J482" s="65"/>
      <c r="K482" s="65"/>
      <c r="L482" s="65"/>
      <c r="M482" s="65"/>
      <c r="N482" s="65"/>
      <c r="O482" s="65"/>
      <c r="P482" s="65"/>
    </row>
    <row r="483" spans="9:16" x14ac:dyDescent="0.2">
      <c r="I483" s="80"/>
      <c r="J483" s="65"/>
      <c r="K483" s="65"/>
      <c r="L483" s="65"/>
      <c r="M483" s="65"/>
      <c r="N483" s="65"/>
      <c r="O483" s="65"/>
      <c r="P483" s="65"/>
    </row>
    <row r="484" spans="9:16" x14ac:dyDescent="0.2">
      <c r="I484" s="80"/>
      <c r="J484" s="65"/>
      <c r="K484" s="65"/>
      <c r="L484" s="65"/>
      <c r="M484" s="65"/>
      <c r="N484" s="65"/>
      <c r="O484" s="65"/>
      <c r="P484" s="65"/>
    </row>
    <row r="485" spans="9:16" x14ac:dyDescent="0.2">
      <c r="I485" s="80"/>
      <c r="J485" s="65"/>
      <c r="K485" s="65"/>
      <c r="L485" s="65"/>
      <c r="M485" s="65"/>
      <c r="N485" s="65"/>
      <c r="O485" s="65"/>
      <c r="P485" s="65"/>
    </row>
    <row r="486" spans="9:16" x14ac:dyDescent="0.2">
      <c r="I486" s="80"/>
      <c r="J486" s="65"/>
      <c r="K486" s="65"/>
      <c r="L486" s="65"/>
      <c r="M486" s="65"/>
      <c r="N486" s="65"/>
      <c r="O486" s="65"/>
      <c r="P486" s="65"/>
    </row>
    <row r="487" spans="9:16" x14ac:dyDescent="0.2">
      <c r="I487" s="80"/>
      <c r="J487" s="65"/>
      <c r="K487" s="65"/>
      <c r="L487" s="65"/>
      <c r="M487" s="65"/>
      <c r="N487" s="65"/>
      <c r="O487" s="65"/>
      <c r="P487" s="65"/>
    </row>
    <row r="488" spans="9:16" x14ac:dyDescent="0.2">
      <c r="I488" s="80"/>
      <c r="J488" s="65"/>
      <c r="K488" s="65"/>
      <c r="L488" s="65"/>
      <c r="M488" s="65"/>
      <c r="N488" s="65"/>
      <c r="O488" s="65"/>
      <c r="P488" s="65"/>
    </row>
    <row r="489" spans="9:16" x14ac:dyDescent="0.2">
      <c r="I489" s="80"/>
      <c r="J489" s="65"/>
      <c r="K489" s="65"/>
      <c r="L489" s="65"/>
      <c r="M489" s="65"/>
      <c r="N489" s="65"/>
      <c r="O489" s="65"/>
      <c r="P489" s="65"/>
    </row>
    <row r="490" spans="9:16" x14ac:dyDescent="0.2">
      <c r="I490" s="80"/>
      <c r="J490" s="65"/>
      <c r="K490" s="65"/>
      <c r="L490" s="65"/>
      <c r="M490" s="65"/>
      <c r="N490" s="65"/>
      <c r="O490" s="65"/>
      <c r="P490" s="65"/>
    </row>
    <row r="491" spans="9:16" x14ac:dyDescent="0.2">
      <c r="I491" s="80"/>
      <c r="J491" s="65"/>
      <c r="K491" s="65"/>
      <c r="L491" s="65"/>
      <c r="M491" s="65"/>
      <c r="N491" s="65"/>
      <c r="O491" s="65"/>
      <c r="P491" s="65"/>
    </row>
    <row r="492" spans="9:16" x14ac:dyDescent="0.2">
      <c r="I492" s="80"/>
      <c r="J492" s="65"/>
      <c r="K492" s="65"/>
      <c r="L492" s="65"/>
      <c r="M492" s="65"/>
      <c r="N492" s="65"/>
      <c r="O492" s="65"/>
      <c r="P492" s="65"/>
    </row>
    <row r="493" spans="9:16" x14ac:dyDescent="0.2">
      <c r="I493" s="80"/>
      <c r="J493" s="65"/>
      <c r="K493" s="65"/>
      <c r="L493" s="65"/>
      <c r="M493" s="65"/>
      <c r="N493" s="65"/>
      <c r="O493" s="65"/>
      <c r="P493" s="65"/>
    </row>
    <row r="494" spans="9:16" x14ac:dyDescent="0.2">
      <c r="I494" s="80"/>
      <c r="J494" s="65"/>
      <c r="K494" s="65"/>
      <c r="L494" s="65"/>
      <c r="M494" s="65"/>
      <c r="N494" s="65"/>
      <c r="O494" s="65"/>
      <c r="P494" s="65"/>
    </row>
    <row r="495" spans="9:16" x14ac:dyDescent="0.2">
      <c r="I495" s="80"/>
      <c r="J495" s="65"/>
      <c r="K495" s="65"/>
      <c r="L495" s="65"/>
      <c r="M495" s="65"/>
      <c r="N495" s="65"/>
      <c r="O495" s="65"/>
      <c r="P495" s="65"/>
    </row>
    <row r="496" spans="9:16" x14ac:dyDescent="0.2">
      <c r="I496" s="80"/>
      <c r="J496" s="65"/>
      <c r="K496" s="65"/>
      <c r="L496" s="65"/>
      <c r="M496" s="65"/>
      <c r="N496" s="65"/>
      <c r="O496" s="65"/>
      <c r="P496" s="65"/>
    </row>
    <row r="497" spans="9:16" x14ac:dyDescent="0.2">
      <c r="I497" s="80"/>
      <c r="J497" s="65"/>
      <c r="K497" s="65"/>
      <c r="L497" s="65"/>
      <c r="M497" s="65"/>
      <c r="N497" s="65"/>
      <c r="O497" s="65"/>
      <c r="P497" s="65"/>
    </row>
    <row r="498" spans="9:16" x14ac:dyDescent="0.2">
      <c r="I498" s="80"/>
      <c r="J498" s="65"/>
      <c r="K498" s="65"/>
      <c r="L498" s="65"/>
      <c r="M498" s="65"/>
      <c r="N498" s="65"/>
      <c r="O498" s="65"/>
      <c r="P498" s="65"/>
    </row>
    <row r="499" spans="9:16" x14ac:dyDescent="0.2">
      <c r="I499" s="80"/>
      <c r="J499" s="65"/>
      <c r="K499" s="65"/>
      <c r="L499" s="65"/>
      <c r="M499" s="65"/>
      <c r="N499" s="65"/>
      <c r="O499" s="65"/>
      <c r="P499" s="65"/>
    </row>
    <row r="500" spans="9:16" x14ac:dyDescent="0.2">
      <c r="I500" s="80"/>
      <c r="J500" s="65"/>
      <c r="K500" s="65"/>
      <c r="L500" s="65"/>
      <c r="M500" s="65"/>
      <c r="N500" s="65"/>
      <c r="O500" s="65"/>
      <c r="P500" s="65"/>
    </row>
    <row r="501" spans="9:16" x14ac:dyDescent="0.2">
      <c r="I501" s="80"/>
      <c r="J501" s="65"/>
      <c r="K501" s="65"/>
      <c r="L501" s="65"/>
      <c r="M501" s="65"/>
      <c r="N501" s="65"/>
      <c r="O501" s="65"/>
      <c r="P501" s="65"/>
    </row>
    <row r="502" spans="9:16" x14ac:dyDescent="0.2">
      <c r="I502" s="80"/>
      <c r="J502" s="65"/>
      <c r="K502" s="65"/>
      <c r="L502" s="65"/>
      <c r="M502" s="65"/>
      <c r="N502" s="65"/>
      <c r="O502" s="65"/>
      <c r="P502" s="65"/>
    </row>
    <row r="503" spans="9:16" x14ac:dyDescent="0.2">
      <c r="I503" s="80"/>
      <c r="J503" s="65"/>
      <c r="K503" s="65"/>
      <c r="L503" s="65"/>
      <c r="M503" s="65"/>
      <c r="N503" s="65"/>
      <c r="O503" s="65"/>
      <c r="P503" s="65"/>
    </row>
    <row r="504" spans="9:16" x14ac:dyDescent="0.2">
      <c r="I504" s="80"/>
      <c r="J504" s="65"/>
      <c r="K504" s="65"/>
      <c r="L504" s="65"/>
      <c r="M504" s="65"/>
      <c r="N504" s="65"/>
      <c r="O504" s="65"/>
      <c r="P504" s="65"/>
    </row>
    <row r="505" spans="9:16" x14ac:dyDescent="0.2">
      <c r="I505" s="80"/>
      <c r="J505" s="65"/>
      <c r="K505" s="65"/>
      <c r="L505" s="65"/>
      <c r="M505" s="65"/>
      <c r="N505" s="65"/>
      <c r="O505" s="65"/>
      <c r="P505" s="65"/>
    </row>
    <row r="506" spans="9:16" x14ac:dyDescent="0.2">
      <c r="I506" s="80"/>
      <c r="J506" s="65"/>
      <c r="K506" s="65"/>
      <c r="L506" s="65"/>
      <c r="M506" s="65"/>
      <c r="N506" s="65"/>
      <c r="O506" s="65"/>
      <c r="P506" s="65"/>
    </row>
    <row r="507" spans="9:16" x14ac:dyDescent="0.2">
      <c r="I507" s="80"/>
      <c r="J507" s="65"/>
      <c r="K507" s="65"/>
      <c r="L507" s="65"/>
      <c r="M507" s="65"/>
      <c r="N507" s="65"/>
      <c r="O507" s="65"/>
      <c r="P507" s="65"/>
    </row>
    <row r="508" spans="9:16" x14ac:dyDescent="0.2">
      <c r="I508" s="80"/>
      <c r="J508" s="65"/>
      <c r="K508" s="65"/>
      <c r="L508" s="65"/>
      <c r="M508" s="65"/>
      <c r="N508" s="65"/>
      <c r="O508" s="65"/>
      <c r="P508" s="65"/>
    </row>
    <row r="509" spans="9:16" x14ac:dyDescent="0.2">
      <c r="I509" s="80"/>
      <c r="J509" s="65"/>
      <c r="K509" s="65"/>
      <c r="L509" s="65"/>
      <c r="M509" s="65"/>
      <c r="N509" s="65"/>
      <c r="O509" s="65"/>
      <c r="P509" s="65"/>
    </row>
    <row r="510" spans="9:16" x14ac:dyDescent="0.2">
      <c r="I510" s="80"/>
      <c r="J510" s="65"/>
      <c r="K510" s="65"/>
      <c r="L510" s="65"/>
      <c r="M510" s="65"/>
      <c r="N510" s="65"/>
      <c r="O510" s="65"/>
      <c r="P510" s="65"/>
    </row>
    <row r="511" spans="9:16" x14ac:dyDescent="0.2">
      <c r="I511" s="80"/>
      <c r="J511" s="65"/>
      <c r="K511" s="65"/>
      <c r="L511" s="65"/>
      <c r="M511" s="65"/>
      <c r="N511" s="65"/>
      <c r="O511" s="65"/>
      <c r="P511" s="65"/>
    </row>
    <row r="512" spans="9:16" x14ac:dyDescent="0.2">
      <c r="I512" s="80"/>
      <c r="J512" s="65"/>
      <c r="K512" s="65"/>
      <c r="L512" s="65"/>
      <c r="M512" s="65"/>
      <c r="N512" s="65"/>
      <c r="O512" s="65"/>
      <c r="P512" s="65"/>
    </row>
    <row r="513" spans="9:16" x14ac:dyDescent="0.2">
      <c r="I513" s="80"/>
      <c r="J513" s="65"/>
      <c r="K513" s="65"/>
      <c r="L513" s="65"/>
      <c r="M513" s="65"/>
      <c r="N513" s="65"/>
      <c r="O513" s="65"/>
      <c r="P513" s="65"/>
    </row>
    <row r="514" spans="9:16" x14ac:dyDescent="0.2">
      <c r="I514" s="80"/>
      <c r="J514" s="65"/>
      <c r="K514" s="65"/>
      <c r="L514" s="65"/>
      <c r="M514" s="65"/>
      <c r="N514" s="65"/>
      <c r="O514" s="65"/>
      <c r="P514" s="65"/>
    </row>
    <row r="515" spans="9:16" x14ac:dyDescent="0.2">
      <c r="I515" s="80"/>
      <c r="J515" s="65"/>
      <c r="K515" s="65"/>
      <c r="L515" s="65"/>
      <c r="M515" s="65"/>
      <c r="N515" s="65"/>
      <c r="O515" s="65"/>
      <c r="P515" s="65"/>
    </row>
    <row r="516" spans="9:16" x14ac:dyDescent="0.2">
      <c r="I516" s="80"/>
      <c r="J516" s="65"/>
      <c r="K516" s="65"/>
      <c r="L516" s="65"/>
      <c r="M516" s="65"/>
      <c r="N516" s="65"/>
      <c r="O516" s="65"/>
      <c r="P516" s="65"/>
    </row>
    <row r="517" spans="9:16" x14ac:dyDescent="0.2">
      <c r="I517" s="80"/>
      <c r="J517" s="65"/>
      <c r="K517" s="65"/>
      <c r="L517" s="65"/>
      <c r="M517" s="65"/>
      <c r="N517" s="65"/>
      <c r="O517" s="65"/>
      <c r="P517" s="65"/>
    </row>
    <row r="518" spans="9:16" x14ac:dyDescent="0.2">
      <c r="I518" s="80"/>
      <c r="J518" s="65"/>
      <c r="K518" s="65"/>
      <c r="L518" s="65"/>
      <c r="M518" s="65"/>
      <c r="N518" s="65"/>
      <c r="O518" s="65"/>
      <c r="P518" s="65"/>
    </row>
    <row r="519" spans="9:16" x14ac:dyDescent="0.2">
      <c r="I519" s="80"/>
      <c r="J519" s="65"/>
      <c r="K519" s="65"/>
      <c r="L519" s="65"/>
      <c r="M519" s="65"/>
      <c r="N519" s="65"/>
      <c r="O519" s="65"/>
      <c r="P519" s="65"/>
    </row>
    <row r="520" spans="9:16" x14ac:dyDescent="0.2">
      <c r="I520" s="80"/>
      <c r="J520" s="65"/>
      <c r="K520" s="65"/>
      <c r="L520" s="65"/>
      <c r="M520" s="65"/>
      <c r="N520" s="65"/>
      <c r="O520" s="65"/>
      <c r="P520" s="65"/>
    </row>
    <row r="521" spans="9:16" x14ac:dyDescent="0.2">
      <c r="I521" s="80"/>
      <c r="J521" s="65"/>
      <c r="K521" s="65"/>
      <c r="L521" s="65"/>
      <c r="M521" s="65"/>
      <c r="N521" s="65"/>
      <c r="O521" s="65"/>
      <c r="P521" s="65"/>
    </row>
    <row r="522" spans="9:16" x14ac:dyDescent="0.2">
      <c r="I522" s="80"/>
      <c r="J522" s="65"/>
      <c r="K522" s="65"/>
      <c r="L522" s="65"/>
      <c r="M522" s="65"/>
      <c r="N522" s="65"/>
      <c r="O522" s="65"/>
      <c r="P522" s="65"/>
    </row>
    <row r="523" spans="9:16" x14ac:dyDescent="0.2">
      <c r="I523" s="80"/>
      <c r="J523" s="65"/>
      <c r="K523" s="65"/>
      <c r="L523" s="65"/>
      <c r="M523" s="65"/>
      <c r="N523" s="65"/>
      <c r="O523" s="65"/>
      <c r="P523" s="65"/>
    </row>
    <row r="524" spans="9:16" x14ac:dyDescent="0.2">
      <c r="I524" s="80"/>
      <c r="J524" s="65"/>
      <c r="K524" s="65"/>
      <c r="L524" s="65"/>
      <c r="M524" s="65"/>
      <c r="N524" s="65"/>
      <c r="O524" s="65"/>
      <c r="P524" s="65"/>
    </row>
    <row r="525" spans="9:16" x14ac:dyDescent="0.2">
      <c r="I525" s="80"/>
      <c r="J525" s="65"/>
      <c r="K525" s="65"/>
      <c r="L525" s="65"/>
      <c r="M525" s="65"/>
      <c r="N525" s="65"/>
      <c r="O525" s="65"/>
      <c r="P525" s="65"/>
    </row>
    <row r="526" spans="9:16" x14ac:dyDescent="0.2">
      <c r="I526" s="80"/>
      <c r="J526" s="65"/>
      <c r="K526" s="65"/>
      <c r="L526" s="65"/>
      <c r="M526" s="65"/>
      <c r="N526" s="65"/>
      <c r="O526" s="65"/>
      <c r="P526" s="65"/>
    </row>
    <row r="527" spans="9:16" x14ac:dyDescent="0.2">
      <c r="I527" s="80"/>
      <c r="J527" s="65"/>
      <c r="K527" s="65"/>
      <c r="L527" s="65"/>
      <c r="M527" s="65"/>
      <c r="N527" s="65"/>
      <c r="O527" s="65"/>
      <c r="P527" s="65"/>
    </row>
    <row r="528" spans="9:16" x14ac:dyDescent="0.2">
      <c r="I528" s="80"/>
      <c r="J528" s="65"/>
      <c r="K528" s="65"/>
      <c r="L528" s="65"/>
      <c r="M528" s="65"/>
      <c r="N528" s="65"/>
      <c r="O528" s="65"/>
      <c r="P528" s="65"/>
    </row>
    <row r="529" spans="9:16" x14ac:dyDescent="0.2">
      <c r="I529" s="80"/>
      <c r="J529" s="65"/>
      <c r="K529" s="65"/>
      <c r="L529" s="65"/>
      <c r="M529" s="65"/>
      <c r="N529" s="65"/>
      <c r="O529" s="65"/>
      <c r="P529" s="65"/>
    </row>
    <row r="530" spans="9:16" x14ac:dyDescent="0.2">
      <c r="I530" s="80"/>
      <c r="J530" s="65"/>
      <c r="K530" s="65"/>
      <c r="L530" s="65"/>
      <c r="M530" s="65"/>
      <c r="N530" s="65"/>
      <c r="O530" s="65"/>
      <c r="P530" s="65"/>
    </row>
    <row r="531" spans="9:16" x14ac:dyDescent="0.2">
      <c r="I531" s="80"/>
      <c r="J531" s="65"/>
      <c r="K531" s="65"/>
      <c r="L531" s="65"/>
      <c r="M531" s="65"/>
      <c r="N531" s="65"/>
      <c r="O531" s="65"/>
      <c r="P531" s="65"/>
    </row>
    <row r="532" spans="9:16" x14ac:dyDescent="0.2">
      <c r="I532" s="80"/>
      <c r="J532" s="65"/>
      <c r="K532" s="65"/>
      <c r="L532" s="65"/>
      <c r="M532" s="65"/>
      <c r="N532" s="65"/>
      <c r="O532" s="65"/>
      <c r="P532" s="65"/>
    </row>
    <row r="533" spans="9:16" x14ac:dyDescent="0.2">
      <c r="I533" s="80"/>
      <c r="J533" s="65"/>
      <c r="K533" s="65"/>
      <c r="L533" s="65"/>
      <c r="M533" s="65"/>
      <c r="N533" s="65"/>
      <c r="O533" s="65"/>
      <c r="P533" s="65"/>
    </row>
    <row r="534" spans="9:16" x14ac:dyDescent="0.2">
      <c r="I534" s="80"/>
      <c r="J534" s="65"/>
      <c r="K534" s="65"/>
      <c r="L534" s="65"/>
      <c r="M534" s="65"/>
      <c r="N534" s="65"/>
      <c r="O534" s="65"/>
      <c r="P534" s="65"/>
    </row>
  </sheetData>
  <mergeCells count="46">
    <mergeCell ref="A30:H30"/>
    <mergeCell ref="I30:P30"/>
    <mergeCell ref="A28:H28"/>
    <mergeCell ref="I28:P28"/>
    <mergeCell ref="Q2:X2"/>
    <mergeCell ref="D7:G7"/>
    <mergeCell ref="L7:O7"/>
    <mergeCell ref="D39:G39"/>
    <mergeCell ref="L39:O39"/>
    <mergeCell ref="A61:H61"/>
    <mergeCell ref="I61:P61"/>
    <mergeCell ref="D70:G70"/>
    <mergeCell ref="L70:O70"/>
    <mergeCell ref="A92:H92"/>
    <mergeCell ref="I92:P92"/>
    <mergeCell ref="D101:G101"/>
    <mergeCell ref="L101:O101"/>
    <mergeCell ref="A123:H123"/>
    <mergeCell ref="I123:P123"/>
    <mergeCell ref="D132:G132"/>
    <mergeCell ref="L132:O132"/>
    <mergeCell ref="A154:H154"/>
    <mergeCell ref="I154:P154"/>
    <mergeCell ref="D163:G163"/>
    <mergeCell ref="L163:O163"/>
    <mergeCell ref="I185:P185"/>
    <mergeCell ref="D194:G194"/>
    <mergeCell ref="L194:O194"/>
    <mergeCell ref="A216:H216"/>
    <mergeCell ref="I216:P216"/>
    <mergeCell ref="D440:G440"/>
    <mergeCell ref="A62:H62"/>
    <mergeCell ref="I62:P62"/>
    <mergeCell ref="D318:G318"/>
    <mergeCell ref="A340:H340"/>
    <mergeCell ref="D349:G349"/>
    <mergeCell ref="A371:H371"/>
    <mergeCell ref="D380:G380"/>
    <mergeCell ref="D410:G410"/>
    <mergeCell ref="D225:G225"/>
    <mergeCell ref="A247:H247"/>
    <mergeCell ref="D256:G256"/>
    <mergeCell ref="A278:H278"/>
    <mergeCell ref="D287:G287"/>
    <mergeCell ref="A309:H309"/>
    <mergeCell ref="A185:H185"/>
  </mergeCells>
  <conditionalFormatting sqref="Q1:R7 Q9:R1048576">
    <cfRule type="cellIs" dxfId="655" priority="1" stopIfTrue="1" operator="notEqual">
      <formula>100</formula>
    </cfRule>
  </conditionalFormatting>
  <pageMargins left="0.7" right="0.7" top="0.75" bottom="0.75" header="0.3" footer="0.3"/>
  <pageSetup scale="97" firstPageNumber="99" orientation="landscape" useFirstPageNumber="1" r:id="rId1"/>
  <headerFooter>
    <oddHeader>&amp;R&amp;"Arial,Regular"&amp;8SREB-State Data Exchange</oddHeader>
    <oddFooter>&amp;C&amp;"Arial,Regular"&amp;10&amp;P</oddFooter>
  </headerFooter>
  <rowBreaks count="14" manualBreakCount="14">
    <brk id="32" max="15" man="1"/>
    <brk id="63" max="15" man="1"/>
    <brk id="94" max="15" man="1"/>
    <brk id="125" max="15" man="1"/>
    <brk id="156" max="15" man="1"/>
    <brk id="187" max="15" man="1"/>
    <brk id="218" max="15" man="1"/>
    <brk id="249" max="15" man="1"/>
    <brk id="280" max="15" man="1"/>
    <brk id="311" max="15" man="1"/>
    <brk id="342" max="15" man="1"/>
    <brk id="373" max="15" man="1"/>
    <brk id="403" max="15" man="1"/>
    <brk id="433" max="15" man="1"/>
  </rowBreaks>
  <colBreaks count="1" manualBreakCount="1">
    <brk id="8" max="46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AO534"/>
  <sheetViews>
    <sheetView showZeros="0" view="pageBreakPreview" zoomScaleNormal="100" zoomScaleSheetLayoutView="100" workbookViewId="0"/>
  </sheetViews>
  <sheetFormatPr defaultRowHeight="12.75" x14ac:dyDescent="0.2"/>
  <cols>
    <col min="1" max="1" width="13.42578125" style="28" customWidth="1"/>
    <col min="2" max="3" width="9.42578125" style="28" bestFit="1" customWidth="1"/>
    <col min="4" max="4" width="9.85546875" style="28" bestFit="1" customWidth="1"/>
    <col min="5" max="5" width="5.7109375" style="28" bestFit="1" customWidth="1"/>
    <col min="6" max="6" width="11.42578125" style="28" customWidth="1"/>
    <col min="7" max="7" width="7.85546875" style="28" bestFit="1" customWidth="1"/>
    <col min="8" max="8" width="12.28515625" style="65" bestFit="1" customWidth="1"/>
    <col min="9" max="9" width="13" style="88" customWidth="1"/>
    <col min="10" max="11" width="9" style="28" customWidth="1"/>
    <col min="12" max="12" width="10" style="28" bestFit="1" customWidth="1"/>
    <col min="13" max="13" width="6.42578125" style="28" bestFit="1" customWidth="1"/>
    <col min="14" max="14" width="11.28515625" style="28" customWidth="1"/>
    <col min="15" max="15" width="7.85546875" style="28" bestFit="1" customWidth="1"/>
    <col min="16" max="16" width="12.28515625" style="28" bestFit="1" customWidth="1"/>
    <col min="17" max="17" width="11.5703125" style="92" bestFit="1" customWidth="1"/>
    <col min="18" max="18" width="11.5703125" style="94" bestFit="1" customWidth="1"/>
    <col min="19" max="16384" width="9.140625" style="28"/>
  </cols>
  <sheetData>
    <row r="1" spans="1:41" ht="18" x14ac:dyDescent="0.25">
      <c r="A1" s="16" t="s">
        <v>201</v>
      </c>
      <c r="B1" s="34"/>
      <c r="C1" s="34"/>
      <c r="D1" s="34"/>
      <c r="E1" s="34"/>
      <c r="F1" s="34"/>
      <c r="G1" s="34"/>
      <c r="H1" s="35"/>
      <c r="I1" s="16" t="s">
        <v>216</v>
      </c>
      <c r="J1" s="19"/>
      <c r="K1" s="19"/>
      <c r="L1" s="34"/>
      <c r="M1" s="19"/>
      <c r="N1" s="19"/>
      <c r="O1" s="19"/>
      <c r="P1" s="19"/>
      <c r="Q1" s="89"/>
      <c r="R1" s="90"/>
    </row>
    <row r="2" spans="1:41" ht="15" x14ac:dyDescent="0.2">
      <c r="A2" s="18"/>
      <c r="B2" s="19"/>
      <c r="C2" s="19"/>
      <c r="D2" s="19"/>
      <c r="E2" s="19"/>
      <c r="F2" s="19"/>
      <c r="G2" s="19"/>
      <c r="H2" s="36"/>
      <c r="I2" s="18"/>
      <c r="J2" s="19"/>
      <c r="K2" s="19"/>
      <c r="L2" s="19"/>
      <c r="M2" s="19"/>
      <c r="N2" s="19"/>
      <c r="O2" s="19"/>
      <c r="P2" s="19"/>
      <c r="Q2" s="688"/>
      <c r="R2" s="687"/>
      <c r="S2" s="687"/>
      <c r="T2" s="687"/>
      <c r="U2" s="687"/>
      <c r="V2" s="687"/>
      <c r="W2" s="687"/>
      <c r="X2" s="687"/>
    </row>
    <row r="3" spans="1:41" ht="15.75" x14ac:dyDescent="0.25">
      <c r="A3" s="37" t="s">
        <v>162</v>
      </c>
      <c r="B3" s="19"/>
      <c r="C3" s="19"/>
      <c r="D3" s="19"/>
      <c r="E3" s="19"/>
      <c r="F3" s="19"/>
      <c r="G3" s="19"/>
      <c r="H3" s="36"/>
      <c r="I3" s="37" t="s">
        <v>163</v>
      </c>
      <c r="J3" s="19"/>
      <c r="K3" s="19"/>
      <c r="L3" s="19"/>
      <c r="M3" s="19"/>
      <c r="N3" s="19"/>
      <c r="O3" s="19"/>
      <c r="P3" s="19"/>
      <c r="R3" s="93" t="s">
        <v>39</v>
      </c>
    </row>
    <row r="4" spans="1:41" ht="18.75" x14ac:dyDescent="0.25">
      <c r="A4" s="37" t="s">
        <v>926</v>
      </c>
      <c r="B4" s="19"/>
      <c r="C4" s="19"/>
      <c r="D4" s="19"/>
      <c r="E4" s="19"/>
      <c r="F4" s="19"/>
      <c r="G4" s="19"/>
      <c r="H4" s="36"/>
      <c r="I4" s="37" t="s">
        <v>926</v>
      </c>
      <c r="J4" s="19"/>
      <c r="K4" s="19"/>
      <c r="L4" s="19"/>
      <c r="M4" s="19"/>
      <c r="N4" s="19"/>
      <c r="O4" s="19"/>
      <c r="P4" s="19"/>
      <c r="R4" s="93" t="s">
        <v>39</v>
      </c>
    </row>
    <row r="5" spans="1:41" x14ac:dyDescent="0.2">
      <c r="A5" s="39"/>
      <c r="B5" s="40"/>
      <c r="C5" s="40"/>
      <c r="D5" s="40"/>
      <c r="E5" s="40"/>
      <c r="F5" s="40"/>
      <c r="G5" s="40"/>
      <c r="H5" s="40"/>
      <c r="I5" s="41"/>
      <c r="L5" s="42"/>
      <c r="P5" s="39"/>
    </row>
    <row r="6" spans="1:41" s="48" customFormat="1" ht="12" x14ac:dyDescent="0.2">
      <c r="A6" s="43"/>
      <c r="B6" s="44" t="s">
        <v>164</v>
      </c>
      <c r="C6" s="44"/>
      <c r="D6" s="44"/>
      <c r="E6" s="44"/>
      <c r="F6" s="44"/>
      <c r="G6" s="44"/>
      <c r="H6" s="45"/>
      <c r="I6" s="43"/>
      <c r="J6" s="44" t="s">
        <v>164</v>
      </c>
      <c r="K6" s="44"/>
      <c r="L6" s="44"/>
      <c r="M6" s="44"/>
      <c r="N6" s="44"/>
      <c r="O6" s="44"/>
      <c r="P6" s="45"/>
      <c r="Q6" s="95"/>
      <c r="R6" s="96"/>
    </row>
    <row r="7" spans="1:41" s="48" customFormat="1" ht="12" x14ac:dyDescent="0.2">
      <c r="A7" s="43"/>
      <c r="B7" s="44" t="s">
        <v>165</v>
      </c>
      <c r="C7" s="44"/>
      <c r="D7" s="670" t="s">
        <v>166</v>
      </c>
      <c r="E7" s="668"/>
      <c r="F7" s="668"/>
      <c r="G7" s="668"/>
      <c r="H7" s="49" t="s">
        <v>39</v>
      </c>
      <c r="I7" s="43"/>
      <c r="J7" s="44" t="s">
        <v>165</v>
      </c>
      <c r="K7" s="44"/>
      <c r="L7" s="670" t="s">
        <v>166</v>
      </c>
      <c r="M7" s="668"/>
      <c r="N7" s="668"/>
      <c r="O7" s="668"/>
      <c r="P7" s="49" t="s">
        <v>39</v>
      </c>
      <c r="Q7" s="95"/>
      <c r="R7" s="96"/>
    </row>
    <row r="8" spans="1:41" s="48" customFormat="1" ht="40.5" customHeight="1" x14ac:dyDescent="0.2">
      <c r="A8" s="43"/>
      <c r="B8" s="50" t="s">
        <v>167</v>
      </c>
      <c r="C8" s="51" t="s">
        <v>168</v>
      </c>
      <c r="D8" s="52" t="s">
        <v>169</v>
      </c>
      <c r="E8" s="53" t="s">
        <v>7</v>
      </c>
      <c r="F8" s="50" t="s">
        <v>170</v>
      </c>
      <c r="G8" s="54" t="s">
        <v>924</v>
      </c>
      <c r="H8" s="55" t="s">
        <v>172</v>
      </c>
      <c r="I8" s="43"/>
      <c r="J8" s="50" t="s">
        <v>167</v>
      </c>
      <c r="K8" s="51" t="s">
        <v>168</v>
      </c>
      <c r="L8" s="52" t="s">
        <v>169</v>
      </c>
      <c r="M8" s="53" t="s">
        <v>7</v>
      </c>
      <c r="N8" s="50" t="s">
        <v>170</v>
      </c>
      <c r="O8" s="54" t="s">
        <v>924</v>
      </c>
      <c r="P8" s="55" t="s">
        <v>172</v>
      </c>
      <c r="Q8" s="56" t="s">
        <v>173</v>
      </c>
      <c r="R8" s="56" t="s">
        <v>173</v>
      </c>
      <c r="S8" s="57"/>
    </row>
    <row r="9" spans="1:41" ht="15.75" customHeight="1" x14ac:dyDescent="0.2">
      <c r="A9" s="58" t="s">
        <v>141</v>
      </c>
      <c r="B9" s="243">
        <f>('Pivot Table for Data Exchange'!$J$6)*100</f>
        <v>87.78286191030908</v>
      </c>
      <c r="C9" s="243">
        <f>('Pivot Table for Data Exchange'!$J$9)*100</f>
        <v>0.45586446002950393</v>
      </c>
      <c r="D9" s="249">
        <f>SUM(E9:G9)</f>
        <v>11.761273629661424</v>
      </c>
      <c r="E9" s="243">
        <f>('Pivot Table for Data Exchange'!$J$12)*100</f>
        <v>11.519931889698759</v>
      </c>
      <c r="F9" s="243">
        <f>('Pivot Table for Data Exchange'!$J$15)*100</f>
        <v>9.3410263588867656E-2</v>
      </c>
      <c r="G9" s="60">
        <f>('Pivot Table for Data Exchange'!$J$18)*100</f>
        <v>0.14793147637379767</v>
      </c>
      <c r="H9" s="243">
        <f>('Pivot Table for Data Exchange'!$J$21)*100</f>
        <v>0</v>
      </c>
      <c r="I9" s="251" t="s">
        <v>141</v>
      </c>
      <c r="J9" s="243">
        <f>('Pivot Table for Data Exchange'!$J$24)*100</f>
        <v>69.512512214454375</v>
      </c>
      <c r="K9" s="243">
        <f>('Pivot Table for Data Exchange'!$J$27)*100</f>
        <v>2.6689369126053171</v>
      </c>
      <c r="L9" s="249">
        <f>SUM(M9:O9)</f>
        <v>27.818550872940314</v>
      </c>
      <c r="M9" s="243">
        <f>('Pivot Table for Data Exchange'!$J$30)*100</f>
        <v>25.167018247241522</v>
      </c>
      <c r="N9" s="243">
        <f>('Pivot Table for Data Exchange'!$J$33)*100</f>
        <v>0.1126036393831753</v>
      </c>
      <c r="O9" s="60">
        <f>('Pivot Table for Data Exchange'!$J$36)*100</f>
        <v>2.5389289863156175</v>
      </c>
      <c r="P9" s="243">
        <f>('Pivot Table for Data Exchange'!$J$39)*100</f>
        <v>0</v>
      </c>
      <c r="Q9" s="97">
        <f>SUM(B9,C9,D9,H9)</f>
        <v>100</v>
      </c>
      <c r="R9" s="97">
        <f>SUM(J9,K9,L9,P9)</f>
        <v>100</v>
      </c>
      <c r="S9" s="63"/>
      <c r="T9" s="48"/>
      <c r="U9" s="48"/>
      <c r="V9" s="48"/>
      <c r="W9" s="48"/>
      <c r="X9" s="48"/>
      <c r="Y9" s="48"/>
      <c r="Z9" s="48"/>
      <c r="AA9" s="48"/>
      <c r="AB9" s="48"/>
      <c r="AC9" s="48"/>
      <c r="AD9" s="48"/>
      <c r="AE9" s="48"/>
      <c r="AF9" s="48"/>
      <c r="AG9" s="63"/>
      <c r="AH9" s="63"/>
      <c r="AI9" s="63"/>
      <c r="AJ9" s="63"/>
      <c r="AK9" s="63"/>
      <c r="AL9" s="63"/>
      <c r="AM9" s="63"/>
      <c r="AN9" s="63"/>
      <c r="AO9" s="63"/>
    </row>
    <row r="10" spans="1:41" ht="15.75" customHeight="1" x14ac:dyDescent="0.2">
      <c r="A10" s="65" t="s">
        <v>142</v>
      </c>
      <c r="B10" s="243">
        <f>('Pivot Table for Data Exchange'!$J$42)*100</f>
        <v>83.95291844403917</v>
      </c>
      <c r="C10" s="243">
        <f>('Pivot Table for Data Exchange'!$J$45)*100</f>
        <v>3.9114631078517066</v>
      </c>
      <c r="D10" s="249">
        <f t="shared" ref="D10:D26" si="0">SUM(E10:G10)</f>
        <v>11.758857468453051</v>
      </c>
      <c r="E10" s="243">
        <f>('Pivot Table for Data Exchange'!$J$48)*100</f>
        <v>11.127433974770193</v>
      </c>
      <c r="F10" s="243">
        <f>('Pivot Table for Data Exchange'!$J$51)*100</f>
        <v>0.62371966192291517</v>
      </c>
      <c r="G10" s="68">
        <f>('Pivot Table for Data Exchange'!$J$54)*100</f>
        <v>7.7038317599427879E-3</v>
      </c>
      <c r="H10" s="243">
        <f>('Pivot Table for Data Exchange'!$J$57)*100</f>
        <v>0.37676097965606992</v>
      </c>
      <c r="I10" s="87" t="s">
        <v>142</v>
      </c>
      <c r="J10" s="243">
        <f>('Pivot Table for Data Exchange'!$J$60)*100</f>
        <v>53.616586764769778</v>
      </c>
      <c r="K10" s="243">
        <f>('Pivot Table for Data Exchange'!$J$63)*100</f>
        <v>7.3656996364584391</v>
      </c>
      <c r="L10" s="249">
        <f t="shared" ref="L10:L26" si="1">SUM(M10:O10)</f>
        <v>39.017713598771778</v>
      </c>
      <c r="M10" s="243">
        <f>('Pivot Table for Data Exchange'!$J$66)*100</f>
        <v>37.514302680937966</v>
      </c>
      <c r="N10" s="243">
        <f>('Pivot Table for Data Exchange'!$J$69)*100</f>
        <v>1.0417421027475631</v>
      </c>
      <c r="O10" s="245">
        <f>('Pivot Table for Data Exchange'!$J$72)*100</f>
        <v>0.46166881508625063</v>
      </c>
      <c r="P10" s="243">
        <f>('Pivot Table for Data Exchange'!$J$75)*100</f>
        <v>0</v>
      </c>
      <c r="Q10" s="97">
        <f>SUM(B10,C10,D10,H10)</f>
        <v>100</v>
      </c>
      <c r="R10" s="97">
        <f t="shared" ref="R10:R74" si="2">SUM(J10,K10,L10,P10)</f>
        <v>100</v>
      </c>
      <c r="S10" s="63"/>
      <c r="T10" s="48"/>
      <c r="U10" s="48"/>
      <c r="V10" s="48"/>
      <c r="W10" s="48"/>
      <c r="X10" s="48"/>
      <c r="Y10" s="48"/>
      <c r="Z10" s="48"/>
      <c r="AA10" s="48"/>
      <c r="AB10" s="48"/>
      <c r="AC10" s="48"/>
      <c r="AD10" s="48"/>
      <c r="AE10" s="48"/>
      <c r="AF10" s="48"/>
      <c r="AG10" s="63"/>
      <c r="AH10" s="63"/>
      <c r="AI10" s="63"/>
      <c r="AJ10" s="63"/>
      <c r="AK10" s="63"/>
      <c r="AL10" s="63"/>
      <c r="AM10" s="63"/>
      <c r="AN10" s="63"/>
      <c r="AO10" s="63"/>
    </row>
    <row r="11" spans="1:41" ht="15.75" customHeight="1" x14ac:dyDescent="0.2">
      <c r="A11" s="65" t="s">
        <v>143</v>
      </c>
      <c r="B11" s="243">
        <f>('Pivot Table for Data Exchange'!$J$78)*100</f>
        <v>97.203972643322345</v>
      </c>
      <c r="C11" s="243">
        <f>('Pivot Table for Data Exchange'!$J$81)*100</f>
        <v>0</v>
      </c>
      <c r="D11" s="249">
        <f t="shared" si="0"/>
        <v>2.7960273566776559</v>
      </c>
      <c r="E11" s="243">
        <f>('Pivot Table for Data Exchange'!$J$84)*100</f>
        <v>2.7960273566776559</v>
      </c>
      <c r="F11" s="243">
        <f>('Pivot Table for Data Exchange'!$J$87)*100</f>
        <v>0</v>
      </c>
      <c r="G11" s="245">
        <f>('Pivot Table for Data Exchange'!$J$90)*100</f>
        <v>0</v>
      </c>
      <c r="H11" s="243">
        <f>('Pivot Table for Data Exchange'!$J$93)*100</f>
        <v>0</v>
      </c>
      <c r="I11" s="87" t="s">
        <v>143</v>
      </c>
      <c r="J11" s="243">
        <f>('Pivot Table for Data Exchange'!$J$96)*100</f>
        <v>89.836643329999518</v>
      </c>
      <c r="K11" s="243">
        <f>('Pivot Table for Data Exchange'!$J$99)*100</f>
        <v>0</v>
      </c>
      <c r="L11" s="249">
        <f t="shared" si="1"/>
        <v>10.163356670000475</v>
      </c>
      <c r="M11" s="243">
        <f>('Pivot Table for Data Exchange'!$J$102)*100</f>
        <v>10.163356670000475</v>
      </c>
      <c r="N11" s="243">
        <f>('Pivot Table for Data Exchange'!$J$105)*100</f>
        <v>0</v>
      </c>
      <c r="O11" s="245">
        <f>('Pivot Table for Data Exchange'!$J$108)*100</f>
        <v>0</v>
      </c>
      <c r="P11" s="243">
        <f>('Pivot Table for Data Exchange'!$J$111)*100</f>
        <v>0</v>
      </c>
      <c r="Q11" s="97">
        <f t="shared" ref="Q11:Q74" si="3">SUM(B11,C11,D11,H11)</f>
        <v>100</v>
      </c>
      <c r="R11" s="97">
        <f t="shared" si="2"/>
        <v>100</v>
      </c>
      <c r="S11" s="63"/>
      <c r="T11" s="48"/>
      <c r="U11" s="48"/>
      <c r="V11" s="48"/>
      <c r="W11" s="48"/>
      <c r="X11" s="48"/>
      <c r="Y11" s="48"/>
      <c r="Z11" s="48"/>
      <c r="AA11" s="48"/>
      <c r="AB11" s="48"/>
      <c r="AC11" s="48"/>
      <c r="AD11" s="48"/>
      <c r="AE11" s="48"/>
      <c r="AF11" s="48"/>
      <c r="AG11" s="63"/>
      <c r="AH11" s="63"/>
      <c r="AI11" s="63"/>
      <c r="AJ11" s="63"/>
      <c r="AK11" s="63"/>
      <c r="AL11" s="63"/>
      <c r="AM11" s="63"/>
      <c r="AN11" s="63"/>
      <c r="AO11" s="63"/>
    </row>
    <row r="12" spans="1:41" ht="15.75" customHeight="1" x14ac:dyDescent="0.2">
      <c r="A12" s="65" t="s">
        <v>925</v>
      </c>
      <c r="B12" s="243">
        <f>('Pivot Table for Data Exchange'!$J$114)*100</f>
        <v>73.772270868904585</v>
      </c>
      <c r="C12" s="243">
        <f>('Pivot Table for Data Exchange'!$J$117)*100</f>
        <v>7.8853922454229481</v>
      </c>
      <c r="D12" s="249">
        <f t="shared" si="0"/>
        <v>18.258055420667613</v>
      </c>
      <c r="E12" s="243">
        <f>('Pivot Table for Data Exchange'!$J$120)*100</f>
        <v>16.799330259628821</v>
      </c>
      <c r="F12" s="243">
        <f>('Pivot Table for Data Exchange'!$J$123)*100</f>
        <v>0</v>
      </c>
      <c r="G12" s="245">
        <f>('Pivot Table for Data Exchange'!$J$126)*100</f>
        <v>1.4587251610387937</v>
      </c>
      <c r="H12" s="243">
        <f>('Pivot Table for Data Exchange'!$J$129)*100</f>
        <v>8.4281465004847261E-2</v>
      </c>
      <c r="I12" s="87" t="s">
        <v>925</v>
      </c>
      <c r="J12" s="243">
        <f>('Pivot Table for Data Exchange'!$J$132)*100</f>
        <v>70.16967839446778</v>
      </c>
      <c r="K12" s="243">
        <f>('Pivot Table for Data Exchange'!$J$135)*100</f>
        <v>8.5135253737005563</v>
      </c>
      <c r="L12" s="249">
        <f t="shared" si="1"/>
        <v>21.316796231831656</v>
      </c>
      <c r="M12" s="243">
        <f>('Pivot Table for Data Exchange'!$J$138)*100</f>
        <v>20.349031203627423</v>
      </c>
      <c r="N12" s="243">
        <f>('Pivot Table for Data Exchange'!$J$141)*100</f>
        <v>0</v>
      </c>
      <c r="O12" s="245">
        <f>('Pivot Table for Data Exchange'!$J$144)*100</f>
        <v>0.96776502820423527</v>
      </c>
      <c r="P12" s="243">
        <f>('Pivot Table for Data Exchange'!$J$147)*100</f>
        <v>0</v>
      </c>
      <c r="Q12" s="97">
        <f t="shared" si="3"/>
        <v>100</v>
      </c>
      <c r="R12" s="97">
        <f t="shared" si="2"/>
        <v>100</v>
      </c>
      <c r="S12" s="63"/>
      <c r="T12" s="48"/>
      <c r="U12" s="48"/>
      <c r="V12" s="48"/>
      <c r="W12" s="48"/>
      <c r="X12" s="48"/>
      <c r="Y12" s="48"/>
      <c r="Z12" s="48"/>
      <c r="AA12" s="48"/>
      <c r="AB12" s="48"/>
      <c r="AC12" s="48"/>
      <c r="AD12" s="48"/>
      <c r="AE12" s="48"/>
      <c r="AF12" s="48"/>
      <c r="AG12" s="63"/>
      <c r="AH12" s="63"/>
      <c r="AI12" s="63"/>
      <c r="AJ12" s="63"/>
      <c r="AK12" s="63"/>
      <c r="AL12" s="63"/>
      <c r="AM12" s="63"/>
      <c r="AN12" s="63"/>
      <c r="AO12" s="63"/>
    </row>
    <row r="13" spans="1:41" ht="9.75" customHeight="1" x14ac:dyDescent="0.2">
      <c r="A13" s="65"/>
      <c r="B13" s="243"/>
      <c r="C13" s="243"/>
      <c r="D13" s="249"/>
      <c r="E13" s="243"/>
      <c r="F13" s="243"/>
      <c r="G13" s="245"/>
      <c r="H13" s="243"/>
      <c r="I13" s="87"/>
      <c r="J13" s="243"/>
      <c r="K13" s="243"/>
      <c r="L13" s="249"/>
      <c r="M13" s="243"/>
      <c r="N13" s="243"/>
      <c r="O13" s="245"/>
      <c r="P13" s="243"/>
      <c r="Q13" s="97">
        <f t="shared" si="3"/>
        <v>0</v>
      </c>
      <c r="R13" s="97">
        <f t="shared" si="2"/>
        <v>0</v>
      </c>
      <c r="S13" s="63"/>
      <c r="T13" s="48"/>
      <c r="U13" s="48"/>
      <c r="V13" s="48"/>
      <c r="W13" s="48"/>
      <c r="X13" s="48"/>
      <c r="Y13" s="48"/>
      <c r="Z13" s="48"/>
      <c r="AA13" s="48"/>
      <c r="AB13" s="48"/>
      <c r="AC13" s="48"/>
      <c r="AD13" s="48"/>
      <c r="AE13" s="48"/>
      <c r="AF13" s="48"/>
      <c r="AG13" s="63"/>
      <c r="AH13" s="63"/>
      <c r="AI13" s="63"/>
      <c r="AJ13" s="63"/>
      <c r="AK13" s="63"/>
      <c r="AL13" s="63"/>
      <c r="AM13" s="63"/>
      <c r="AN13" s="63"/>
      <c r="AO13" s="63"/>
    </row>
    <row r="14" spans="1:41" ht="15.75" customHeight="1" x14ac:dyDescent="0.2">
      <c r="A14" s="65" t="s">
        <v>145</v>
      </c>
      <c r="B14" s="243">
        <f>('Pivot Table for Data Exchange'!$J$150)*100</f>
        <v>0</v>
      </c>
      <c r="C14" s="243">
        <f>('Pivot Table for Data Exchange'!$J$153)*100</f>
        <v>0</v>
      </c>
      <c r="D14" s="249">
        <f t="shared" si="0"/>
        <v>0</v>
      </c>
      <c r="E14" s="243">
        <f>('Pivot Table for Data Exchange'!$J$156)*100</f>
        <v>0</v>
      </c>
      <c r="F14" s="243">
        <f>('Pivot Table for Data Exchange'!$J$159)*100</f>
        <v>0</v>
      </c>
      <c r="G14" s="245">
        <f>('Pivot Table for Data Exchange'!$J$162)*100</f>
        <v>0</v>
      </c>
      <c r="H14" s="243">
        <f>('Pivot Table for Data Exchange'!$J$165)*100</f>
        <v>0</v>
      </c>
      <c r="I14" s="87" t="s">
        <v>145</v>
      </c>
      <c r="J14" s="243">
        <f>('Pivot Table for Data Exchange'!$J$168)*100</f>
        <v>0</v>
      </c>
      <c r="K14" s="243">
        <f>('Pivot Table for Data Exchange'!$J$171)*100</f>
        <v>0</v>
      </c>
      <c r="L14" s="249">
        <f t="shared" si="1"/>
        <v>0</v>
      </c>
      <c r="M14" s="243">
        <f>('Pivot Table for Data Exchange'!$J$174)*100</f>
        <v>0</v>
      </c>
      <c r="N14" s="243">
        <f>('Pivot Table for Data Exchange'!$J$177)*100</f>
        <v>0</v>
      </c>
      <c r="O14" s="245">
        <f>('Pivot Table for Data Exchange'!$J$180)*100</f>
        <v>0</v>
      </c>
      <c r="P14" s="243">
        <f>('Pivot Table for Data Exchange'!$J$183)*100</f>
        <v>0</v>
      </c>
      <c r="Q14" s="97">
        <f t="shared" si="3"/>
        <v>0</v>
      </c>
      <c r="R14" s="97">
        <f t="shared" si="2"/>
        <v>0</v>
      </c>
      <c r="S14" s="63"/>
      <c r="T14" s="48"/>
      <c r="U14" s="48"/>
      <c r="V14" s="48"/>
      <c r="W14" s="48"/>
      <c r="X14" s="48"/>
      <c r="Y14" s="48"/>
      <c r="Z14" s="48"/>
      <c r="AA14" s="48"/>
      <c r="AB14" s="48"/>
      <c r="AC14" s="48"/>
      <c r="AD14" s="48"/>
      <c r="AE14" s="48"/>
      <c r="AF14" s="48"/>
      <c r="AG14" s="63"/>
      <c r="AH14" s="63"/>
      <c r="AI14" s="63"/>
      <c r="AJ14" s="63"/>
      <c r="AK14" s="63"/>
      <c r="AL14" s="63"/>
      <c r="AM14" s="63"/>
      <c r="AN14" s="63"/>
      <c r="AO14" s="63"/>
    </row>
    <row r="15" spans="1:41" ht="15.75" customHeight="1" x14ac:dyDescent="0.2">
      <c r="A15" s="65" t="s">
        <v>146</v>
      </c>
      <c r="B15" s="243">
        <f>('Pivot Table for Data Exchange'!$J$186)*100</f>
        <v>84.299671008092787</v>
      </c>
      <c r="C15" s="243">
        <f>('Pivot Table for Data Exchange'!$J$189)*100</f>
        <v>4.6265344054687638</v>
      </c>
      <c r="D15" s="249">
        <f t="shared" si="0"/>
        <v>11.073794586438456</v>
      </c>
      <c r="E15" s="243">
        <f>('Pivot Table for Data Exchange'!$J$192)*100</f>
        <v>9.5987295384436493</v>
      </c>
      <c r="F15" s="243">
        <f>('Pivot Table for Data Exchange'!$J$195)*100</f>
        <v>1.4006251483631238</v>
      </c>
      <c r="G15" s="245">
        <f>('Pivot Table for Data Exchange'!$J$198)*100</f>
        <v>7.4439899631682821E-2</v>
      </c>
      <c r="H15" s="243">
        <f>('Pivot Table for Data Exchange'!$J$201)*100</f>
        <v>0</v>
      </c>
      <c r="I15" s="87" t="s">
        <v>146</v>
      </c>
      <c r="J15" s="243">
        <f>('Pivot Table for Data Exchange'!$J$204)*100</f>
        <v>68.344099143344707</v>
      </c>
      <c r="K15" s="243">
        <f>('Pivot Table for Data Exchange'!$J$207)*100</f>
        <v>4.0745656491063498</v>
      </c>
      <c r="L15" s="249">
        <f t="shared" si="1"/>
        <v>27.581335207548943</v>
      </c>
      <c r="M15" s="243">
        <f>('Pivot Table for Data Exchange'!$J$210)*100</f>
        <v>25.766520445534884</v>
      </c>
      <c r="N15" s="243">
        <f>('Pivot Table for Data Exchange'!$J$213)*100</f>
        <v>1.8019841784648636</v>
      </c>
      <c r="O15" s="68">
        <f>('Pivot Table for Data Exchange'!$J$216)*100</f>
        <v>1.283058354919602E-2</v>
      </c>
      <c r="P15" s="243">
        <f>('Pivot Table for Data Exchange'!$J$219)*100</f>
        <v>0</v>
      </c>
      <c r="Q15" s="97">
        <f t="shared" si="3"/>
        <v>100</v>
      </c>
      <c r="R15" s="97">
        <f t="shared" si="2"/>
        <v>100</v>
      </c>
      <c r="S15" s="63"/>
      <c r="T15" s="48"/>
      <c r="U15" s="48"/>
      <c r="V15" s="48"/>
      <c r="W15" s="48"/>
      <c r="X15" s="48"/>
      <c r="Y15" s="48"/>
      <c r="Z15" s="48"/>
      <c r="AA15" s="48"/>
      <c r="AB15" s="48"/>
      <c r="AC15" s="48"/>
      <c r="AD15" s="48"/>
      <c r="AE15" s="48"/>
      <c r="AF15" s="48"/>
      <c r="AG15" s="63"/>
      <c r="AH15" s="63"/>
      <c r="AI15" s="63"/>
      <c r="AJ15" s="63"/>
      <c r="AK15" s="63"/>
      <c r="AL15" s="63"/>
      <c r="AM15" s="63"/>
      <c r="AN15" s="63"/>
      <c r="AO15" s="63"/>
    </row>
    <row r="16" spans="1:41" ht="15.75" customHeight="1" x14ac:dyDescent="0.2">
      <c r="A16" s="65" t="s">
        <v>147</v>
      </c>
      <c r="B16" s="243">
        <f>('Pivot Table for Data Exchange'!$J$222)*100</f>
        <v>0</v>
      </c>
      <c r="C16" s="243">
        <f>('Pivot Table for Data Exchange'!$J$225)*100</f>
        <v>0</v>
      </c>
      <c r="D16" s="249">
        <f t="shared" si="0"/>
        <v>0</v>
      </c>
      <c r="E16" s="243">
        <f>('Pivot Table for Data Exchange'!$J$228)*100</f>
        <v>0</v>
      </c>
      <c r="F16" s="243">
        <f>('Pivot Table for Data Exchange'!$J$231)*100</f>
        <v>0</v>
      </c>
      <c r="G16" s="245">
        <f>('Pivot Table for Data Exchange'!$J$234)*100</f>
        <v>0</v>
      </c>
      <c r="H16" s="243">
        <f>('Pivot Table for Data Exchange'!$J$237)*100</f>
        <v>0</v>
      </c>
      <c r="I16" s="87" t="s">
        <v>147</v>
      </c>
      <c r="J16" s="243">
        <f>('Pivot Table for Data Exchange'!$J$240)*100</f>
        <v>0</v>
      </c>
      <c r="K16" s="243">
        <f>('Pivot Table for Data Exchange'!$J$243)*100</f>
        <v>0</v>
      </c>
      <c r="L16" s="249">
        <f t="shared" si="1"/>
        <v>0</v>
      </c>
      <c r="M16" s="243">
        <f>('Pivot Table for Data Exchange'!$J$246)*100</f>
        <v>0</v>
      </c>
      <c r="N16" s="243">
        <f>('Pivot Table for Data Exchange'!$J$249)*100</f>
        <v>0</v>
      </c>
      <c r="O16" s="245">
        <f>('Pivot Table for Data Exchange'!$J$252)*100</f>
        <v>0</v>
      </c>
      <c r="P16" s="243">
        <f>('Pivot Table for Data Exchange'!$J$255)*100</f>
        <v>0</v>
      </c>
      <c r="Q16" s="97">
        <f t="shared" si="3"/>
        <v>0</v>
      </c>
      <c r="R16" s="97">
        <f t="shared" si="2"/>
        <v>0</v>
      </c>
      <c r="S16" s="63"/>
      <c r="T16" s="48"/>
      <c r="U16" s="48"/>
      <c r="V16" s="48"/>
      <c r="W16" s="48"/>
      <c r="X16" s="48"/>
      <c r="Y16" s="48"/>
      <c r="Z16" s="48"/>
      <c r="AA16" s="48"/>
      <c r="AB16" s="48"/>
      <c r="AC16" s="48"/>
      <c r="AD16" s="48"/>
      <c r="AE16" s="48"/>
      <c r="AF16" s="48"/>
      <c r="AG16" s="63"/>
      <c r="AH16" s="63"/>
      <c r="AI16" s="63"/>
      <c r="AJ16" s="63"/>
      <c r="AK16" s="63"/>
      <c r="AL16" s="63"/>
      <c r="AM16" s="63"/>
      <c r="AN16" s="63"/>
      <c r="AO16" s="63"/>
    </row>
    <row r="17" spans="1:41" ht="15.75" customHeight="1" x14ac:dyDescent="0.2">
      <c r="A17" s="65" t="s">
        <v>177</v>
      </c>
      <c r="B17" s="243">
        <f>('Pivot Table for Data Exchange'!$J$258)*100</f>
        <v>78.824705404960199</v>
      </c>
      <c r="C17" s="243">
        <f>('Pivot Table for Data Exchange'!$J$261)*100</f>
        <v>2.8665533686084026</v>
      </c>
      <c r="D17" s="249">
        <f t="shared" si="0"/>
        <v>18.308741226431394</v>
      </c>
      <c r="E17" s="243">
        <f>('Pivot Table for Data Exchange'!$J$264)*100</f>
        <v>18.207656859554604</v>
      </c>
      <c r="F17" s="243">
        <f>('Pivot Table for Data Exchange'!$J$267)*100</f>
        <v>0.10108436687679037</v>
      </c>
      <c r="G17" s="245">
        <f>('Pivot Table for Data Exchange'!$J$270)*100</f>
        <v>0</v>
      </c>
      <c r="H17" s="243">
        <f>('Pivot Table for Data Exchange'!$J$273)*100</f>
        <v>0</v>
      </c>
      <c r="I17" s="87" t="s">
        <v>177</v>
      </c>
      <c r="J17" s="243">
        <f>('Pivot Table for Data Exchange'!$J$276)*100</f>
        <v>50.71369381401</v>
      </c>
      <c r="K17" s="243">
        <f>('Pivot Table for Data Exchange'!$J$279)*100</f>
        <v>10.252379381642356</v>
      </c>
      <c r="L17" s="249">
        <f t="shared" si="1"/>
        <v>39.033926804347651</v>
      </c>
      <c r="M17" s="243">
        <f>('Pivot Table for Data Exchange'!$J$282)*100</f>
        <v>38.249193464041767</v>
      </c>
      <c r="N17" s="243">
        <f>('Pivot Table for Data Exchange'!$J$285)*100</f>
        <v>0.76188484034208381</v>
      </c>
      <c r="O17" s="68">
        <f>('Pivot Table for Data Exchange'!$J$288)*100</f>
        <v>2.2848499963796391E-2</v>
      </c>
      <c r="P17" s="243">
        <f>('Pivot Table for Data Exchange'!$J$291)*100</f>
        <v>0</v>
      </c>
      <c r="Q17" s="97">
        <f t="shared" si="3"/>
        <v>100</v>
      </c>
      <c r="R17" s="97">
        <f>SUM(J17,K17,L17,P17)</f>
        <v>100</v>
      </c>
      <c r="S17" s="63"/>
      <c r="T17" s="48"/>
      <c r="U17" s="48"/>
      <c r="V17" s="48"/>
      <c r="W17" s="48"/>
      <c r="X17" s="48"/>
      <c r="Y17" s="48"/>
      <c r="Z17" s="48"/>
      <c r="AA17" s="48"/>
      <c r="AB17" s="48"/>
      <c r="AC17" s="48"/>
      <c r="AD17" s="48"/>
      <c r="AE17" s="48"/>
      <c r="AF17" s="48"/>
      <c r="AG17" s="63"/>
      <c r="AH17" s="63"/>
      <c r="AI17" s="63"/>
      <c r="AJ17" s="63"/>
      <c r="AK17" s="63"/>
      <c r="AL17" s="63"/>
      <c r="AM17" s="63"/>
      <c r="AN17" s="63"/>
      <c r="AO17" s="63"/>
    </row>
    <row r="18" spans="1:41" ht="11.25" customHeight="1" x14ac:dyDescent="0.2">
      <c r="A18" s="65"/>
      <c r="B18" s="243"/>
      <c r="C18" s="243"/>
      <c r="D18" s="249"/>
      <c r="E18" s="243"/>
      <c r="F18" s="243"/>
      <c r="G18" s="245"/>
      <c r="H18" s="243"/>
      <c r="I18" s="87"/>
      <c r="J18" s="243"/>
      <c r="K18" s="243"/>
      <c r="L18" s="249"/>
      <c r="M18" s="243"/>
      <c r="N18" s="243"/>
      <c r="O18" s="245"/>
      <c r="P18" s="243"/>
      <c r="Q18" s="97">
        <f t="shared" si="3"/>
        <v>0</v>
      </c>
      <c r="R18" s="97">
        <f t="shared" si="2"/>
        <v>0</v>
      </c>
      <c r="S18" s="63"/>
      <c r="T18" s="48"/>
      <c r="U18" s="48"/>
      <c r="V18" s="48"/>
      <c r="W18" s="48"/>
      <c r="X18" s="48"/>
      <c r="Y18" s="48"/>
      <c r="Z18" s="48"/>
      <c r="AA18" s="48"/>
      <c r="AB18" s="48"/>
      <c r="AC18" s="48"/>
      <c r="AD18" s="48"/>
      <c r="AE18" s="48"/>
      <c r="AF18" s="48"/>
      <c r="AG18" s="63"/>
      <c r="AH18" s="63"/>
      <c r="AI18" s="63"/>
      <c r="AJ18" s="63"/>
      <c r="AK18" s="63"/>
      <c r="AL18" s="63"/>
      <c r="AM18" s="63"/>
      <c r="AN18" s="63"/>
      <c r="AO18" s="63"/>
    </row>
    <row r="19" spans="1:41" ht="15.75" customHeight="1" x14ac:dyDescent="0.2">
      <c r="A19" s="65" t="s">
        <v>148</v>
      </c>
      <c r="B19" s="243">
        <f>('Pivot Table for Data Exchange'!$J$294)*100</f>
        <v>85.844021326103345</v>
      </c>
      <c r="C19" s="243">
        <f>('Pivot Table for Data Exchange'!$J$297)*100</f>
        <v>5.1133352699360044</v>
      </c>
      <c r="D19" s="249">
        <f t="shared" si="0"/>
        <v>8.9935828029682838</v>
      </c>
      <c r="E19" s="243">
        <f>('Pivot Table for Data Exchange'!$J$300)*100</f>
        <v>8.4482824388282971</v>
      </c>
      <c r="F19" s="243">
        <f>('Pivot Table for Data Exchange'!$J$303)*100</f>
        <v>0.52153296772622315</v>
      </c>
      <c r="G19" s="68">
        <f>('Pivot Table for Data Exchange'!$J$306)*100</f>
        <v>2.3767396413763964E-2</v>
      </c>
      <c r="H19" s="67">
        <f>('Pivot Table for Data Exchange'!$J$309)*100</f>
        <v>4.9060600992362161E-2</v>
      </c>
      <c r="I19" s="87" t="s">
        <v>148</v>
      </c>
      <c r="J19" s="243">
        <f>('Pivot Table for Data Exchange'!$J$312)*100</f>
        <v>72.456891216198471</v>
      </c>
      <c r="K19" s="243">
        <f>('Pivot Table for Data Exchange'!$J$315)*100</f>
        <v>6.0643002629476399</v>
      </c>
      <c r="L19" s="249">
        <f t="shared" si="1"/>
        <v>21.478808520853885</v>
      </c>
      <c r="M19" s="243">
        <f>('Pivot Table for Data Exchange'!$J$318)*100</f>
        <v>20.533922496089545</v>
      </c>
      <c r="N19" s="243">
        <f>('Pivot Table for Data Exchange'!$J$321)*100</f>
        <v>0.85448605177180192</v>
      </c>
      <c r="O19" s="245">
        <f>('Pivot Table for Data Exchange'!$J$324)*100</f>
        <v>9.0399972992539185E-2</v>
      </c>
      <c r="P19" s="243">
        <f>('Pivot Table for Data Exchange'!$J$327)*100</f>
        <v>0</v>
      </c>
      <c r="Q19" s="97">
        <f t="shared" si="3"/>
        <v>100</v>
      </c>
      <c r="R19" s="97">
        <f t="shared" si="2"/>
        <v>100</v>
      </c>
      <c r="S19" s="63"/>
      <c r="T19" s="48"/>
      <c r="U19" s="48"/>
      <c r="V19" s="48"/>
      <c r="W19" s="48"/>
      <c r="X19" s="48"/>
      <c r="Y19" s="48"/>
      <c r="Z19" s="48"/>
      <c r="AA19" s="48"/>
      <c r="AB19" s="48"/>
      <c r="AC19" s="48"/>
      <c r="AD19" s="48"/>
      <c r="AE19" s="48"/>
      <c r="AF19" s="48"/>
      <c r="AG19" s="63"/>
      <c r="AH19" s="63"/>
      <c r="AI19" s="63"/>
      <c r="AJ19" s="63"/>
      <c r="AK19" s="63"/>
      <c r="AL19" s="63"/>
      <c r="AM19" s="63"/>
      <c r="AN19" s="63"/>
      <c r="AO19" s="63"/>
    </row>
    <row r="20" spans="1:41" ht="15.75" customHeight="1" x14ac:dyDescent="0.2">
      <c r="A20" s="65" t="s">
        <v>149</v>
      </c>
      <c r="B20" s="243">
        <f>('Pivot Table for Data Exchange'!$J$330)*100</f>
        <v>89.63676850478349</v>
      </c>
      <c r="C20" s="243">
        <f>('Pivot Table for Data Exchange'!$J$333)*100</f>
        <v>1.1832815741520115</v>
      </c>
      <c r="D20" s="249">
        <f t="shared" si="0"/>
        <v>9.1799499210644946</v>
      </c>
      <c r="E20" s="243">
        <f>('Pivot Table for Data Exchange'!$J$336)*100</f>
        <v>9.1415586072344297</v>
      </c>
      <c r="F20" s="67">
        <f>('Pivot Table for Data Exchange'!$J$339)*100</f>
        <v>2.6835868822267846E-2</v>
      </c>
      <c r="G20" s="68">
        <f>('Pivot Table for Data Exchange'!$J$342)*100</f>
        <v>1.1555445007797422E-2</v>
      </c>
      <c r="H20" s="243">
        <f>('Pivot Table for Data Exchange'!$J$345)*100</f>
        <v>0</v>
      </c>
      <c r="I20" s="87" t="s">
        <v>149</v>
      </c>
      <c r="J20" s="243">
        <f>('Pivot Table for Data Exchange'!$J$348)*100</f>
        <v>74.930963744831161</v>
      </c>
      <c r="K20" s="243">
        <f>('Pivot Table for Data Exchange'!$J$351)*100</f>
        <v>6.569772770990701</v>
      </c>
      <c r="L20" s="249">
        <f t="shared" si="1"/>
        <v>18.499263484178144</v>
      </c>
      <c r="M20" s="243">
        <f>('Pivot Table for Data Exchange'!$J$354)*100</f>
        <v>18.365386725674</v>
      </c>
      <c r="N20" s="243">
        <f>('Pivot Table for Data Exchange'!$J$357)*100</f>
        <v>0.10224724468204593</v>
      </c>
      <c r="O20" s="68">
        <f>('Pivot Table for Data Exchange'!$J$360)*100</f>
        <v>3.1629513822097541E-2</v>
      </c>
      <c r="P20" s="243">
        <f>('Pivot Table for Data Exchange'!$J$363)*100</f>
        <v>0</v>
      </c>
      <c r="Q20" s="97">
        <f t="shared" si="3"/>
        <v>99.999999999999986</v>
      </c>
      <c r="R20" s="97">
        <f t="shared" si="2"/>
        <v>100</v>
      </c>
      <c r="S20" s="63"/>
      <c r="T20" s="48"/>
      <c r="U20" s="48"/>
      <c r="V20" s="48"/>
      <c r="W20" s="48"/>
      <c r="X20" s="48"/>
      <c r="Y20" s="48"/>
      <c r="Z20" s="48"/>
      <c r="AA20" s="48"/>
      <c r="AB20" s="48"/>
      <c r="AC20" s="48"/>
      <c r="AD20" s="48"/>
      <c r="AE20" s="48"/>
      <c r="AF20" s="48"/>
      <c r="AG20" s="63"/>
      <c r="AH20" s="63"/>
      <c r="AI20" s="63"/>
      <c r="AJ20" s="63"/>
      <c r="AK20" s="63"/>
      <c r="AL20" s="63"/>
      <c r="AM20" s="63"/>
      <c r="AN20" s="63"/>
      <c r="AO20" s="63"/>
    </row>
    <row r="21" spans="1:41" ht="15.75" customHeight="1" x14ac:dyDescent="0.2">
      <c r="A21" s="65" t="s">
        <v>150</v>
      </c>
      <c r="B21" s="243">
        <f>('Pivot Table for Data Exchange'!$J$366)*100</f>
        <v>84.848840837558853</v>
      </c>
      <c r="C21" s="243">
        <f>('Pivot Table for Data Exchange'!$J$369)*100</f>
        <v>0.99339314884046548</v>
      </c>
      <c r="D21" s="249">
        <f t="shared" si="0"/>
        <v>14.127838769230117</v>
      </c>
      <c r="E21" s="243">
        <f>('Pivot Table for Data Exchange'!$J$372)*100</f>
        <v>11.815999009158375</v>
      </c>
      <c r="F21" s="243">
        <f>('Pivot Table for Data Exchange'!$J$375)*100</f>
        <v>1.7812823425537243</v>
      </c>
      <c r="G21" s="245">
        <f>('Pivot Table for Data Exchange'!$J$378)*100</f>
        <v>0.53055741751801611</v>
      </c>
      <c r="H21" s="67">
        <f>('Pivot Table for Data Exchange'!$J$381)*100</f>
        <v>2.9927244370568391E-2</v>
      </c>
      <c r="I21" s="87" t="s">
        <v>150</v>
      </c>
      <c r="J21" s="243">
        <f>('Pivot Table for Data Exchange'!$J$384)*100</f>
        <v>67.420279054778717</v>
      </c>
      <c r="K21" s="243">
        <f>('Pivot Table for Data Exchange'!$J$387)*100</f>
        <v>10.227141123570613</v>
      </c>
      <c r="L21" s="249">
        <f t="shared" si="1"/>
        <v>22.352579821650661</v>
      </c>
      <c r="M21" s="243">
        <f>('Pivot Table for Data Exchange'!$J$390)*100</f>
        <v>15.276511966324099</v>
      </c>
      <c r="N21" s="243">
        <f>('Pivot Table for Data Exchange'!$J$393)*100</f>
        <v>4.5710199950654333</v>
      </c>
      <c r="O21" s="245">
        <f>('Pivot Table for Data Exchange'!$J$396)*100</f>
        <v>2.5050478602611292</v>
      </c>
      <c r="P21" s="243">
        <f>('Pivot Table for Data Exchange'!$J$399)*100</f>
        <v>0</v>
      </c>
      <c r="Q21" s="97">
        <f t="shared" si="3"/>
        <v>100.00000000000001</v>
      </c>
      <c r="R21" s="97">
        <f t="shared" si="2"/>
        <v>100</v>
      </c>
      <c r="S21" s="63"/>
      <c r="T21" s="48"/>
      <c r="U21" s="48"/>
      <c r="V21" s="48"/>
      <c r="W21" s="48"/>
      <c r="X21" s="48"/>
      <c r="Y21" s="48"/>
      <c r="Z21" s="48"/>
      <c r="AA21" s="48"/>
      <c r="AB21" s="48"/>
      <c r="AC21" s="48"/>
      <c r="AD21" s="48"/>
      <c r="AE21" s="48"/>
      <c r="AF21" s="48"/>
      <c r="AG21" s="63"/>
      <c r="AH21" s="63"/>
      <c r="AI21" s="63"/>
      <c r="AJ21" s="63"/>
      <c r="AK21" s="63"/>
      <c r="AL21" s="63"/>
      <c r="AM21" s="63"/>
      <c r="AN21" s="63"/>
      <c r="AO21" s="63"/>
    </row>
    <row r="22" spans="1:41" ht="15.75" customHeight="1" x14ac:dyDescent="0.2">
      <c r="A22" s="65" t="s">
        <v>151</v>
      </c>
      <c r="B22" s="243">
        <f>('Pivot Table for Data Exchange'!$J$402)*100</f>
        <v>93.971015512191499</v>
      </c>
      <c r="C22" s="243">
        <f>('Pivot Table for Data Exchange'!$J$405)*100</f>
        <v>2.3792915467446671</v>
      </c>
      <c r="D22" s="249">
        <f>SUM(E22:G22)</f>
        <v>3.6496929410638326</v>
      </c>
      <c r="E22" s="243">
        <f>('Pivot Table for Data Exchange'!$J$408)*100</f>
        <v>3.4145188172515732</v>
      </c>
      <c r="F22" s="243">
        <f>('Pivot Table for Data Exchange'!$J$411)*100</f>
        <v>0.15342200234079928</v>
      </c>
      <c r="G22" s="245">
        <f>('Pivot Table for Data Exchange'!$J$414)*100</f>
        <v>8.1752121471460021E-2</v>
      </c>
      <c r="H22" s="243">
        <f>('Pivot Table for Data Exchange'!$J$417)*100</f>
        <v>0</v>
      </c>
      <c r="I22" s="87" t="s">
        <v>151</v>
      </c>
      <c r="J22" s="243">
        <f>('Pivot Table for Data Exchange'!$J$420)*100</f>
        <v>67.974246242446242</v>
      </c>
      <c r="K22" s="243">
        <f>('Pivot Table for Data Exchange'!$J$423)*100</f>
        <v>14.85118972725606</v>
      </c>
      <c r="L22" s="249">
        <f>SUM(M22:O22)</f>
        <v>17.174564030297692</v>
      </c>
      <c r="M22" s="243">
        <f>('Pivot Table for Data Exchange'!$J$426)*100</f>
        <v>16.333360894119846</v>
      </c>
      <c r="N22" s="243">
        <f>('Pivot Table for Data Exchange'!$J$429)*100</f>
        <v>6.2551002433737277E-2</v>
      </c>
      <c r="O22" s="245">
        <f>('Pivot Table for Data Exchange'!$J$432)*100</f>
        <v>0.77865213374410891</v>
      </c>
      <c r="P22" s="243">
        <f>('Pivot Table for Data Exchange'!$J$435)*100</f>
        <v>0</v>
      </c>
      <c r="Q22" s="97">
        <f t="shared" si="3"/>
        <v>100</v>
      </c>
      <c r="R22" s="97">
        <f t="shared" si="2"/>
        <v>99.999999999999986</v>
      </c>
      <c r="S22" s="63"/>
      <c r="T22" s="48"/>
      <c r="U22" s="48"/>
      <c r="V22" s="48"/>
      <c r="W22" s="48"/>
      <c r="X22" s="48"/>
      <c r="Y22" s="48"/>
      <c r="Z22" s="48"/>
      <c r="AA22" s="48"/>
      <c r="AB22" s="48"/>
      <c r="AC22" s="48"/>
      <c r="AD22" s="48"/>
      <c r="AE22" s="48"/>
      <c r="AF22" s="48"/>
      <c r="AG22" s="63"/>
      <c r="AH22" s="63"/>
      <c r="AI22" s="63"/>
      <c r="AJ22" s="63"/>
      <c r="AK22" s="63"/>
      <c r="AL22" s="63"/>
      <c r="AM22" s="63"/>
      <c r="AN22" s="63"/>
      <c r="AO22" s="63"/>
    </row>
    <row r="23" spans="1:41" ht="9.75" customHeight="1" x14ac:dyDescent="0.2">
      <c r="A23" s="65"/>
      <c r="B23" s="243"/>
      <c r="C23" s="243"/>
      <c r="D23" s="249"/>
      <c r="E23" s="243"/>
      <c r="F23" s="243"/>
      <c r="G23" s="245"/>
      <c r="H23" s="243"/>
      <c r="I23" s="87"/>
      <c r="J23" s="243"/>
      <c r="K23" s="243"/>
      <c r="L23" s="249"/>
      <c r="M23" s="243"/>
      <c r="N23" s="243"/>
      <c r="O23" s="245"/>
      <c r="P23" s="243"/>
      <c r="Q23" s="97">
        <f t="shared" si="3"/>
        <v>0</v>
      </c>
      <c r="R23" s="97">
        <f t="shared" si="2"/>
        <v>0</v>
      </c>
      <c r="S23" s="63"/>
      <c r="T23" s="48"/>
      <c r="U23" s="48"/>
      <c r="V23" s="48"/>
      <c r="W23" s="48"/>
      <c r="X23" s="48"/>
      <c r="Y23" s="48"/>
      <c r="Z23" s="48"/>
      <c r="AA23" s="48"/>
      <c r="AB23" s="48"/>
      <c r="AC23" s="48"/>
      <c r="AD23" s="48"/>
      <c r="AE23" s="48"/>
      <c r="AF23" s="48"/>
      <c r="AG23" s="63"/>
      <c r="AH23" s="63"/>
      <c r="AI23" s="63"/>
      <c r="AJ23" s="63"/>
      <c r="AK23" s="63"/>
      <c r="AL23" s="63"/>
      <c r="AM23" s="63"/>
      <c r="AN23" s="63"/>
      <c r="AO23" s="63"/>
    </row>
    <row r="24" spans="1:41" ht="15.75" customHeight="1" x14ac:dyDescent="0.2">
      <c r="A24" s="65" t="s">
        <v>152</v>
      </c>
      <c r="B24" s="243">
        <f>('Pivot Table for Data Exchange'!$J$438)*100</f>
        <v>81.993622363496925</v>
      </c>
      <c r="C24" s="243">
        <f>('Pivot Table for Data Exchange'!$J$441)*100</f>
        <v>3.1484922630136962</v>
      </c>
      <c r="D24" s="249">
        <f>SUM(E24:G24)</f>
        <v>14.205476013811477</v>
      </c>
      <c r="E24" s="243">
        <f>('Pivot Table for Data Exchange'!$J$444)*100</f>
        <v>8.8699613946508471</v>
      </c>
      <c r="F24" s="243">
        <f>('Pivot Table for Data Exchange'!$J$447)*100</f>
        <v>0.3417651473815902</v>
      </c>
      <c r="G24" s="245">
        <f>('Pivot Table for Data Exchange'!$J$450)*100</f>
        <v>4.9937494717790401</v>
      </c>
      <c r="H24" s="243">
        <f>('Pivot Table for Data Exchange'!$J$453)*100</f>
        <v>0.65240935967790037</v>
      </c>
      <c r="I24" s="87" t="s">
        <v>152</v>
      </c>
      <c r="J24" s="243">
        <f>('Pivot Table for Data Exchange'!$J$456)*100</f>
        <v>64.176601404115331</v>
      </c>
      <c r="K24" s="243">
        <f>('Pivot Table for Data Exchange'!$J$459)*100</f>
        <v>5.1024130906947285</v>
      </c>
      <c r="L24" s="249">
        <f>SUM(M24:O24)</f>
        <v>26.045696187235372</v>
      </c>
      <c r="M24" s="243">
        <f>('Pivot Table for Data Exchange'!$J$462)*100</f>
        <v>21.995864888147501</v>
      </c>
      <c r="N24" s="243">
        <f>('Pivot Table for Data Exchange'!$J$465)*100</f>
        <v>0.55892361348442143</v>
      </c>
      <c r="O24" s="245">
        <f>('Pivot Table for Data Exchange'!$J$468)*100</f>
        <v>3.4909076856034482</v>
      </c>
      <c r="P24" s="243">
        <f>('Pivot Table for Data Exchange'!$J$471)*100</f>
        <v>4.6752893179545705</v>
      </c>
      <c r="Q24" s="97">
        <f t="shared" si="3"/>
        <v>100</v>
      </c>
      <c r="R24" s="97">
        <f t="shared" si="2"/>
        <v>100</v>
      </c>
      <c r="S24" s="63"/>
      <c r="T24" s="48"/>
      <c r="U24" s="48"/>
      <c r="V24" s="48"/>
      <c r="W24" s="48"/>
      <c r="X24" s="48"/>
      <c r="Y24" s="48"/>
      <c r="Z24" s="48"/>
      <c r="AA24" s="48"/>
      <c r="AB24" s="48"/>
      <c r="AC24" s="48"/>
      <c r="AD24" s="48"/>
      <c r="AE24" s="48"/>
      <c r="AF24" s="48"/>
      <c r="AG24" s="63"/>
      <c r="AH24" s="63"/>
      <c r="AI24" s="63"/>
      <c r="AJ24" s="63"/>
      <c r="AK24" s="63"/>
      <c r="AL24" s="63"/>
      <c r="AM24" s="63"/>
      <c r="AN24" s="63"/>
      <c r="AO24" s="63"/>
    </row>
    <row r="25" spans="1:41" ht="15.75" customHeight="1" x14ac:dyDescent="0.2">
      <c r="A25" s="65" t="s">
        <v>153</v>
      </c>
      <c r="B25" s="243">
        <f>('Pivot Table for Data Exchange'!$J$474)*100</f>
        <v>88.440618471946124</v>
      </c>
      <c r="C25" s="243">
        <f>('Pivot Table for Data Exchange'!$J$477)*100</f>
        <v>1.5213390638744426</v>
      </c>
      <c r="D25" s="249">
        <f>SUM(E25:G25)</f>
        <v>10.038042464179441</v>
      </c>
      <c r="E25" s="243">
        <f>('Pivot Table for Data Exchange'!$J$480)*100</f>
        <v>9.6433078372421566</v>
      </c>
      <c r="F25" s="243">
        <f>('Pivot Table for Data Exchange'!$J$483)*100</f>
        <v>0.21394830728308098</v>
      </c>
      <c r="G25" s="245">
        <f>('Pivot Table for Data Exchange'!$J$486)*100</f>
        <v>0.18078631965420341</v>
      </c>
      <c r="H25" s="243">
        <f>('Pivot Table for Data Exchange'!$J$489)*100</f>
        <v>0</v>
      </c>
      <c r="I25" s="87" t="s">
        <v>153</v>
      </c>
      <c r="J25" s="243">
        <f>('Pivot Table for Data Exchange'!$J$492)*100</f>
        <v>72.623231785293584</v>
      </c>
      <c r="K25" s="243">
        <f>('Pivot Table for Data Exchange'!$J$495)*100</f>
        <v>4.0550865180846873</v>
      </c>
      <c r="L25" s="249">
        <f>SUM(M25:O25)</f>
        <v>23.321681696621734</v>
      </c>
      <c r="M25" s="243">
        <f>('Pivot Table for Data Exchange'!$J$498)*100</f>
        <v>22.453451479232829</v>
      </c>
      <c r="N25" s="243">
        <f>('Pivot Table for Data Exchange'!$J$501)*100</f>
        <v>0.22939910113201276</v>
      </c>
      <c r="O25" s="245">
        <f>('Pivot Table for Data Exchange'!$J$504)*100</f>
        <v>0.63883111625689049</v>
      </c>
      <c r="P25" s="243">
        <f>('Pivot Table for Data Exchange'!$J$507)*100</f>
        <v>0</v>
      </c>
      <c r="Q25" s="97">
        <f t="shared" si="3"/>
        <v>100</v>
      </c>
      <c r="R25" s="97">
        <f t="shared" si="2"/>
        <v>100.00000000000001</v>
      </c>
      <c r="S25" s="63"/>
      <c r="T25" s="48"/>
      <c r="U25" s="48"/>
      <c r="V25" s="48"/>
      <c r="W25" s="48"/>
      <c r="X25" s="48"/>
      <c r="Y25" s="48"/>
      <c r="Z25" s="48"/>
      <c r="AA25" s="48"/>
      <c r="AB25" s="48"/>
      <c r="AC25" s="48"/>
      <c r="AD25" s="48"/>
      <c r="AE25" s="48"/>
      <c r="AF25" s="48"/>
      <c r="AG25" s="63"/>
      <c r="AH25" s="63"/>
      <c r="AI25" s="63"/>
      <c r="AJ25" s="63"/>
      <c r="AK25" s="63"/>
      <c r="AL25" s="63"/>
      <c r="AM25" s="63"/>
      <c r="AN25" s="63"/>
      <c r="AO25" s="63"/>
    </row>
    <row r="26" spans="1:41" ht="15.75" customHeight="1" x14ac:dyDescent="0.2">
      <c r="A26" s="65" t="s">
        <v>154</v>
      </c>
      <c r="B26" s="243">
        <f>('Pivot Table for Data Exchange'!$J$510)*100</f>
        <v>94.203449272222002</v>
      </c>
      <c r="C26" s="243">
        <f>('Pivot Table for Data Exchange'!$J$513)*100</f>
        <v>1.9289050790323552</v>
      </c>
      <c r="D26" s="249">
        <f t="shared" si="0"/>
        <v>3.8676456487456368</v>
      </c>
      <c r="E26" s="243">
        <f>('Pivot Table for Data Exchange'!$J$516)*100</f>
        <v>2.5236408796064</v>
      </c>
      <c r="F26" s="243">
        <f>('Pivot Table for Data Exchange'!$J$519)*100</f>
        <v>1.3440047691392367</v>
      </c>
      <c r="G26" s="245">
        <f>('Pivot Table for Data Exchange'!$J$522)*100</f>
        <v>0</v>
      </c>
      <c r="H26" s="243">
        <f>('Pivot Table for Data Exchange'!$J$525)*100</f>
        <v>0</v>
      </c>
      <c r="I26" s="87" t="s">
        <v>154</v>
      </c>
      <c r="J26" s="243">
        <f>('Pivot Table for Data Exchange'!$J$528)*100</f>
        <v>80.154218385342304</v>
      </c>
      <c r="K26" s="243">
        <f>('Pivot Table for Data Exchange'!$J$531)*100</f>
        <v>11.678840240347856</v>
      </c>
      <c r="L26" s="249">
        <f t="shared" si="1"/>
        <v>8.1669413743098467</v>
      </c>
      <c r="M26" s="243">
        <f>('Pivot Table for Data Exchange'!$J$534)*100</f>
        <v>5.6116594752991276</v>
      </c>
      <c r="N26" s="243">
        <f>('Pivot Table for Data Exchange'!$J$537)*100</f>
        <v>2.5552818990107187</v>
      </c>
      <c r="O26" s="245">
        <f>('Pivot Table for Data Exchange'!$J$540)*100</f>
        <v>0</v>
      </c>
      <c r="P26" s="243">
        <f>('Pivot Table for Data Exchange'!$J$543)*100</f>
        <v>0</v>
      </c>
      <c r="Q26" s="97">
        <f t="shared" si="3"/>
        <v>100</v>
      </c>
      <c r="R26" s="97">
        <f t="shared" si="2"/>
        <v>100</v>
      </c>
      <c r="S26" s="63"/>
      <c r="T26" s="48"/>
      <c r="U26" s="48"/>
      <c r="V26" s="48"/>
      <c r="W26" s="48"/>
      <c r="X26" s="48"/>
      <c r="Y26" s="48"/>
      <c r="Z26" s="48"/>
      <c r="AA26" s="48"/>
      <c r="AB26" s="48"/>
      <c r="AC26" s="48"/>
      <c r="AD26" s="48"/>
      <c r="AE26" s="48"/>
      <c r="AF26" s="48"/>
      <c r="AG26" s="63"/>
      <c r="AH26" s="63"/>
      <c r="AI26" s="63"/>
      <c r="AJ26" s="63"/>
      <c r="AK26" s="63"/>
      <c r="AL26" s="63"/>
      <c r="AM26" s="63"/>
      <c r="AN26" s="63"/>
      <c r="AO26" s="63"/>
    </row>
    <row r="27" spans="1:41" ht="15.75" customHeight="1" x14ac:dyDescent="0.2">
      <c r="A27" s="39" t="s">
        <v>155</v>
      </c>
      <c r="B27" s="246">
        <f>('Pivot Table for Data Exchange'!$J$546)*100</f>
        <v>86.196622138866758</v>
      </c>
      <c r="C27" s="246">
        <f>('Pivot Table for Data Exchange'!$J$549)*100</f>
        <v>3.9181146005300378</v>
      </c>
      <c r="D27" s="250">
        <f>SUM(E27:G27)</f>
        <v>9.8852632606032103</v>
      </c>
      <c r="E27" s="246">
        <f>('Pivot Table for Data Exchange'!$J$552)*100</f>
        <v>9.3545051572923406</v>
      </c>
      <c r="F27" s="246">
        <f>('Pivot Table for Data Exchange'!$J$555)*100</f>
        <v>0.35558500937421622</v>
      </c>
      <c r="G27" s="247">
        <f>('Pivot Table for Data Exchange'!$J$558)*100</f>
        <v>0.17517309393665348</v>
      </c>
      <c r="H27" s="246">
        <f>('Pivot Table for Data Exchange'!$J$561)*100</f>
        <v>0</v>
      </c>
      <c r="I27" s="252" t="s">
        <v>155</v>
      </c>
      <c r="J27" s="246">
        <f>('Pivot Table for Data Exchange'!$J$564)*100</f>
        <v>52.386050444158947</v>
      </c>
      <c r="K27" s="246">
        <f>('Pivot Table for Data Exchange'!$J$567)*100</f>
        <v>21.638062610490717</v>
      </c>
      <c r="L27" s="250">
        <f>SUM(M27:O27)</f>
        <v>25.975886945350329</v>
      </c>
      <c r="M27" s="246">
        <f>('Pivot Table for Data Exchange'!$J$570)*100</f>
        <v>25.344511425151804</v>
      </c>
      <c r="N27" s="246">
        <f>('Pivot Table for Data Exchange'!$J$573)*100</f>
        <v>0.53145348134971615</v>
      </c>
      <c r="O27" s="247">
        <f>('Pivot Table for Data Exchange'!$J$576)*100</f>
        <v>9.9922038848810263E-2</v>
      </c>
      <c r="P27" s="246">
        <f>('Pivot Table for Data Exchange'!$J$579)*100</f>
        <v>0</v>
      </c>
      <c r="Q27" s="97">
        <f t="shared" si="3"/>
        <v>100</v>
      </c>
      <c r="R27" s="97">
        <f t="shared" si="2"/>
        <v>99.999999999999986</v>
      </c>
      <c r="S27" s="63"/>
      <c r="T27" s="48"/>
      <c r="U27" s="48"/>
      <c r="V27" s="48"/>
      <c r="W27" s="48"/>
      <c r="X27" s="48"/>
      <c r="Y27" s="48"/>
      <c r="Z27" s="48"/>
      <c r="AA27" s="48"/>
      <c r="AB27" s="48"/>
      <c r="AC27" s="48"/>
      <c r="AD27" s="48"/>
      <c r="AE27" s="48"/>
      <c r="AF27" s="48"/>
      <c r="AG27" s="63"/>
      <c r="AH27" s="63"/>
      <c r="AI27" s="63"/>
      <c r="AJ27" s="63"/>
      <c r="AK27" s="63"/>
      <c r="AL27" s="63"/>
      <c r="AM27" s="63"/>
      <c r="AN27" s="63"/>
      <c r="AO27" s="63"/>
    </row>
    <row r="28" spans="1:41" s="25" customFormat="1" ht="36.75" customHeight="1" x14ac:dyDescent="0.25">
      <c r="A28" s="680" t="s">
        <v>921</v>
      </c>
      <c r="B28" s="681"/>
      <c r="C28" s="681"/>
      <c r="D28" s="681"/>
      <c r="E28" s="681"/>
      <c r="F28" s="681"/>
      <c r="G28" s="681"/>
      <c r="H28" s="681"/>
      <c r="I28" s="680" t="s">
        <v>921</v>
      </c>
      <c r="J28" s="681"/>
      <c r="K28" s="681"/>
      <c r="L28" s="681"/>
      <c r="M28" s="681"/>
      <c r="N28" s="681"/>
      <c r="O28" s="681"/>
      <c r="P28" s="681"/>
      <c r="Q28" s="97"/>
      <c r="R28" s="97"/>
    </row>
    <row r="29" spans="1:41" s="25" customFormat="1" ht="18" customHeight="1" x14ac:dyDescent="0.2">
      <c r="A29" s="24" t="s">
        <v>922</v>
      </c>
      <c r="B29" s="69"/>
      <c r="C29" s="69"/>
      <c r="D29" s="70"/>
      <c r="E29" s="69"/>
      <c r="F29" s="70"/>
      <c r="G29" s="70"/>
      <c r="H29" s="69"/>
      <c r="I29" s="24" t="s">
        <v>922</v>
      </c>
      <c r="J29" s="69"/>
      <c r="K29" s="69"/>
      <c r="L29" s="70"/>
      <c r="M29" s="69"/>
      <c r="N29" s="70"/>
      <c r="O29" s="70"/>
      <c r="P29" s="69"/>
      <c r="Q29" s="97"/>
      <c r="R29" s="97"/>
      <c r="S29" s="71"/>
      <c r="T29" s="48"/>
      <c r="U29" s="48"/>
      <c r="V29" s="48"/>
      <c r="W29" s="48"/>
      <c r="X29" s="48"/>
      <c r="Y29" s="48"/>
      <c r="Z29" s="48"/>
      <c r="AA29" s="48"/>
      <c r="AB29" s="48"/>
      <c r="AC29" s="48"/>
      <c r="AD29" s="48"/>
      <c r="AE29" s="48"/>
      <c r="AF29" s="48"/>
      <c r="AG29" s="71"/>
      <c r="AH29" s="71"/>
      <c r="AI29" s="71"/>
      <c r="AJ29" s="71"/>
      <c r="AK29" s="71"/>
      <c r="AL29" s="71"/>
      <c r="AM29" s="71"/>
      <c r="AN29" s="71"/>
      <c r="AO29" s="71"/>
    </row>
    <row r="30" spans="1:41" s="25" customFormat="1" ht="24.75" customHeight="1" x14ac:dyDescent="0.2">
      <c r="A30" s="666" t="s">
        <v>923</v>
      </c>
      <c r="B30" s="687"/>
      <c r="C30" s="687"/>
      <c r="D30" s="687"/>
      <c r="E30" s="687"/>
      <c r="F30" s="687"/>
      <c r="G30" s="687"/>
      <c r="H30" s="687"/>
      <c r="I30" s="666" t="s">
        <v>923</v>
      </c>
      <c r="J30" s="687"/>
      <c r="K30" s="687"/>
      <c r="L30" s="687"/>
      <c r="M30" s="687"/>
      <c r="N30" s="687"/>
      <c r="O30" s="687"/>
      <c r="P30" s="687"/>
      <c r="Q30" s="97"/>
      <c r="R30" s="97"/>
      <c r="S30" s="71"/>
      <c r="T30" s="71"/>
      <c r="U30" s="71"/>
      <c r="V30" s="71"/>
      <c r="W30" s="71"/>
      <c r="X30" s="71"/>
      <c r="Y30" s="71"/>
      <c r="Z30" s="71"/>
      <c r="AA30" s="71"/>
      <c r="AB30" s="71"/>
      <c r="AC30" s="71"/>
      <c r="AD30" s="71"/>
      <c r="AE30" s="71"/>
      <c r="AF30" s="71"/>
      <c r="AG30" s="71"/>
      <c r="AH30" s="71"/>
      <c r="AI30" s="71"/>
      <c r="AJ30" s="71"/>
      <c r="AK30" s="71"/>
      <c r="AL30" s="71"/>
      <c r="AM30" s="71"/>
      <c r="AN30" s="71"/>
      <c r="AO30" s="71"/>
    </row>
    <row r="31" spans="1:41" s="25" customFormat="1" ht="13.5" customHeight="1" x14ac:dyDescent="0.25">
      <c r="A31" s="30"/>
      <c r="B31" s="110"/>
      <c r="C31" s="110"/>
      <c r="D31" s="72"/>
      <c r="E31" s="110"/>
      <c r="F31" s="110"/>
      <c r="G31" s="110"/>
      <c r="H31" s="110"/>
      <c r="I31" s="30"/>
      <c r="J31" s="110"/>
      <c r="K31" s="110"/>
      <c r="L31" s="72"/>
      <c r="M31" s="110"/>
      <c r="N31" s="110"/>
      <c r="O31" s="110"/>
      <c r="P31" s="110"/>
      <c r="Q31" s="97"/>
      <c r="R31" s="97"/>
    </row>
    <row r="32" spans="1:41" x14ac:dyDescent="0.2">
      <c r="H32" s="27" t="s">
        <v>914</v>
      </c>
      <c r="I32" s="28"/>
      <c r="P32" s="27" t="s">
        <v>914</v>
      </c>
      <c r="Q32" s="97"/>
      <c r="R32" s="97"/>
    </row>
    <row r="33" spans="1:41" ht="18" x14ac:dyDescent="0.25">
      <c r="A33" s="16" t="s">
        <v>202</v>
      </c>
      <c r="B33" s="34"/>
      <c r="C33" s="34"/>
      <c r="D33" s="34"/>
      <c r="E33" s="34"/>
      <c r="F33" s="34"/>
      <c r="G33" s="34"/>
      <c r="H33" s="35"/>
      <c r="I33" s="16" t="s">
        <v>217</v>
      </c>
      <c r="J33" s="19"/>
      <c r="K33" s="19"/>
      <c r="L33" s="34"/>
      <c r="M33" s="19"/>
      <c r="N33" s="19"/>
      <c r="O33" s="19"/>
      <c r="P33" s="19"/>
      <c r="Q33" s="97"/>
      <c r="R33" s="97"/>
    </row>
    <row r="34" spans="1:41" x14ac:dyDescent="0.2">
      <c r="A34" s="18"/>
      <c r="B34" s="19"/>
      <c r="C34" s="19"/>
      <c r="D34" s="19"/>
      <c r="E34" s="19"/>
      <c r="F34" s="19"/>
      <c r="G34" s="19"/>
      <c r="H34" s="36"/>
      <c r="I34" s="18"/>
      <c r="J34" s="19"/>
      <c r="K34" s="19"/>
      <c r="L34" s="19"/>
      <c r="M34" s="19"/>
      <c r="N34" s="19"/>
      <c r="O34" s="19"/>
      <c r="P34" s="19"/>
      <c r="Q34" s="97"/>
      <c r="R34" s="97"/>
    </row>
    <row r="35" spans="1:41" ht="15.75" x14ac:dyDescent="0.25">
      <c r="A35" s="37" t="s">
        <v>162</v>
      </c>
      <c r="B35" s="19"/>
      <c r="C35" s="19"/>
      <c r="D35" s="19"/>
      <c r="E35" s="19"/>
      <c r="F35" s="19"/>
      <c r="G35" s="19"/>
      <c r="H35" s="36"/>
      <c r="I35" s="37" t="s">
        <v>163</v>
      </c>
      <c r="J35" s="19"/>
      <c r="K35" s="19"/>
      <c r="L35" s="19"/>
      <c r="M35" s="19"/>
      <c r="N35" s="19"/>
      <c r="O35" s="19"/>
      <c r="P35" s="19"/>
      <c r="Q35" s="97"/>
      <c r="R35" s="97"/>
    </row>
    <row r="36" spans="1:41" ht="15.75" x14ac:dyDescent="0.25">
      <c r="A36" s="37" t="s">
        <v>866</v>
      </c>
      <c r="B36" s="19"/>
      <c r="C36" s="19"/>
      <c r="D36" s="19"/>
      <c r="E36" s="19"/>
      <c r="F36" s="19"/>
      <c r="G36" s="19"/>
      <c r="H36" s="36"/>
      <c r="I36" s="37" t="s">
        <v>241</v>
      </c>
      <c r="J36" s="19"/>
      <c r="K36" s="19"/>
      <c r="L36" s="19"/>
      <c r="M36" s="19"/>
      <c r="N36" s="19"/>
      <c r="O36" s="19"/>
      <c r="P36" s="19"/>
      <c r="Q36" s="97"/>
      <c r="R36" s="97"/>
    </row>
    <row r="37" spans="1:41" x14ac:dyDescent="0.2">
      <c r="A37" s="39"/>
      <c r="B37" s="40"/>
      <c r="C37" s="40"/>
      <c r="D37" s="40"/>
      <c r="E37" s="40"/>
      <c r="F37" s="40"/>
      <c r="G37" s="40"/>
      <c r="H37" s="40"/>
      <c r="I37" s="41"/>
      <c r="L37" s="42"/>
      <c r="P37" s="39"/>
      <c r="Q37" s="97"/>
      <c r="R37" s="97"/>
    </row>
    <row r="38" spans="1:41" s="48" customFormat="1" x14ac:dyDescent="0.2">
      <c r="A38" s="43"/>
      <c r="B38" s="44" t="s">
        <v>164</v>
      </c>
      <c r="C38" s="44"/>
      <c r="D38" s="44"/>
      <c r="E38" s="44"/>
      <c r="F38" s="44"/>
      <c r="G38" s="44"/>
      <c r="H38" s="45"/>
      <c r="I38" s="43"/>
      <c r="J38" s="44" t="s">
        <v>164</v>
      </c>
      <c r="K38" s="44"/>
      <c r="L38" s="44"/>
      <c r="M38" s="44"/>
      <c r="N38" s="44"/>
      <c r="O38" s="44"/>
      <c r="P38" s="45"/>
      <c r="Q38" s="97"/>
      <c r="R38" s="97"/>
    </row>
    <row r="39" spans="1:41" s="48" customFormat="1" x14ac:dyDescent="0.2">
      <c r="A39" s="43"/>
      <c r="B39" s="44" t="s">
        <v>165</v>
      </c>
      <c r="C39" s="44"/>
      <c r="D39" s="670" t="s">
        <v>166</v>
      </c>
      <c r="E39" s="668"/>
      <c r="F39" s="668"/>
      <c r="G39" s="668"/>
      <c r="H39" s="49" t="s">
        <v>39</v>
      </c>
      <c r="I39" s="43"/>
      <c r="J39" s="44" t="s">
        <v>165</v>
      </c>
      <c r="K39" s="44"/>
      <c r="L39" s="670" t="s">
        <v>166</v>
      </c>
      <c r="M39" s="668"/>
      <c r="N39" s="668"/>
      <c r="O39" s="668"/>
      <c r="P39" s="49" t="s">
        <v>39</v>
      </c>
      <c r="Q39" s="97"/>
      <c r="R39" s="97"/>
    </row>
    <row r="40" spans="1:41" s="48" customFormat="1" ht="40.5" customHeight="1" x14ac:dyDescent="0.2">
      <c r="A40" s="43"/>
      <c r="B40" s="50" t="s">
        <v>167</v>
      </c>
      <c r="C40" s="51" t="s">
        <v>168</v>
      </c>
      <c r="D40" s="52" t="s">
        <v>169</v>
      </c>
      <c r="E40" s="53" t="s">
        <v>7</v>
      </c>
      <c r="F40" s="50" t="s">
        <v>170</v>
      </c>
      <c r="G40" s="54" t="s">
        <v>171</v>
      </c>
      <c r="H40" s="55" t="s">
        <v>172</v>
      </c>
      <c r="I40" s="43"/>
      <c r="J40" s="50" t="s">
        <v>167</v>
      </c>
      <c r="K40" s="51" t="s">
        <v>168</v>
      </c>
      <c r="L40" s="52" t="s">
        <v>169</v>
      </c>
      <c r="M40" s="53" t="s">
        <v>7</v>
      </c>
      <c r="N40" s="50" t="s">
        <v>170</v>
      </c>
      <c r="O40" s="54" t="s">
        <v>171</v>
      </c>
      <c r="P40" s="55" t="s">
        <v>172</v>
      </c>
      <c r="Q40" s="97"/>
      <c r="R40" s="97"/>
      <c r="T40" s="73"/>
    </row>
    <row r="41" spans="1:41" ht="15.75" customHeight="1" x14ac:dyDescent="0.2">
      <c r="A41" s="62" t="s">
        <v>141</v>
      </c>
      <c r="B41" s="243">
        <f>('Pivot Table for Data Exchange'!$C$6)*100</f>
        <v>96.045359519296085</v>
      </c>
      <c r="C41" s="67">
        <f>('Pivot Table for Data Exchange'!$C$9)*100</f>
        <v>1.3599695971241178E-2</v>
      </c>
      <c r="D41" s="249">
        <f>SUM(E41:G41)</f>
        <v>3.9410407847326789</v>
      </c>
      <c r="E41" s="243">
        <f>('Pivot Table for Data Exchange'!$C$12)*100</f>
        <v>3.5362987218552404</v>
      </c>
      <c r="F41" s="67">
        <f>('Pivot Table for Data Exchange'!$C$15)*100</f>
        <v>3.5963640457282224E-2</v>
      </c>
      <c r="G41" s="60">
        <f>('Pivot Table for Data Exchange'!$C$18)*100</f>
        <v>0.36877842242015657</v>
      </c>
      <c r="H41" s="243">
        <f>('Pivot Table for Data Exchange'!$C$21)*100</f>
        <v>0</v>
      </c>
      <c r="I41" s="251" t="s">
        <v>141</v>
      </c>
      <c r="J41" s="243">
        <f>('Pivot Table for Data Exchange'!$C$24)*100</f>
        <v>83.93996228320573</v>
      </c>
      <c r="K41" s="243">
        <f>('Pivot Table for Data Exchange'!$C$27)*100</f>
        <v>3.6052514968208662</v>
      </c>
      <c r="L41" s="249">
        <f>SUM(M41:O41)</f>
        <v>12.454786219973412</v>
      </c>
      <c r="M41" s="243">
        <f>('Pivot Table for Data Exchange'!$C$30)*100</f>
        <v>7.631983017137439</v>
      </c>
      <c r="N41" s="243">
        <f>('Pivot Table for Data Exchange'!$C$33)*100</f>
        <v>0.17312626881975288</v>
      </c>
      <c r="O41" s="60">
        <f>('Pivot Table for Data Exchange'!$C$36)*100</f>
        <v>4.6496769340162203</v>
      </c>
      <c r="P41" s="243">
        <f>('Pivot Table for Data Exchange'!$C$39)*100</f>
        <v>0</v>
      </c>
      <c r="Q41" s="97">
        <f t="shared" si="3"/>
        <v>100</v>
      </c>
      <c r="R41" s="97">
        <f t="shared" si="2"/>
        <v>100.00000000000001</v>
      </c>
      <c r="S41" s="63"/>
      <c r="T41" s="63"/>
      <c r="U41" s="63"/>
      <c r="V41" s="63"/>
      <c r="W41" s="63"/>
      <c r="X41" s="63"/>
      <c r="Y41" s="63"/>
      <c r="Z41" s="63"/>
      <c r="AA41" s="63"/>
      <c r="AB41" s="63"/>
      <c r="AC41" s="63"/>
      <c r="AD41" s="63"/>
      <c r="AE41" s="63"/>
      <c r="AF41" s="63"/>
      <c r="AG41" s="63"/>
      <c r="AH41" s="63"/>
      <c r="AI41" s="63"/>
      <c r="AJ41" s="63"/>
      <c r="AK41" s="63"/>
      <c r="AL41" s="63"/>
      <c r="AM41" s="63"/>
      <c r="AN41" s="63"/>
      <c r="AO41" s="63"/>
    </row>
    <row r="42" spans="1:41" ht="15.75" customHeight="1" x14ac:dyDescent="0.2">
      <c r="A42" s="65" t="s">
        <v>142</v>
      </c>
      <c r="B42" s="243">
        <f>('Pivot Table for Data Exchange'!$C$42)*100</f>
        <v>93.71887437178286</v>
      </c>
      <c r="C42" s="243">
        <f>('Pivot Table for Data Exchange'!$C$45)*100</f>
        <v>1.9452626294702533</v>
      </c>
      <c r="D42" s="249">
        <f t="shared" ref="D42:D44" si="4">SUM(E42:G42)</f>
        <v>2.9576358688934818</v>
      </c>
      <c r="E42" s="243">
        <f>('Pivot Table for Data Exchange'!$C$48)*100</f>
        <v>2.7941045041481822</v>
      </c>
      <c r="F42" s="243">
        <f>('Pivot Table for Data Exchange'!$C$51)*100</f>
        <v>0.15440403275951572</v>
      </c>
      <c r="G42" s="68">
        <f>('Pivot Table for Data Exchange'!$C$54)*100</f>
        <v>9.1273319857841807E-3</v>
      </c>
      <c r="H42" s="243">
        <f>('Pivot Table for Data Exchange'!$C$57)*100</f>
        <v>1.3782271298534112</v>
      </c>
      <c r="I42" s="87" t="s">
        <v>142</v>
      </c>
      <c r="J42" s="243">
        <f>('Pivot Table for Data Exchange'!$C$60)*100</f>
        <v>74.132904914294599</v>
      </c>
      <c r="K42" s="243">
        <f>('Pivot Table for Data Exchange'!$C$63)*100</f>
        <v>4.3234909241672392</v>
      </c>
      <c r="L42" s="249">
        <f t="shared" ref="L42:L44" si="5">SUM(M42:O42)</f>
        <v>21.543604161538163</v>
      </c>
      <c r="M42" s="243">
        <f>('Pivot Table for Data Exchange'!$C$66)*100</f>
        <v>20.027726312789085</v>
      </c>
      <c r="N42" s="243">
        <f>('Pivot Table for Data Exchange'!$C$69)*100</f>
        <v>0</v>
      </c>
      <c r="O42" s="245">
        <f>('Pivot Table for Data Exchange'!$C$72)*100</f>
        <v>1.5158778487490769</v>
      </c>
      <c r="P42" s="243">
        <f>('Pivot Table for Data Exchange'!$C$75)*100</f>
        <v>0</v>
      </c>
      <c r="Q42" s="97">
        <f t="shared" si="3"/>
        <v>100</v>
      </c>
      <c r="R42" s="97">
        <f t="shared" si="2"/>
        <v>100</v>
      </c>
      <c r="S42" s="63"/>
      <c r="T42" s="63"/>
      <c r="U42" s="63"/>
      <c r="V42" s="63"/>
      <c r="W42" s="63"/>
      <c r="X42" s="63"/>
      <c r="Y42" s="63"/>
      <c r="Z42" s="63"/>
      <c r="AA42" s="63"/>
      <c r="AB42" s="63"/>
      <c r="AC42" s="63"/>
      <c r="AD42" s="63"/>
      <c r="AE42" s="63"/>
      <c r="AF42" s="63"/>
      <c r="AG42" s="63"/>
      <c r="AH42" s="63"/>
      <c r="AI42" s="63"/>
      <c r="AJ42" s="63"/>
      <c r="AK42" s="63"/>
      <c r="AL42" s="63"/>
      <c r="AM42" s="63"/>
      <c r="AN42" s="63"/>
      <c r="AO42" s="63"/>
    </row>
    <row r="43" spans="1:41" ht="15.75" customHeight="1" x14ac:dyDescent="0.2">
      <c r="A43" s="65" t="s">
        <v>143</v>
      </c>
      <c r="B43" s="243">
        <f>('Pivot Table for Data Exchange'!$C$78)*100</f>
        <v>96.971455425143503</v>
      </c>
      <c r="C43" s="243">
        <f>('Pivot Table for Data Exchange'!$C$81)*100</f>
        <v>0</v>
      </c>
      <c r="D43" s="249">
        <f t="shared" si="4"/>
        <v>3.0285445748564972</v>
      </c>
      <c r="E43" s="243">
        <f>('Pivot Table for Data Exchange'!$C$84)*100</f>
        <v>3.0285445748564972</v>
      </c>
      <c r="F43" s="243">
        <f>('Pivot Table for Data Exchange'!$C$87)*100</f>
        <v>0</v>
      </c>
      <c r="G43" s="245">
        <f>('Pivot Table for Data Exchange'!$C$90)*100</f>
        <v>0</v>
      </c>
      <c r="H43" s="243">
        <f>('Pivot Table for Data Exchange'!$C$93)*100</f>
        <v>0</v>
      </c>
      <c r="I43" s="87" t="s">
        <v>143</v>
      </c>
      <c r="J43" s="243">
        <f>('Pivot Table for Data Exchange'!$C$96)*100</f>
        <v>94.352968460111313</v>
      </c>
      <c r="K43" s="243">
        <f>('Pivot Table for Data Exchange'!$C$99)*100</f>
        <v>0</v>
      </c>
      <c r="L43" s="249">
        <f t="shared" si="5"/>
        <v>5.6470315398886823</v>
      </c>
      <c r="M43" s="243">
        <f>('Pivot Table for Data Exchange'!$C$102)*100</f>
        <v>5.6470315398886823</v>
      </c>
      <c r="N43" s="243">
        <f>('Pivot Table for Data Exchange'!$C$105)*100</f>
        <v>0</v>
      </c>
      <c r="O43" s="245">
        <f>('Pivot Table for Data Exchange'!$C$108)*100</f>
        <v>0</v>
      </c>
      <c r="P43" s="243">
        <f>('Pivot Table for Data Exchange'!$C$111)*100</f>
        <v>0</v>
      </c>
      <c r="Q43" s="97">
        <f t="shared" si="3"/>
        <v>100</v>
      </c>
      <c r="R43" s="97">
        <f t="shared" si="2"/>
        <v>100</v>
      </c>
      <c r="S43" s="63"/>
      <c r="T43" s="74"/>
      <c r="U43" s="63"/>
      <c r="V43" s="63"/>
      <c r="W43" s="63"/>
      <c r="X43" s="63"/>
      <c r="Y43" s="63"/>
      <c r="Z43" s="63"/>
      <c r="AA43" s="63"/>
      <c r="AB43" s="63"/>
      <c r="AC43" s="63"/>
      <c r="AD43" s="63"/>
      <c r="AE43" s="63"/>
      <c r="AF43" s="63"/>
      <c r="AG43" s="63"/>
      <c r="AH43" s="63"/>
      <c r="AI43" s="63"/>
      <c r="AJ43" s="63"/>
      <c r="AK43" s="63"/>
      <c r="AL43" s="63"/>
      <c r="AM43" s="63"/>
      <c r="AN43" s="63"/>
      <c r="AO43" s="63"/>
    </row>
    <row r="44" spans="1:41" ht="15.75" customHeight="1" x14ac:dyDescent="0.2">
      <c r="A44" s="65" t="s">
        <v>174</v>
      </c>
      <c r="B44" s="243">
        <f>('Pivot Table for Data Exchange'!$C$114)*100</f>
        <v>71.188523245451435</v>
      </c>
      <c r="C44" s="243">
        <f>('Pivot Table for Data Exchange'!$C$117)*100</f>
        <v>8.4510537417534124</v>
      </c>
      <c r="D44" s="249">
        <f t="shared" si="4"/>
        <v>20.246282270263706</v>
      </c>
      <c r="E44" s="243">
        <f>('Pivot Table for Data Exchange'!$C$120)*100</f>
        <v>18.572903180063292</v>
      </c>
      <c r="F44" s="243">
        <f>('Pivot Table for Data Exchange'!$C$123)*100</f>
        <v>0</v>
      </c>
      <c r="G44" s="245">
        <f>('Pivot Table for Data Exchange'!$C$126)*100</f>
        <v>1.6733790902004146</v>
      </c>
      <c r="H44" s="243">
        <f>('Pivot Table for Data Exchange'!$C$129)*100</f>
        <v>0.1141407425314467</v>
      </c>
      <c r="I44" s="87" t="s">
        <v>174</v>
      </c>
      <c r="J44" s="243">
        <f>('Pivot Table for Data Exchange'!$C$132)*100</f>
        <v>72.715458115260304</v>
      </c>
      <c r="K44" s="243">
        <f>('Pivot Table for Data Exchange'!$C$135)*100</f>
        <v>6.8040256918973974</v>
      </c>
      <c r="L44" s="249">
        <f t="shared" si="5"/>
        <v>20.480516192842298</v>
      </c>
      <c r="M44" s="243">
        <f>('Pivot Table for Data Exchange'!$C$138)*100</f>
        <v>19.72616503492112</v>
      </c>
      <c r="N44" s="243">
        <f>('Pivot Table for Data Exchange'!$C$141)*100</f>
        <v>0</v>
      </c>
      <c r="O44" s="245">
        <f>('Pivot Table for Data Exchange'!$C$144)*100</f>
        <v>0.7543511579211778</v>
      </c>
      <c r="P44" s="243">
        <f>('Pivot Table for Data Exchange'!$C$147)*100</f>
        <v>0</v>
      </c>
      <c r="Q44" s="97">
        <f t="shared" si="3"/>
        <v>100</v>
      </c>
      <c r="R44" s="97">
        <f t="shared" si="2"/>
        <v>100</v>
      </c>
      <c r="S44" s="63"/>
      <c r="U44" s="63"/>
      <c r="V44" s="63"/>
      <c r="W44" s="63"/>
      <c r="X44" s="63"/>
      <c r="Y44" s="63"/>
      <c r="Z44" s="63"/>
      <c r="AA44" s="63"/>
      <c r="AB44" s="63"/>
      <c r="AC44" s="63"/>
      <c r="AD44" s="63"/>
      <c r="AE44" s="63"/>
      <c r="AF44" s="63"/>
      <c r="AG44" s="63"/>
      <c r="AH44" s="63"/>
      <c r="AI44" s="63"/>
      <c r="AJ44" s="63"/>
      <c r="AK44" s="63"/>
      <c r="AL44" s="63"/>
      <c r="AM44" s="63"/>
      <c r="AN44" s="63"/>
      <c r="AO44" s="63"/>
    </row>
    <row r="45" spans="1:41" ht="10.5" customHeight="1" x14ac:dyDescent="0.2">
      <c r="A45" s="65"/>
      <c r="B45" s="243"/>
      <c r="C45" s="243"/>
      <c r="D45" s="249"/>
      <c r="E45" s="243"/>
      <c r="F45" s="243"/>
      <c r="G45" s="245"/>
      <c r="H45" s="243"/>
      <c r="I45" s="87"/>
      <c r="J45" s="243"/>
      <c r="K45" s="243"/>
      <c r="L45" s="249"/>
      <c r="M45" s="243"/>
      <c r="N45" s="243"/>
      <c r="O45" s="245"/>
      <c r="P45" s="243"/>
      <c r="Q45" s="97">
        <f t="shared" si="3"/>
        <v>0</v>
      </c>
      <c r="R45" s="97">
        <f t="shared" si="2"/>
        <v>0</v>
      </c>
      <c r="S45" s="63"/>
      <c r="U45" s="63"/>
      <c r="V45" s="63"/>
      <c r="W45" s="63"/>
      <c r="X45" s="63"/>
      <c r="Y45" s="63"/>
      <c r="Z45" s="63"/>
      <c r="AA45" s="63"/>
      <c r="AB45" s="63"/>
      <c r="AC45" s="63"/>
      <c r="AD45" s="63"/>
      <c r="AE45" s="63"/>
      <c r="AF45" s="63"/>
      <c r="AG45" s="63"/>
      <c r="AH45" s="63"/>
      <c r="AI45" s="63"/>
      <c r="AJ45" s="63"/>
      <c r="AK45" s="63"/>
      <c r="AL45" s="63"/>
      <c r="AM45" s="63"/>
      <c r="AN45" s="63"/>
      <c r="AO45" s="63"/>
    </row>
    <row r="46" spans="1:41" ht="15.75" customHeight="1" x14ac:dyDescent="0.2">
      <c r="A46" s="65" t="s">
        <v>145</v>
      </c>
      <c r="B46" s="243">
        <f>('Pivot Table for Data Exchange'!$C$150)*100</f>
        <v>0</v>
      </c>
      <c r="C46" s="243">
        <f>('Pivot Table for Data Exchange'!$C$153)*100</f>
        <v>0</v>
      </c>
      <c r="D46" s="249">
        <f t="shared" ref="D46:D49" si="6">SUM(E46:G46)</f>
        <v>0</v>
      </c>
      <c r="E46" s="243">
        <f>('Pivot Table for Data Exchange'!$C$156)*100</f>
        <v>0</v>
      </c>
      <c r="F46" s="243">
        <f>('Pivot Table for Data Exchange'!$C$159)*100</f>
        <v>0</v>
      </c>
      <c r="G46" s="245">
        <f>('Pivot Table for Data Exchange'!$C$162)*100</f>
        <v>0</v>
      </c>
      <c r="H46" s="243">
        <f>('Pivot Table for Data Exchange'!$C$165)*100</f>
        <v>0</v>
      </c>
      <c r="I46" s="87" t="s">
        <v>145</v>
      </c>
      <c r="J46" s="243">
        <f>('Pivot Table for Data Exchange'!$C$168)*100</f>
        <v>0</v>
      </c>
      <c r="K46" s="243">
        <f>('Pivot Table for Data Exchange'!$C$171)*100</f>
        <v>0</v>
      </c>
      <c r="L46" s="249">
        <f t="shared" ref="L46:L49" si="7">SUM(M46:O46)</f>
        <v>0</v>
      </c>
      <c r="M46" s="243">
        <f>('Pivot Table for Data Exchange'!$C$174)*100</f>
        <v>0</v>
      </c>
      <c r="N46" s="243">
        <f>('Pivot Table for Data Exchange'!$C$177)*100</f>
        <v>0</v>
      </c>
      <c r="O46" s="245">
        <f>('Pivot Table for Data Exchange'!$C$180)*100</f>
        <v>0</v>
      </c>
      <c r="P46" s="243">
        <f>('Pivot Table for Data Exchange'!$C$183)*100</f>
        <v>0</v>
      </c>
      <c r="Q46" s="97">
        <f t="shared" si="3"/>
        <v>0</v>
      </c>
      <c r="R46" s="97">
        <f t="shared" si="2"/>
        <v>0</v>
      </c>
      <c r="S46" s="63"/>
      <c r="T46" s="63"/>
      <c r="U46" s="63"/>
      <c r="V46" s="63"/>
      <c r="W46" s="63"/>
      <c r="X46" s="63"/>
      <c r="Y46" s="63"/>
      <c r="Z46" s="63"/>
      <c r="AA46" s="63"/>
      <c r="AB46" s="63"/>
      <c r="AC46" s="63"/>
      <c r="AD46" s="63"/>
      <c r="AE46" s="63"/>
      <c r="AF46" s="63"/>
      <c r="AG46" s="63"/>
      <c r="AH46" s="63"/>
      <c r="AI46" s="63"/>
      <c r="AJ46" s="63"/>
      <c r="AK46" s="63"/>
      <c r="AL46" s="63"/>
      <c r="AM46" s="63"/>
      <c r="AN46" s="63"/>
      <c r="AO46" s="63"/>
    </row>
    <row r="47" spans="1:41" ht="15.75" customHeight="1" x14ac:dyDescent="0.2">
      <c r="A47" s="65" t="s">
        <v>146</v>
      </c>
      <c r="B47" s="243">
        <f>('Pivot Table for Data Exchange'!$C$186)*100</f>
        <v>93.5073220818837</v>
      </c>
      <c r="C47" s="243">
        <f>('Pivot Table for Data Exchange'!$C$189)*100</f>
        <v>1.2897000808521959</v>
      </c>
      <c r="D47" s="249">
        <f t="shared" si="6"/>
        <v>5.2029778372641005</v>
      </c>
      <c r="E47" s="243">
        <f>('Pivot Table for Data Exchange'!$C$192)*100</f>
        <v>4.9776830100732079</v>
      </c>
      <c r="F47" s="243">
        <f>('Pivot Table for Data Exchange'!$C$195)*100</f>
        <v>0.22498002305415629</v>
      </c>
      <c r="G47" s="257">
        <f>('Pivot Table for Data Exchange'!$C$198)*100</f>
        <v>3.1480413673622615E-4</v>
      </c>
      <c r="H47" s="243">
        <f>('Pivot Table for Data Exchange'!$C$201)*100</f>
        <v>0</v>
      </c>
      <c r="I47" s="87" t="s">
        <v>146</v>
      </c>
      <c r="J47" s="243">
        <f>('Pivot Table for Data Exchange'!$C$204)*100</f>
        <v>86.570612399362759</v>
      </c>
      <c r="K47" s="243">
        <f>('Pivot Table for Data Exchange'!$C$207)*100</f>
        <v>3.6699403653765157</v>
      </c>
      <c r="L47" s="249">
        <f t="shared" si="7"/>
        <v>9.7594472352607244</v>
      </c>
      <c r="M47" s="243">
        <f>('Pivot Table for Data Exchange'!$C$210)*100</f>
        <v>8.8652330755473621</v>
      </c>
      <c r="N47" s="243">
        <f>('Pivot Table for Data Exchange'!$C$213)*100</f>
        <v>0.89055184916163621</v>
      </c>
      <c r="O47" s="254">
        <f>('Pivot Table for Data Exchange'!$C$216)*100</f>
        <v>3.6623105517270848E-3</v>
      </c>
      <c r="P47" s="243">
        <f>('Pivot Table for Data Exchange'!$C$219)*100</f>
        <v>0</v>
      </c>
      <c r="Q47" s="97">
        <f t="shared" si="3"/>
        <v>100</v>
      </c>
      <c r="R47" s="97">
        <f t="shared" si="2"/>
        <v>100</v>
      </c>
      <c r="S47" s="63"/>
      <c r="T47" s="63"/>
      <c r="U47" s="63"/>
      <c r="V47" s="63"/>
      <c r="W47" s="63"/>
      <c r="X47" s="63"/>
      <c r="Y47" s="63"/>
      <c r="Z47" s="63"/>
      <c r="AA47" s="63"/>
      <c r="AB47" s="63"/>
      <c r="AC47" s="63"/>
      <c r="AD47" s="63"/>
      <c r="AE47" s="63"/>
      <c r="AF47" s="63"/>
      <c r="AG47" s="63"/>
      <c r="AH47" s="63"/>
      <c r="AI47" s="63"/>
      <c r="AJ47" s="63"/>
      <c r="AK47" s="63"/>
      <c r="AL47" s="63"/>
      <c r="AM47" s="63"/>
      <c r="AN47" s="63"/>
      <c r="AO47" s="63"/>
    </row>
    <row r="48" spans="1:41" ht="15.75" customHeight="1" x14ac:dyDescent="0.2">
      <c r="A48" s="65" t="s">
        <v>147</v>
      </c>
      <c r="B48" s="243">
        <f>('Pivot Table for Data Exchange'!$C$222)*100</f>
        <v>0</v>
      </c>
      <c r="C48" s="243">
        <f>('Pivot Table for Data Exchange'!$C$225)*100</f>
        <v>0</v>
      </c>
      <c r="D48" s="249">
        <f t="shared" si="6"/>
        <v>0</v>
      </c>
      <c r="E48" s="243">
        <f>('Pivot Table for Data Exchange'!$C$228)*100</f>
        <v>0</v>
      </c>
      <c r="F48" s="243">
        <f>('Pivot Table for Data Exchange'!$C$231)*100</f>
        <v>0</v>
      </c>
      <c r="G48" s="245">
        <f>('Pivot Table for Data Exchange'!$C$234)*100</f>
        <v>0</v>
      </c>
      <c r="H48" s="243">
        <f>('Pivot Table for Data Exchange'!$C$237)*100</f>
        <v>0</v>
      </c>
      <c r="I48" s="87" t="s">
        <v>147</v>
      </c>
      <c r="J48" s="243">
        <f>('Pivot Table for Data Exchange'!$C$240)*100</f>
        <v>0</v>
      </c>
      <c r="K48" s="243">
        <f>('Pivot Table for Data Exchange'!$C$243)*100</f>
        <v>0</v>
      </c>
      <c r="L48" s="249">
        <f t="shared" si="7"/>
        <v>0</v>
      </c>
      <c r="M48" s="243">
        <f>('Pivot Table for Data Exchange'!$C$246)*100</f>
        <v>0</v>
      </c>
      <c r="N48" s="243">
        <f>('Pivot Table for Data Exchange'!$C$249)*100</f>
        <v>0</v>
      </c>
      <c r="O48" s="245">
        <f>('Pivot Table for Data Exchange'!$C$252)*100</f>
        <v>0</v>
      </c>
      <c r="P48" s="243">
        <f>('Pivot Table for Data Exchange'!$C$255)*100</f>
        <v>0</v>
      </c>
      <c r="Q48" s="97">
        <f t="shared" si="3"/>
        <v>0</v>
      </c>
      <c r="R48" s="97">
        <f t="shared" si="2"/>
        <v>0</v>
      </c>
      <c r="S48" s="63"/>
      <c r="T48" s="74"/>
      <c r="U48" s="63"/>
      <c r="V48" s="63"/>
      <c r="W48" s="63"/>
      <c r="X48" s="63"/>
      <c r="Y48" s="63"/>
      <c r="Z48" s="63"/>
      <c r="AA48" s="63"/>
      <c r="AB48" s="63"/>
      <c r="AC48" s="63"/>
      <c r="AD48" s="63"/>
      <c r="AE48" s="63"/>
      <c r="AF48" s="63"/>
      <c r="AG48" s="63"/>
      <c r="AH48" s="63"/>
      <c r="AI48" s="63"/>
      <c r="AJ48" s="63"/>
      <c r="AK48" s="63"/>
      <c r="AL48" s="63"/>
      <c r="AM48" s="63"/>
      <c r="AN48" s="63"/>
      <c r="AO48" s="63"/>
    </row>
    <row r="49" spans="1:41" ht="15.75" customHeight="1" x14ac:dyDescent="0.2">
      <c r="A49" s="65" t="s">
        <v>177</v>
      </c>
      <c r="B49" s="243">
        <f>('Pivot Table for Data Exchange'!$C$258)*100</f>
        <v>95.82768186074189</v>
      </c>
      <c r="C49" s="243">
        <f>('Pivot Table for Data Exchange'!$C$261)*100</f>
        <v>2.2535468329460122</v>
      </c>
      <c r="D49" s="249">
        <f t="shared" si="6"/>
        <v>1.9187713063121064</v>
      </c>
      <c r="E49" s="243">
        <f>('Pivot Table for Data Exchange'!$C$264)*100</f>
        <v>1.8702676079051028</v>
      </c>
      <c r="F49" s="67">
        <f>('Pivot Table for Data Exchange'!$C$267)*100</f>
        <v>4.8503698407003533E-2</v>
      </c>
      <c r="G49" s="245">
        <f>('Pivot Table for Data Exchange'!$C$270)*100</f>
        <v>0</v>
      </c>
      <c r="H49" s="243">
        <f>('Pivot Table for Data Exchange'!$C$273)*100</f>
        <v>0</v>
      </c>
      <c r="I49" s="87" t="s">
        <v>177</v>
      </c>
      <c r="J49" s="243">
        <f>('Pivot Table for Data Exchange'!$C$276)*100</f>
        <v>72.345835982199617</v>
      </c>
      <c r="K49" s="243">
        <f>('Pivot Table for Data Exchange'!$C$279)*100</f>
        <v>23.422482108350696</v>
      </c>
      <c r="L49" s="249">
        <f t="shared" si="7"/>
        <v>4.2316819094496863</v>
      </c>
      <c r="M49" s="243">
        <f>('Pivot Table for Data Exchange'!$C$282)*100</f>
        <v>3.6343494489309069</v>
      </c>
      <c r="N49" s="243">
        <f>('Pivot Table for Data Exchange'!$C$285)*100</f>
        <v>0.5973324605187792</v>
      </c>
      <c r="O49" s="245">
        <f>('Pivot Table for Data Exchange'!$C$288)*100</f>
        <v>0</v>
      </c>
      <c r="P49" s="243">
        <f>('Pivot Table for Data Exchange'!$C$291)*100</f>
        <v>0</v>
      </c>
      <c r="Q49" s="97">
        <f t="shared" si="3"/>
        <v>100.00000000000001</v>
      </c>
      <c r="R49" s="97">
        <f t="shared" si="2"/>
        <v>100</v>
      </c>
      <c r="S49" s="63"/>
      <c r="U49" s="63"/>
      <c r="V49" s="63"/>
      <c r="W49" s="63"/>
      <c r="X49" s="63"/>
      <c r="Y49" s="63"/>
      <c r="Z49" s="63"/>
      <c r="AA49" s="63"/>
      <c r="AB49" s="63"/>
      <c r="AC49" s="63"/>
      <c r="AD49" s="63"/>
      <c r="AE49" s="63"/>
      <c r="AF49" s="63"/>
      <c r="AG49" s="63"/>
      <c r="AH49" s="63"/>
      <c r="AI49" s="63"/>
      <c r="AJ49" s="63"/>
      <c r="AK49" s="63"/>
      <c r="AL49" s="63"/>
      <c r="AM49" s="63"/>
      <c r="AN49" s="63"/>
      <c r="AO49" s="63"/>
    </row>
    <row r="50" spans="1:41" ht="12" customHeight="1" x14ac:dyDescent="0.2">
      <c r="A50" s="65"/>
      <c r="B50" s="243"/>
      <c r="C50" s="243"/>
      <c r="D50" s="249"/>
      <c r="E50" s="243"/>
      <c r="F50" s="243"/>
      <c r="G50" s="245"/>
      <c r="H50" s="243"/>
      <c r="I50" s="87"/>
      <c r="J50" s="243"/>
      <c r="K50" s="243"/>
      <c r="L50" s="249"/>
      <c r="M50" s="243"/>
      <c r="N50" s="243"/>
      <c r="O50" s="245"/>
      <c r="P50" s="243"/>
      <c r="Q50" s="97">
        <f t="shared" si="3"/>
        <v>0</v>
      </c>
      <c r="R50" s="97">
        <f t="shared" si="2"/>
        <v>0</v>
      </c>
      <c r="S50" s="63"/>
      <c r="U50" s="63"/>
      <c r="V50" s="63"/>
      <c r="W50" s="63"/>
      <c r="X50" s="63"/>
      <c r="Y50" s="63"/>
      <c r="Z50" s="63"/>
      <c r="AA50" s="63"/>
      <c r="AB50" s="63"/>
      <c r="AC50" s="63"/>
      <c r="AD50" s="63"/>
      <c r="AE50" s="63"/>
      <c r="AF50" s="63"/>
      <c r="AG50" s="63"/>
      <c r="AH50" s="63"/>
      <c r="AI50" s="63"/>
      <c r="AJ50" s="63"/>
      <c r="AK50" s="63"/>
      <c r="AL50" s="63"/>
      <c r="AM50" s="63"/>
      <c r="AN50" s="63"/>
      <c r="AO50" s="63"/>
    </row>
    <row r="51" spans="1:41" ht="15.75" customHeight="1" x14ac:dyDescent="0.2">
      <c r="A51" s="65" t="s">
        <v>148</v>
      </c>
      <c r="B51" s="243">
        <f>('Pivot Table for Data Exchange'!$C$294)*100</f>
        <v>86.108211452785753</v>
      </c>
      <c r="C51" s="243">
        <f>('Pivot Table for Data Exchange'!$C$297)*100</f>
        <v>6.3862496726022151</v>
      </c>
      <c r="D51" s="249">
        <f t="shared" ref="D51:D53" si="8">SUM(E51:G51)</f>
        <v>7.5052858135218123</v>
      </c>
      <c r="E51" s="243">
        <f>('Pivot Table for Data Exchange'!$C$300)*100</f>
        <v>7.4291144253678549</v>
      </c>
      <c r="F51" s="243">
        <f>('Pivot Table for Data Exchange'!$C$303)*100</f>
        <v>7.6171388153957298E-2</v>
      </c>
      <c r="G51" s="245">
        <f>('Pivot Table for Data Exchange'!$C$306)*100</f>
        <v>0</v>
      </c>
      <c r="H51" s="256">
        <f>('Pivot Table for Data Exchange'!$C$309)*100</f>
        <v>2.5306109021248278E-4</v>
      </c>
      <c r="I51" s="87" t="s">
        <v>148</v>
      </c>
      <c r="J51" s="243">
        <f>('Pivot Table for Data Exchange'!$C$312)*100</f>
        <v>67.382026483188369</v>
      </c>
      <c r="K51" s="243">
        <f>('Pivot Table for Data Exchange'!$C$315)*100</f>
        <v>6.3368168246137859</v>
      </c>
      <c r="L51" s="249">
        <f t="shared" ref="L51:L53" si="9">SUM(M51:O51)</f>
        <v>26.281156692197847</v>
      </c>
      <c r="M51" s="243">
        <f>('Pivot Table for Data Exchange'!$C$318)*100</f>
        <v>25.766746722056343</v>
      </c>
      <c r="N51" s="243">
        <f>('Pivot Table for Data Exchange'!$C$321)*100</f>
        <v>0.49250292093989356</v>
      </c>
      <c r="O51" s="68">
        <f>('Pivot Table for Data Exchange'!$C$324)*100</f>
        <v>2.1907049201609761E-2</v>
      </c>
      <c r="P51" s="243">
        <f>('Pivot Table for Data Exchange'!$C$327)*100</f>
        <v>0</v>
      </c>
      <c r="Q51" s="97">
        <f t="shared" si="3"/>
        <v>99.999999999999986</v>
      </c>
      <c r="R51" s="97">
        <f t="shared" si="2"/>
        <v>100</v>
      </c>
      <c r="S51" s="63"/>
      <c r="T51" s="63"/>
      <c r="U51" s="63"/>
      <c r="V51" s="63"/>
      <c r="W51" s="63"/>
      <c r="X51" s="63"/>
      <c r="Y51" s="63"/>
      <c r="Z51" s="63"/>
      <c r="AA51" s="63"/>
      <c r="AB51" s="63"/>
      <c r="AC51" s="63"/>
      <c r="AD51" s="63"/>
      <c r="AE51" s="63"/>
      <c r="AF51" s="63"/>
      <c r="AG51" s="63"/>
      <c r="AH51" s="63"/>
      <c r="AI51" s="63"/>
      <c r="AJ51" s="63"/>
      <c r="AK51" s="63"/>
      <c r="AL51" s="63"/>
      <c r="AM51" s="63"/>
      <c r="AN51" s="63"/>
      <c r="AO51" s="63"/>
    </row>
    <row r="52" spans="1:41" ht="15.75" customHeight="1" x14ac:dyDescent="0.2">
      <c r="A52" s="65" t="s">
        <v>149</v>
      </c>
      <c r="B52" s="243">
        <f>('Pivot Table for Data Exchange'!$C$330)*100</f>
        <v>90.154278391167196</v>
      </c>
      <c r="C52" s="243">
        <f>('Pivot Table for Data Exchange'!$C$333)*100</f>
        <v>0.18417711779641457</v>
      </c>
      <c r="D52" s="249">
        <f t="shared" si="8"/>
        <v>9.661544491036393</v>
      </c>
      <c r="E52" s="243">
        <f>('Pivot Table for Data Exchange'!$C$336)*100</f>
        <v>9.6431508232669074</v>
      </c>
      <c r="F52" s="67">
        <f>('Pivot Table for Data Exchange'!$C$339)*100</f>
        <v>5.2295722089713012E-3</v>
      </c>
      <c r="G52" s="68">
        <f>('Pivot Table for Data Exchange'!$C$342)*100</f>
        <v>1.3164095560513966E-2</v>
      </c>
      <c r="H52" s="243">
        <f>('Pivot Table for Data Exchange'!$C$345)*100</f>
        <v>0</v>
      </c>
      <c r="I52" s="87" t="s">
        <v>149</v>
      </c>
      <c r="J52" s="243">
        <f>('Pivot Table for Data Exchange'!$C$348)*100</f>
        <v>82.95792159545411</v>
      </c>
      <c r="K52" s="243">
        <f>('Pivot Table for Data Exchange'!$C$351)*100</f>
        <v>5.7577558184242195</v>
      </c>
      <c r="L52" s="249">
        <f t="shared" si="9"/>
        <v>11.284322586121668</v>
      </c>
      <c r="M52" s="243">
        <f>('Pivot Table for Data Exchange'!$C$354)*100</f>
        <v>11.139767013367022</v>
      </c>
      <c r="N52" s="243">
        <f>('Pivot Table for Data Exchange'!$C$357)*100</f>
        <v>9.2126090408400696E-2</v>
      </c>
      <c r="O52" s="245">
        <f>('Pivot Table for Data Exchange'!$C$360)*100</f>
        <v>5.2429482346244297E-2</v>
      </c>
      <c r="P52" s="243">
        <f>('Pivot Table for Data Exchange'!$C$363)*100</f>
        <v>0</v>
      </c>
      <c r="Q52" s="97">
        <f t="shared" si="3"/>
        <v>100</v>
      </c>
      <c r="R52" s="97">
        <f t="shared" si="2"/>
        <v>100</v>
      </c>
      <c r="S52" s="63"/>
      <c r="T52" s="63"/>
      <c r="U52" s="63"/>
      <c r="V52" s="63"/>
      <c r="W52" s="63"/>
      <c r="X52" s="63"/>
      <c r="Y52" s="63"/>
      <c r="Z52" s="63"/>
      <c r="AA52" s="63"/>
      <c r="AB52" s="63"/>
      <c r="AC52" s="63"/>
      <c r="AD52" s="63"/>
      <c r="AE52" s="63"/>
      <c r="AF52" s="63"/>
      <c r="AG52" s="63"/>
      <c r="AH52" s="63"/>
      <c r="AI52" s="63"/>
      <c r="AJ52" s="63"/>
      <c r="AK52" s="63"/>
      <c r="AL52" s="63"/>
      <c r="AM52" s="63"/>
      <c r="AN52" s="63"/>
      <c r="AO52" s="63"/>
    </row>
    <row r="53" spans="1:41" ht="15.75" customHeight="1" x14ac:dyDescent="0.2">
      <c r="A53" s="65" t="s">
        <v>150</v>
      </c>
      <c r="B53" s="243">
        <f>('Pivot Table for Data Exchange'!$C$366)*100</f>
        <v>87.385512456649906</v>
      </c>
      <c r="C53" s="243">
        <f>('Pivot Table for Data Exchange'!$C$369)*100</f>
        <v>1.1159139757221026</v>
      </c>
      <c r="D53" s="249">
        <f t="shared" si="8"/>
        <v>11.394883260922013</v>
      </c>
      <c r="E53" s="243">
        <f>('Pivot Table for Data Exchange'!$C$372)*100</f>
        <v>11.215865537799075</v>
      </c>
      <c r="F53" s="243">
        <f>('Pivot Table for Data Exchange'!$C$375)*100</f>
        <v>5.8199177476181613E-2</v>
      </c>
      <c r="G53" s="245">
        <f>('Pivot Table for Data Exchange'!$C$378)*100</f>
        <v>0.12081854564675679</v>
      </c>
      <c r="H53" s="243">
        <f>('Pivot Table for Data Exchange'!$C$381)*100</f>
        <v>0.1036903067059818</v>
      </c>
      <c r="I53" s="87" t="s">
        <v>150</v>
      </c>
      <c r="J53" s="243">
        <f>('Pivot Table for Data Exchange'!$C$384)*100</f>
        <v>61.454221316694259</v>
      </c>
      <c r="K53" s="243">
        <f>('Pivot Table for Data Exchange'!$C$387)*100</f>
        <v>20.974998938834418</v>
      </c>
      <c r="L53" s="249">
        <f t="shared" si="9"/>
        <v>17.570779744471327</v>
      </c>
      <c r="M53" s="243">
        <f>('Pivot Table for Data Exchange'!$C$390)*100</f>
        <v>14.515684027335626</v>
      </c>
      <c r="N53" s="243">
        <f>('Pivot Table for Data Exchange'!$C$393)*100</f>
        <v>0.60486438303832923</v>
      </c>
      <c r="O53" s="245">
        <f>('Pivot Table for Data Exchange'!$C$396)*100</f>
        <v>2.4502313340973725</v>
      </c>
      <c r="P53" s="243">
        <f>('Pivot Table for Data Exchange'!$C$399)*100</f>
        <v>0</v>
      </c>
      <c r="Q53" s="97">
        <f t="shared" si="3"/>
        <v>100.00000000000001</v>
      </c>
      <c r="R53" s="97">
        <f t="shared" si="2"/>
        <v>100</v>
      </c>
      <c r="S53" s="63"/>
      <c r="T53" s="74"/>
      <c r="U53" s="63"/>
      <c r="V53" s="63"/>
      <c r="W53" s="63"/>
      <c r="X53" s="63"/>
      <c r="Y53" s="63"/>
      <c r="Z53" s="63"/>
      <c r="AA53" s="63"/>
      <c r="AB53" s="63"/>
      <c r="AC53" s="63"/>
      <c r="AD53" s="63"/>
      <c r="AE53" s="63"/>
      <c r="AF53" s="63"/>
      <c r="AG53" s="63"/>
      <c r="AH53" s="63"/>
      <c r="AI53" s="63"/>
      <c r="AJ53" s="63"/>
      <c r="AK53" s="63"/>
      <c r="AL53" s="63"/>
      <c r="AM53" s="63"/>
      <c r="AN53" s="63"/>
      <c r="AO53" s="63"/>
    </row>
    <row r="54" spans="1:41" ht="15.75" customHeight="1" x14ac:dyDescent="0.2">
      <c r="A54" s="65" t="s">
        <v>151</v>
      </c>
      <c r="B54" s="243">
        <f>('Pivot Table for Data Exchange'!$C$402)*100</f>
        <v>93.40285369599161</v>
      </c>
      <c r="C54" s="243">
        <f>('Pivot Table for Data Exchange'!$C$405)*100</f>
        <v>2.6395959107484757</v>
      </c>
      <c r="D54" s="249">
        <f>SUM(E54:G54)</f>
        <v>3.9575503932599205</v>
      </c>
      <c r="E54" s="243">
        <f>('Pivot Table for Data Exchange'!$C$408)*100</f>
        <v>3.5269494296809425</v>
      </c>
      <c r="F54" s="243">
        <f>('Pivot Table for Data Exchange'!$C$411)*100</f>
        <v>0.32865262712031534</v>
      </c>
      <c r="G54" s="245">
        <f>('Pivot Table for Data Exchange'!$C$414)*100</f>
        <v>0.10194833645866291</v>
      </c>
      <c r="H54" s="243">
        <f>('Pivot Table for Data Exchange'!$C$417)*100</f>
        <v>0</v>
      </c>
      <c r="I54" s="87" t="s">
        <v>151</v>
      </c>
      <c r="J54" s="243">
        <f>('Pivot Table for Data Exchange'!$C$420)*100</f>
        <v>67.156368770237293</v>
      </c>
      <c r="K54" s="243">
        <f>('Pivot Table for Data Exchange'!$C$423)*100</f>
        <v>13.084355961594532</v>
      </c>
      <c r="L54" s="249">
        <f>SUM(M54:O54)</f>
        <v>19.759275268168167</v>
      </c>
      <c r="M54" s="243">
        <f>('Pivot Table for Data Exchange'!$C$426)*100</f>
        <v>18.691206334753673</v>
      </c>
      <c r="N54" s="243">
        <f>('Pivot Table for Data Exchange'!$C$429)*100</f>
        <v>8.9005744451207972E-2</v>
      </c>
      <c r="O54" s="245">
        <f>('Pivot Table for Data Exchange'!$C$432)*100</f>
        <v>0.9790631889632877</v>
      </c>
      <c r="P54" s="243">
        <f>('Pivot Table for Data Exchange'!$C$435)*100</f>
        <v>0</v>
      </c>
      <c r="Q54" s="97">
        <f t="shared" si="3"/>
        <v>100.00000000000001</v>
      </c>
      <c r="R54" s="97">
        <f t="shared" si="2"/>
        <v>99.999999999999986</v>
      </c>
      <c r="S54" s="63"/>
      <c r="T54" s="63"/>
      <c r="U54" s="63"/>
      <c r="V54" s="63"/>
      <c r="W54" s="63"/>
      <c r="X54" s="63"/>
      <c r="Y54" s="63"/>
      <c r="Z54" s="63"/>
      <c r="AA54" s="63"/>
      <c r="AB54" s="63"/>
      <c r="AC54" s="63"/>
      <c r="AD54" s="63"/>
      <c r="AE54" s="63"/>
      <c r="AF54" s="63"/>
      <c r="AG54" s="63"/>
      <c r="AH54" s="63"/>
      <c r="AI54" s="63"/>
      <c r="AJ54" s="63"/>
      <c r="AK54" s="63"/>
      <c r="AL54" s="63"/>
      <c r="AM54" s="63"/>
      <c r="AN54" s="63"/>
      <c r="AO54" s="63"/>
    </row>
    <row r="55" spans="1:41" ht="14.25" customHeight="1" x14ac:dyDescent="0.2">
      <c r="A55" s="65"/>
      <c r="B55" s="243"/>
      <c r="C55" s="243"/>
      <c r="D55" s="249"/>
      <c r="E55" s="243"/>
      <c r="F55" s="243"/>
      <c r="G55" s="245"/>
      <c r="H55" s="243"/>
      <c r="I55" s="87"/>
      <c r="J55" s="243"/>
      <c r="K55" s="243"/>
      <c r="L55" s="249"/>
      <c r="M55" s="243"/>
      <c r="N55" s="243"/>
      <c r="O55" s="245"/>
      <c r="P55" s="243"/>
      <c r="Q55" s="97">
        <f t="shared" si="3"/>
        <v>0</v>
      </c>
      <c r="R55" s="97">
        <f t="shared" si="2"/>
        <v>0</v>
      </c>
      <c r="S55" s="63"/>
      <c r="T55" s="63"/>
      <c r="U55" s="63"/>
      <c r="V55" s="63"/>
      <c r="W55" s="63"/>
      <c r="X55" s="63"/>
      <c r="Y55" s="63"/>
      <c r="Z55" s="63"/>
      <c r="AA55" s="63"/>
      <c r="AB55" s="63"/>
      <c r="AC55" s="63"/>
      <c r="AD55" s="63"/>
      <c r="AE55" s="63"/>
      <c r="AF55" s="63"/>
      <c r="AG55" s="63"/>
      <c r="AH55" s="63"/>
      <c r="AI55" s="63"/>
      <c r="AJ55" s="63"/>
      <c r="AK55" s="63"/>
      <c r="AL55" s="63"/>
      <c r="AM55" s="63"/>
      <c r="AN55" s="63"/>
      <c r="AO55" s="63"/>
    </row>
    <row r="56" spans="1:41" ht="15.75" customHeight="1" x14ac:dyDescent="0.2">
      <c r="A56" s="65" t="s">
        <v>152</v>
      </c>
      <c r="B56" s="243">
        <f>('Pivot Table for Data Exchange'!$C$438)*100</f>
        <v>83.239063037609213</v>
      </c>
      <c r="C56" s="243">
        <f>('Pivot Table for Data Exchange'!$C$441)*100</f>
        <v>1.7127944846870695</v>
      </c>
      <c r="D56" s="249">
        <f>SUM(E56:G56)</f>
        <v>14.401054419477633</v>
      </c>
      <c r="E56" s="243">
        <f>('Pivot Table for Data Exchange'!$C$444)*100</f>
        <v>5.0797641391790025</v>
      </c>
      <c r="F56" s="67">
        <f>('Pivot Table for Data Exchange'!$C$447)*100</f>
        <v>1.3653567130948632E-2</v>
      </c>
      <c r="G56" s="245">
        <f>('Pivot Table for Data Exchange'!$C$450)*100</f>
        <v>9.3076367131676818</v>
      </c>
      <c r="H56" s="243">
        <f>('Pivot Table for Data Exchange'!$C$453)*100</f>
        <v>0.64708805822609217</v>
      </c>
      <c r="I56" s="87" t="s">
        <v>152</v>
      </c>
      <c r="J56" s="243">
        <f>('Pivot Table for Data Exchange'!$C$456)*100</f>
        <v>74.088803361442274</v>
      </c>
      <c r="K56" s="243">
        <f>('Pivot Table for Data Exchange'!$C$459)*100</f>
        <v>0.70910244245737519</v>
      </c>
      <c r="L56" s="249">
        <f>SUM(M56:O56)</f>
        <v>19.86869440295651</v>
      </c>
      <c r="M56" s="243">
        <f>('Pivot Table for Data Exchange'!$C$462)*100</f>
        <v>16.237555845526035</v>
      </c>
      <c r="N56" s="243">
        <f>('Pivot Table for Data Exchange'!$C$465)*100</f>
        <v>7.8327633811191219E-2</v>
      </c>
      <c r="O56" s="245">
        <f>('Pivot Table for Data Exchange'!$C$468)*100</f>
        <v>3.5528109236192824</v>
      </c>
      <c r="P56" s="243">
        <f>('Pivot Table for Data Exchange'!$C$471)*100</f>
        <v>5.3333997931438395</v>
      </c>
      <c r="Q56" s="97">
        <f t="shared" si="3"/>
        <v>100</v>
      </c>
      <c r="R56" s="97">
        <f t="shared" si="2"/>
        <v>100</v>
      </c>
      <c r="S56" s="63"/>
      <c r="T56" s="63"/>
      <c r="U56" s="63"/>
      <c r="V56" s="63"/>
      <c r="W56" s="63"/>
      <c r="X56" s="63"/>
      <c r="Y56" s="63"/>
      <c r="Z56" s="63"/>
      <c r="AA56" s="63"/>
      <c r="AB56" s="63"/>
      <c r="AC56" s="63"/>
      <c r="AD56" s="63"/>
      <c r="AE56" s="63"/>
      <c r="AF56" s="63"/>
      <c r="AG56" s="63"/>
      <c r="AH56" s="63"/>
      <c r="AI56" s="63"/>
      <c r="AJ56" s="63"/>
      <c r="AK56" s="63"/>
      <c r="AL56" s="63"/>
      <c r="AM56" s="63"/>
      <c r="AN56" s="63"/>
      <c r="AO56" s="63"/>
    </row>
    <row r="57" spans="1:41" ht="15.75" customHeight="1" x14ac:dyDescent="0.2">
      <c r="A57" s="65" t="s">
        <v>153</v>
      </c>
      <c r="B57" s="243">
        <f>('Pivot Table for Data Exchange'!$C$474)*100</f>
        <v>90.706985405528229</v>
      </c>
      <c r="C57" s="243">
        <f>('Pivot Table for Data Exchange'!$C$477)*100</f>
        <v>0.54571259793499094</v>
      </c>
      <c r="D57" s="249">
        <f>SUM(E57:G57)</f>
        <v>8.7473019965367769</v>
      </c>
      <c r="E57" s="243">
        <f>('Pivot Table for Data Exchange'!$C$480)*100</f>
        <v>8.5224596884311783</v>
      </c>
      <c r="F57" s="61">
        <f>('Pivot Table for Data Exchange'!$C$483)*100</f>
        <v>1.7625029209221794E-3</v>
      </c>
      <c r="G57" s="245">
        <f>('Pivot Table for Data Exchange'!$C$486)*100</f>
        <v>0.22307980518467713</v>
      </c>
      <c r="H57" s="243">
        <f>('Pivot Table for Data Exchange'!$C$489)*100</f>
        <v>0</v>
      </c>
      <c r="I57" s="87" t="s">
        <v>153</v>
      </c>
      <c r="J57" s="243">
        <f>('Pivot Table for Data Exchange'!$C$492)*100</f>
        <v>85.580911005415317</v>
      </c>
      <c r="K57" s="243">
        <f>('Pivot Table for Data Exchange'!$C$495)*100</f>
        <v>2.0182086473166958</v>
      </c>
      <c r="L57" s="249">
        <f>SUM(M57:O57)</f>
        <v>12.400880347267986</v>
      </c>
      <c r="M57" s="243">
        <f>('Pivot Table for Data Exchange'!$C$498)*100</f>
        <v>11.949872496490071</v>
      </c>
      <c r="N57" s="67">
        <f>('Pivot Table for Data Exchange'!$C$501)*100</f>
        <v>2.5249992836881466E-2</v>
      </c>
      <c r="O57" s="245">
        <f>('Pivot Table for Data Exchange'!$C$504)*100</f>
        <v>0.42575785794103321</v>
      </c>
      <c r="P57" s="243">
        <f>('Pivot Table for Data Exchange'!$C$507)*100</f>
        <v>0</v>
      </c>
      <c r="Q57" s="97">
        <f t="shared" si="3"/>
        <v>100</v>
      </c>
      <c r="R57" s="97">
        <f t="shared" si="2"/>
        <v>100</v>
      </c>
      <c r="S57" s="63"/>
      <c r="T57" s="63"/>
      <c r="U57" s="63"/>
      <c r="V57" s="63"/>
      <c r="W57" s="63"/>
      <c r="X57" s="63"/>
      <c r="Y57" s="63"/>
      <c r="Z57" s="63"/>
      <c r="AA57" s="63"/>
      <c r="AB57" s="63"/>
      <c r="AC57" s="63"/>
      <c r="AD57" s="63"/>
      <c r="AE57" s="63"/>
      <c r="AF57" s="63"/>
      <c r="AG57" s="63"/>
      <c r="AH57" s="63"/>
      <c r="AI57" s="63"/>
      <c r="AJ57" s="63"/>
      <c r="AK57" s="63"/>
      <c r="AL57" s="63"/>
      <c r="AM57" s="63"/>
      <c r="AN57" s="63"/>
      <c r="AO57" s="63"/>
    </row>
    <row r="58" spans="1:41" ht="15.75" customHeight="1" x14ac:dyDescent="0.2">
      <c r="A58" s="65" t="s">
        <v>154</v>
      </c>
      <c r="B58" s="243">
        <f>('Pivot Table for Data Exchange'!$C$510)*100</f>
        <v>93.168968594118724</v>
      </c>
      <c r="C58" s="243">
        <f>('Pivot Table for Data Exchange'!$C$513)*100</f>
        <v>2.493947640704524</v>
      </c>
      <c r="D58" s="249">
        <f t="shared" ref="D58" si="10">SUM(E58:G58)</f>
        <v>4.3370837651767573</v>
      </c>
      <c r="E58" s="243">
        <f>('Pivot Table for Data Exchange'!$C$516)*100</f>
        <v>2.7018221062778132</v>
      </c>
      <c r="F58" s="243">
        <f>('Pivot Table for Data Exchange'!$C$519)*100</f>
        <v>1.6352616588989444</v>
      </c>
      <c r="G58" s="245">
        <f>('Pivot Table for Data Exchange'!$C$522)*100</f>
        <v>0</v>
      </c>
      <c r="H58" s="243">
        <f>('Pivot Table for Data Exchange'!$C$525)*100</f>
        <v>0</v>
      </c>
      <c r="I58" s="87" t="s">
        <v>154</v>
      </c>
      <c r="J58" s="243">
        <f>('Pivot Table for Data Exchange'!$C$528)*100</f>
        <v>78.75454172587655</v>
      </c>
      <c r="K58" s="243">
        <f>('Pivot Table for Data Exchange'!$C$531)*100</f>
        <v>12.527913229731578</v>
      </c>
      <c r="L58" s="249">
        <f t="shared" ref="L58" si="11">SUM(M58:O58)</f>
        <v>8.7175450443918745</v>
      </c>
      <c r="M58" s="243">
        <f>('Pivot Table for Data Exchange'!$C$534)*100</f>
        <v>5.4436080257526731</v>
      </c>
      <c r="N58" s="243">
        <f>('Pivot Table for Data Exchange'!$C$537)*100</f>
        <v>3.2739370186392018</v>
      </c>
      <c r="O58" s="245">
        <f>('Pivot Table for Data Exchange'!$C$540)*100</f>
        <v>0</v>
      </c>
      <c r="P58" s="243">
        <f>('Pivot Table for Data Exchange'!$C$543)*100</f>
        <v>0</v>
      </c>
      <c r="Q58" s="97">
        <f t="shared" si="3"/>
        <v>100</v>
      </c>
      <c r="R58" s="97">
        <f t="shared" si="2"/>
        <v>100</v>
      </c>
      <c r="S58" s="63"/>
      <c r="T58" s="63"/>
      <c r="U58" s="63"/>
      <c r="V58" s="63"/>
      <c r="W58" s="63"/>
      <c r="X58" s="63"/>
      <c r="Y58" s="63"/>
      <c r="Z58" s="63"/>
      <c r="AA58" s="63"/>
      <c r="AB58" s="63"/>
      <c r="AC58" s="63"/>
      <c r="AD58" s="63"/>
      <c r="AE58" s="63"/>
      <c r="AF58" s="63"/>
      <c r="AG58" s="63"/>
      <c r="AH58" s="63"/>
      <c r="AI58" s="63"/>
      <c r="AJ58" s="63"/>
      <c r="AK58" s="63"/>
      <c r="AL58" s="63"/>
      <c r="AM58" s="63"/>
      <c r="AN58" s="63"/>
      <c r="AO58" s="63"/>
    </row>
    <row r="59" spans="1:41" ht="15.75" customHeight="1" x14ac:dyDescent="0.2">
      <c r="A59" s="39" t="s">
        <v>155</v>
      </c>
      <c r="B59" s="246">
        <f>('Pivot Table for Data Exchange'!$C$546)*100</f>
        <v>92.581622542563352</v>
      </c>
      <c r="C59" s="246">
        <f>('Pivot Table for Data Exchange'!$C$549)*100</f>
        <v>0.23154581374835365</v>
      </c>
      <c r="D59" s="250">
        <f>SUM(E59:G59)</f>
        <v>7.1868316436882997</v>
      </c>
      <c r="E59" s="246">
        <f>('Pivot Table for Data Exchange'!$C$552)*100</f>
        <v>6.7847605698473883</v>
      </c>
      <c r="F59" s="606">
        <f>('Pivot Table for Data Exchange'!$C$555)*100</f>
        <v>3.6249833854928165E-3</v>
      </c>
      <c r="G59" s="247">
        <f>('Pivot Table for Data Exchange'!$C$558)*100</f>
        <v>0.39844609045541873</v>
      </c>
      <c r="H59" s="246">
        <f>('Pivot Table for Data Exchange'!$C$561)*100</f>
        <v>0</v>
      </c>
      <c r="I59" s="252" t="s">
        <v>155</v>
      </c>
      <c r="J59" s="246">
        <f>('Pivot Table for Data Exchange'!$C$564)*100</f>
        <v>65.562990824540563</v>
      </c>
      <c r="K59" s="246">
        <f>('Pivot Table for Data Exchange'!$C$567)*100</f>
        <v>8.9806931179587064</v>
      </c>
      <c r="L59" s="250">
        <f>SUM(M59:O59)</f>
        <v>25.456316057500739</v>
      </c>
      <c r="M59" s="246">
        <f>('Pivot Table for Data Exchange'!$C$570)*100</f>
        <v>24.552171465839955</v>
      </c>
      <c r="N59" s="246">
        <f>('Pivot Table for Data Exchange'!$C$573)*100</f>
        <v>0.741541512923371</v>
      </c>
      <c r="O59" s="247">
        <f>('Pivot Table for Data Exchange'!$C$576)*100</f>
        <v>0.16260307873741389</v>
      </c>
      <c r="P59" s="246">
        <f>('Pivot Table for Data Exchange'!$C$579)*100</f>
        <v>0</v>
      </c>
      <c r="Q59" s="97">
        <f t="shared" si="3"/>
        <v>100</v>
      </c>
      <c r="R59" s="97">
        <f t="shared" si="2"/>
        <v>100.00000000000001</v>
      </c>
      <c r="S59" s="63"/>
      <c r="T59" s="63"/>
      <c r="U59" s="63"/>
      <c r="V59" s="63"/>
      <c r="W59" s="63"/>
      <c r="X59" s="63"/>
      <c r="Y59" s="63"/>
      <c r="Z59" s="63"/>
      <c r="AA59" s="63"/>
      <c r="AB59" s="63"/>
      <c r="AC59" s="63"/>
      <c r="AD59" s="63"/>
      <c r="AE59" s="63"/>
      <c r="AF59" s="63"/>
      <c r="AG59" s="63"/>
      <c r="AH59" s="63"/>
      <c r="AI59" s="63"/>
      <c r="AJ59" s="63"/>
      <c r="AK59" s="63"/>
      <c r="AL59" s="63"/>
      <c r="AM59" s="63"/>
      <c r="AN59" s="63"/>
      <c r="AO59" s="63"/>
    </row>
    <row r="60" spans="1:41" s="25" customFormat="1" ht="18" customHeight="1" x14ac:dyDescent="0.2">
      <c r="A60" s="24" t="s">
        <v>175</v>
      </c>
      <c r="B60" s="69"/>
      <c r="C60" s="69"/>
      <c r="D60" s="70"/>
      <c r="E60" s="69"/>
      <c r="F60" s="70"/>
      <c r="G60" s="70"/>
      <c r="H60" s="69"/>
      <c r="I60" s="24" t="s">
        <v>175</v>
      </c>
      <c r="J60" s="69"/>
      <c r="K60" s="69"/>
      <c r="L60" s="70"/>
      <c r="M60" s="69"/>
      <c r="N60" s="70"/>
      <c r="O60" s="70"/>
      <c r="P60" s="69"/>
      <c r="Q60" s="97"/>
      <c r="R60" s="97"/>
      <c r="S60" s="71"/>
      <c r="T60" s="71"/>
      <c r="U60" s="71"/>
      <c r="V60" s="71"/>
      <c r="W60" s="71"/>
      <c r="X60" s="71"/>
      <c r="Y60" s="71"/>
      <c r="Z60" s="71"/>
      <c r="AA60" s="71"/>
      <c r="AB60" s="71"/>
      <c r="AC60" s="71"/>
      <c r="AD60" s="71"/>
      <c r="AE60" s="71"/>
      <c r="AF60" s="71"/>
      <c r="AG60" s="71"/>
      <c r="AH60" s="71"/>
      <c r="AI60" s="71"/>
      <c r="AJ60" s="71"/>
      <c r="AK60" s="71"/>
      <c r="AL60" s="71"/>
      <c r="AM60" s="71"/>
      <c r="AN60" s="71"/>
      <c r="AO60" s="71"/>
    </row>
    <row r="61" spans="1:41" s="25" customFormat="1" ht="24" customHeight="1" x14ac:dyDescent="0.2">
      <c r="A61" s="666" t="s">
        <v>178</v>
      </c>
      <c r="B61" s="687"/>
      <c r="C61" s="687"/>
      <c r="D61" s="687"/>
      <c r="E61" s="687"/>
      <c r="F61" s="687"/>
      <c r="G61" s="687"/>
      <c r="H61" s="687"/>
      <c r="I61" s="666" t="s">
        <v>178</v>
      </c>
      <c r="J61" s="687"/>
      <c r="K61" s="687"/>
      <c r="L61" s="687"/>
      <c r="M61" s="687"/>
      <c r="N61" s="687"/>
      <c r="O61" s="687"/>
      <c r="P61" s="687"/>
      <c r="Q61" s="97"/>
      <c r="R61" s="97"/>
    </row>
    <row r="62" spans="1:41" s="25" customFormat="1" ht="13.5" customHeight="1" x14ac:dyDescent="0.2">
      <c r="A62" s="75"/>
      <c r="B62" s="76"/>
      <c r="H62" s="26"/>
      <c r="I62" s="75"/>
      <c r="P62" s="77"/>
      <c r="Q62" s="97"/>
      <c r="R62" s="97"/>
    </row>
    <row r="63" spans="1:41" s="25" customFormat="1" ht="13.5" customHeight="1" x14ac:dyDescent="0.2">
      <c r="H63" s="27" t="s">
        <v>914</v>
      </c>
      <c r="P63" s="27" t="s">
        <v>914</v>
      </c>
      <c r="Q63" s="97"/>
      <c r="R63" s="97"/>
    </row>
    <row r="64" spans="1:41" ht="18" x14ac:dyDescent="0.25">
      <c r="A64" s="16" t="s">
        <v>203</v>
      </c>
      <c r="B64" s="34"/>
      <c r="C64" s="34"/>
      <c r="D64" s="34"/>
      <c r="E64" s="34"/>
      <c r="F64" s="34"/>
      <c r="G64" s="34"/>
      <c r="H64" s="35"/>
      <c r="I64" s="16" t="s">
        <v>218</v>
      </c>
      <c r="J64" s="19"/>
      <c r="K64" s="19"/>
      <c r="L64" s="34"/>
      <c r="M64" s="19"/>
      <c r="N64" s="19"/>
      <c r="O64" s="19"/>
      <c r="P64" s="19"/>
      <c r="Q64" s="97"/>
      <c r="R64" s="97"/>
    </row>
    <row r="65" spans="1:41" x14ac:dyDescent="0.2">
      <c r="A65" s="18"/>
      <c r="B65" s="19"/>
      <c r="C65" s="19"/>
      <c r="D65" s="19"/>
      <c r="E65" s="19"/>
      <c r="F65" s="19"/>
      <c r="G65" s="19"/>
      <c r="H65" s="36"/>
      <c r="I65" s="18"/>
      <c r="J65" s="19"/>
      <c r="K65" s="19"/>
      <c r="L65" s="19"/>
      <c r="M65" s="19"/>
      <c r="N65" s="19"/>
      <c r="O65" s="19"/>
      <c r="P65" s="19"/>
      <c r="Q65" s="97"/>
      <c r="R65" s="97"/>
    </row>
    <row r="66" spans="1:41" ht="15.75" x14ac:dyDescent="0.25">
      <c r="A66" s="37" t="s">
        <v>162</v>
      </c>
      <c r="B66" s="19"/>
      <c r="C66" s="19"/>
      <c r="D66" s="19"/>
      <c r="E66" s="19"/>
      <c r="F66" s="19"/>
      <c r="G66" s="19"/>
      <c r="H66" s="36"/>
      <c r="I66" s="37" t="s">
        <v>163</v>
      </c>
      <c r="J66" s="19"/>
      <c r="K66" s="19"/>
      <c r="L66" s="19"/>
      <c r="M66" s="19"/>
      <c r="N66" s="19"/>
      <c r="O66" s="19"/>
      <c r="P66" s="19"/>
      <c r="Q66" s="97"/>
      <c r="R66" s="97"/>
    </row>
    <row r="67" spans="1:41" ht="15.75" x14ac:dyDescent="0.25">
      <c r="A67" s="37" t="s">
        <v>242</v>
      </c>
      <c r="B67" s="19"/>
      <c r="C67" s="19"/>
      <c r="D67" s="19"/>
      <c r="E67" s="19"/>
      <c r="F67" s="19"/>
      <c r="G67" s="19"/>
      <c r="H67" s="36"/>
      <c r="I67" s="37" t="s">
        <v>242</v>
      </c>
      <c r="J67" s="19"/>
      <c r="K67" s="19"/>
      <c r="L67" s="19"/>
      <c r="M67" s="19"/>
      <c r="N67" s="19"/>
      <c r="O67" s="19"/>
      <c r="P67" s="19"/>
      <c r="Q67" s="97"/>
      <c r="R67" s="97"/>
    </row>
    <row r="68" spans="1:41" x14ac:dyDescent="0.2">
      <c r="A68" s="39"/>
      <c r="B68" s="40"/>
      <c r="C68" s="40"/>
      <c r="D68" s="40"/>
      <c r="E68" s="40"/>
      <c r="F68" s="40"/>
      <c r="G68" s="40"/>
      <c r="H68" s="40"/>
      <c r="I68" s="41"/>
      <c r="L68" s="42"/>
      <c r="P68" s="39"/>
      <c r="Q68" s="97"/>
      <c r="R68" s="97"/>
    </row>
    <row r="69" spans="1:41" s="48" customFormat="1" x14ac:dyDescent="0.2">
      <c r="A69" s="43"/>
      <c r="B69" s="44" t="s">
        <v>164</v>
      </c>
      <c r="C69" s="44"/>
      <c r="D69" s="44"/>
      <c r="E69" s="44"/>
      <c r="F69" s="44"/>
      <c r="G69" s="44"/>
      <c r="H69" s="45"/>
      <c r="I69" s="43"/>
      <c r="J69" s="44" t="s">
        <v>164</v>
      </c>
      <c r="K69" s="44"/>
      <c r="L69" s="44"/>
      <c r="M69" s="44"/>
      <c r="N69" s="44"/>
      <c r="O69" s="44"/>
      <c r="P69" s="45"/>
      <c r="Q69" s="97"/>
      <c r="R69" s="97"/>
    </row>
    <row r="70" spans="1:41" s="48" customFormat="1" x14ac:dyDescent="0.2">
      <c r="A70" s="43"/>
      <c r="B70" s="44" t="s">
        <v>165</v>
      </c>
      <c r="C70" s="44"/>
      <c r="D70" s="670" t="s">
        <v>166</v>
      </c>
      <c r="E70" s="668"/>
      <c r="F70" s="668"/>
      <c r="G70" s="668"/>
      <c r="H70" s="49" t="s">
        <v>39</v>
      </c>
      <c r="I70" s="43"/>
      <c r="J70" s="44" t="s">
        <v>165</v>
      </c>
      <c r="K70" s="44"/>
      <c r="L70" s="670" t="s">
        <v>166</v>
      </c>
      <c r="M70" s="668"/>
      <c r="N70" s="668"/>
      <c r="O70" s="668"/>
      <c r="P70" s="49" t="s">
        <v>39</v>
      </c>
      <c r="Q70" s="97"/>
      <c r="R70" s="97"/>
    </row>
    <row r="71" spans="1:41" s="48" customFormat="1" ht="40.5" customHeight="1" x14ac:dyDescent="0.2">
      <c r="A71" s="43"/>
      <c r="B71" s="50" t="s">
        <v>167</v>
      </c>
      <c r="C71" s="51" t="s">
        <v>168</v>
      </c>
      <c r="D71" s="52" t="s">
        <v>169</v>
      </c>
      <c r="E71" s="53" t="s">
        <v>7</v>
      </c>
      <c r="F71" s="50" t="s">
        <v>170</v>
      </c>
      <c r="G71" s="54" t="s">
        <v>171</v>
      </c>
      <c r="H71" s="55" t="s">
        <v>172</v>
      </c>
      <c r="I71" s="43"/>
      <c r="J71" s="50" t="s">
        <v>167</v>
      </c>
      <c r="K71" s="51" t="s">
        <v>168</v>
      </c>
      <c r="L71" s="52" t="s">
        <v>169</v>
      </c>
      <c r="M71" s="53" t="s">
        <v>7</v>
      </c>
      <c r="N71" s="50" t="s">
        <v>170</v>
      </c>
      <c r="O71" s="54" t="s">
        <v>171</v>
      </c>
      <c r="P71" s="55" t="s">
        <v>172</v>
      </c>
      <c r="Q71" s="97"/>
      <c r="R71" s="97"/>
      <c r="T71" s="73"/>
    </row>
    <row r="72" spans="1:41" ht="15.75" customHeight="1" x14ac:dyDescent="0.2">
      <c r="A72" s="62" t="s">
        <v>141</v>
      </c>
      <c r="B72" s="243">
        <f>('Pivot Table for Data Exchange'!$D$6)*100</f>
        <v>92.747553304080014</v>
      </c>
      <c r="C72" s="67">
        <f>('Pivot Table for Data Exchange'!$D$9)*100</f>
        <v>4.3285410200611225E-2</v>
      </c>
      <c r="D72" s="249">
        <f>SUM(E72:G72)</f>
        <v>7.2091612857193823</v>
      </c>
      <c r="E72" s="243">
        <f>('Pivot Table for Data Exchange'!$D$12)*100</f>
        <v>7.1756269844101173</v>
      </c>
      <c r="F72" s="67">
        <f>('Pivot Table for Data Exchange'!$D$15)*100</f>
        <v>3.3534301309264741E-2</v>
      </c>
      <c r="G72" s="60">
        <f>('Pivot Table for Data Exchange'!$D$18)*100</f>
        <v>0</v>
      </c>
      <c r="H72" s="243">
        <f>('Pivot Table for Data Exchange'!$D$21)*100</f>
        <v>0</v>
      </c>
      <c r="I72" s="251" t="s">
        <v>141</v>
      </c>
      <c r="J72" s="243">
        <f>('Pivot Table for Data Exchange'!$D$24)*100</f>
        <v>83.373493975903614</v>
      </c>
      <c r="K72" s="243">
        <f>('Pivot Table for Data Exchange'!$D$27)*100</f>
        <v>1.6896156052782558</v>
      </c>
      <c r="L72" s="249">
        <f>SUM(M72:O72)</f>
        <v>14.936890418818129</v>
      </c>
      <c r="M72" s="243">
        <f>('Pivot Table for Data Exchange'!$D$30)*100</f>
        <v>14.726047045324153</v>
      </c>
      <c r="N72" s="243">
        <f>('Pivot Table for Data Exchange'!$D$33)*100</f>
        <v>0.21084337349397592</v>
      </c>
      <c r="O72" s="60">
        <f>('Pivot Table for Data Exchange'!$D$36)*100</f>
        <v>0</v>
      </c>
      <c r="P72" s="243">
        <f>('Pivot Table for Data Exchange'!$D$39)*100</f>
        <v>0</v>
      </c>
      <c r="Q72" s="97">
        <f t="shared" si="3"/>
        <v>100</v>
      </c>
      <c r="R72" s="97">
        <f t="shared" si="2"/>
        <v>99.999999999999986</v>
      </c>
      <c r="S72" s="63"/>
      <c r="T72" s="63"/>
      <c r="U72" s="63"/>
      <c r="V72" s="63"/>
      <c r="W72" s="63"/>
      <c r="X72" s="63"/>
      <c r="Y72" s="63"/>
      <c r="Z72" s="63"/>
      <c r="AA72" s="63"/>
      <c r="AB72" s="63"/>
      <c r="AC72" s="63"/>
      <c r="AD72" s="63"/>
      <c r="AE72" s="63"/>
      <c r="AF72" s="63"/>
      <c r="AG72" s="63"/>
      <c r="AH72" s="63"/>
      <c r="AI72" s="63"/>
      <c r="AJ72" s="63"/>
      <c r="AK72" s="63"/>
      <c r="AL72" s="63"/>
      <c r="AM72" s="63"/>
      <c r="AN72" s="63"/>
      <c r="AO72" s="63"/>
    </row>
    <row r="73" spans="1:41" ht="15.75" customHeight="1" x14ac:dyDescent="0.2">
      <c r="A73" s="65" t="s">
        <v>142</v>
      </c>
      <c r="B73" s="243">
        <f>('Pivot Table for Data Exchange'!$D$42)*100</f>
        <v>0</v>
      </c>
      <c r="C73" s="243">
        <f>('Pivot Table for Data Exchange'!$D$45)*100</f>
        <v>0</v>
      </c>
      <c r="D73" s="249">
        <f t="shared" ref="D73:D75" si="12">SUM(E73:G73)</f>
        <v>0</v>
      </c>
      <c r="E73" s="243">
        <f>('Pivot Table for Data Exchange'!$D$48)*100</f>
        <v>0</v>
      </c>
      <c r="F73" s="243">
        <f>('Pivot Table for Data Exchange'!$D$51)*100</f>
        <v>0</v>
      </c>
      <c r="G73" s="245">
        <f>('Pivot Table for Data Exchange'!$D$54)*100</f>
        <v>0</v>
      </c>
      <c r="H73" s="243">
        <f>('Pivot Table for Data Exchange'!$D$57)*100</f>
        <v>0</v>
      </c>
      <c r="I73" s="87" t="s">
        <v>142</v>
      </c>
      <c r="J73" s="243">
        <f>('Pivot Table for Data Exchange'!$D$60)*100</f>
        <v>0</v>
      </c>
      <c r="K73" s="243">
        <f>('Pivot Table for Data Exchange'!$D$63)*100</f>
        <v>0</v>
      </c>
      <c r="L73" s="249">
        <f t="shared" ref="L73:L75" si="13">SUM(M73:O73)</f>
        <v>0</v>
      </c>
      <c r="M73" s="243">
        <f>('Pivot Table for Data Exchange'!$D$66)*100</f>
        <v>0</v>
      </c>
      <c r="N73" s="243">
        <f>('Pivot Table for Data Exchange'!$D$69)*100</f>
        <v>0</v>
      </c>
      <c r="O73" s="245">
        <f>('Pivot Table for Data Exchange'!$D$72)*100</f>
        <v>0</v>
      </c>
      <c r="P73" s="243">
        <f>('Pivot Table for Data Exchange'!$D$75)*100</f>
        <v>0</v>
      </c>
      <c r="Q73" s="97">
        <f t="shared" si="3"/>
        <v>0</v>
      </c>
      <c r="R73" s="97">
        <f t="shared" si="2"/>
        <v>0</v>
      </c>
      <c r="S73" s="63"/>
      <c r="T73" s="63"/>
      <c r="U73" s="63"/>
      <c r="V73" s="63"/>
      <c r="W73" s="63"/>
      <c r="X73" s="63"/>
      <c r="Y73" s="63"/>
      <c r="Z73" s="63"/>
      <c r="AA73" s="63"/>
      <c r="AB73" s="63"/>
      <c r="AC73" s="63"/>
      <c r="AD73" s="63"/>
      <c r="AE73" s="63"/>
      <c r="AF73" s="63"/>
      <c r="AG73" s="63"/>
      <c r="AH73" s="63"/>
      <c r="AI73" s="63"/>
      <c r="AJ73" s="63"/>
      <c r="AK73" s="63"/>
      <c r="AL73" s="63"/>
      <c r="AM73" s="63"/>
      <c r="AN73" s="63"/>
      <c r="AO73" s="63"/>
    </row>
    <row r="74" spans="1:41" ht="15.75" customHeight="1" x14ac:dyDescent="0.2">
      <c r="A74" s="65" t="s">
        <v>143</v>
      </c>
      <c r="B74" s="243">
        <f>('Pivot Table for Data Exchange'!$D$78)*100</f>
        <v>0</v>
      </c>
      <c r="C74" s="243">
        <f>('Pivot Table for Data Exchange'!$D$81)*100</f>
        <v>0</v>
      </c>
      <c r="D74" s="249">
        <f t="shared" si="12"/>
        <v>0</v>
      </c>
      <c r="E74" s="243">
        <f>('Pivot Table for Data Exchange'!$D$84)*100</f>
        <v>0</v>
      </c>
      <c r="F74" s="243">
        <f>('Pivot Table for Data Exchange'!$D$87)*100</f>
        <v>0</v>
      </c>
      <c r="G74" s="245">
        <f>('Pivot Table for Data Exchange'!$D$90)*100</f>
        <v>0</v>
      </c>
      <c r="H74" s="243">
        <f>('Pivot Table for Data Exchange'!$D$93)*100</f>
        <v>0</v>
      </c>
      <c r="I74" s="87" t="s">
        <v>143</v>
      </c>
      <c r="J74" s="243">
        <f>('Pivot Table for Data Exchange'!$D$96)*100</f>
        <v>0</v>
      </c>
      <c r="K74" s="243">
        <f>('Pivot Table for Data Exchange'!$D$99)*100</f>
        <v>0</v>
      </c>
      <c r="L74" s="249">
        <f t="shared" si="13"/>
        <v>0</v>
      </c>
      <c r="M74" s="243">
        <f>('Pivot Table for Data Exchange'!$D$102)*100</f>
        <v>0</v>
      </c>
      <c r="N74" s="243">
        <f>('Pivot Table for Data Exchange'!$D$105)*100</f>
        <v>0</v>
      </c>
      <c r="O74" s="245">
        <f>('Pivot Table for Data Exchange'!$D$108)*100</f>
        <v>0</v>
      </c>
      <c r="P74" s="243">
        <f>('Pivot Table for Data Exchange'!$D$111)*100</f>
        <v>0</v>
      </c>
      <c r="Q74" s="97">
        <f t="shared" si="3"/>
        <v>0</v>
      </c>
      <c r="R74" s="97">
        <f t="shared" si="2"/>
        <v>0</v>
      </c>
      <c r="S74" s="63"/>
      <c r="T74" s="74"/>
      <c r="U74" s="63"/>
      <c r="V74" s="63"/>
      <c r="W74" s="63"/>
      <c r="X74" s="63"/>
      <c r="Y74" s="63"/>
      <c r="Z74" s="63"/>
      <c r="AA74" s="63"/>
      <c r="AB74" s="63"/>
      <c r="AC74" s="63"/>
      <c r="AD74" s="63"/>
      <c r="AE74" s="63"/>
      <c r="AF74" s="63"/>
      <c r="AG74" s="63"/>
      <c r="AH74" s="63"/>
      <c r="AI74" s="63"/>
      <c r="AJ74" s="63"/>
      <c r="AK74" s="63"/>
      <c r="AL74" s="63"/>
      <c r="AM74" s="63"/>
      <c r="AN74" s="63"/>
      <c r="AO74" s="63"/>
    </row>
    <row r="75" spans="1:41" ht="15.75" customHeight="1" x14ac:dyDescent="0.2">
      <c r="A75" s="65" t="s">
        <v>174</v>
      </c>
      <c r="B75" s="243">
        <f>('Pivot Table for Data Exchange'!$D$114)*100</f>
        <v>75.568347627139275</v>
      </c>
      <c r="C75" s="243">
        <f>('Pivot Table for Data Exchange'!$D$117)*100</f>
        <v>16.966133435165929</v>
      </c>
      <c r="D75" s="249">
        <f t="shared" si="12"/>
        <v>7.4655189376947924</v>
      </c>
      <c r="E75" s="243">
        <f>('Pivot Table for Data Exchange'!$D$120)*100</f>
        <v>7.233894246402647</v>
      </c>
      <c r="F75" s="243">
        <f>('Pivot Table for Data Exchange'!$D$123)*100</f>
        <v>0</v>
      </c>
      <c r="G75" s="245">
        <f>('Pivot Table for Data Exchange'!$D$126)*100</f>
        <v>0.23162469129214561</v>
      </c>
      <c r="H75" s="243">
        <f>('Pivot Table for Data Exchange'!$D$129)*100</f>
        <v>0</v>
      </c>
      <c r="I75" s="87" t="s">
        <v>174</v>
      </c>
      <c r="J75" s="243">
        <f>('Pivot Table for Data Exchange'!$D$132)*100</f>
        <v>60.011711092441253</v>
      </c>
      <c r="K75" s="243">
        <f>('Pivot Table for Data Exchange'!$D$135)*100</f>
        <v>15.949998727055171</v>
      </c>
      <c r="L75" s="249">
        <f t="shared" si="13"/>
        <v>24.038290180503573</v>
      </c>
      <c r="M75" s="243">
        <f>('Pivot Table for Data Exchange'!$D$138)*100</f>
        <v>22.552763563227167</v>
      </c>
      <c r="N75" s="243">
        <f>('Pivot Table for Data Exchange'!$D$141)*100</f>
        <v>0</v>
      </c>
      <c r="O75" s="245">
        <f>('Pivot Table for Data Exchange'!$D$144)*100</f>
        <v>1.4855266172764072</v>
      </c>
      <c r="P75" s="243">
        <f>('Pivot Table for Data Exchange'!$D$147)*100</f>
        <v>0</v>
      </c>
      <c r="Q75" s="97">
        <f t="shared" ref="Q75:Q138" si="14">SUM(B75,C75,D75,H75)</f>
        <v>100</v>
      </c>
      <c r="R75" s="97">
        <f t="shared" ref="R75:R138" si="15">SUM(J75,K75,L75,P75)</f>
        <v>100</v>
      </c>
      <c r="S75" s="63"/>
      <c r="U75" s="63"/>
      <c r="V75" s="63"/>
      <c r="W75" s="63"/>
      <c r="X75" s="63"/>
      <c r="Y75" s="63"/>
      <c r="Z75" s="63"/>
      <c r="AA75" s="63"/>
      <c r="AB75" s="63"/>
      <c r="AC75" s="63"/>
      <c r="AD75" s="63"/>
      <c r="AE75" s="63"/>
      <c r="AF75" s="63"/>
      <c r="AG75" s="63"/>
      <c r="AH75" s="63"/>
      <c r="AI75" s="63"/>
      <c r="AJ75" s="63"/>
      <c r="AK75" s="63"/>
      <c r="AL75" s="63"/>
      <c r="AM75" s="63"/>
      <c r="AN75" s="63"/>
      <c r="AO75" s="63"/>
    </row>
    <row r="76" spans="1:41" ht="9" customHeight="1" x14ac:dyDescent="0.2">
      <c r="A76" s="65"/>
      <c r="B76" s="243"/>
      <c r="C76" s="243"/>
      <c r="D76" s="249"/>
      <c r="E76" s="243"/>
      <c r="F76" s="243"/>
      <c r="G76" s="245"/>
      <c r="H76" s="243"/>
      <c r="I76" s="87"/>
      <c r="J76" s="243"/>
      <c r="K76" s="243"/>
      <c r="L76" s="249"/>
      <c r="M76" s="243"/>
      <c r="N76" s="243"/>
      <c r="O76" s="245"/>
      <c r="P76" s="243"/>
      <c r="Q76" s="97">
        <f t="shared" si="14"/>
        <v>0</v>
      </c>
      <c r="R76" s="97">
        <f t="shared" si="15"/>
        <v>0</v>
      </c>
      <c r="S76" s="63"/>
      <c r="U76" s="63"/>
      <c r="V76" s="63"/>
      <c r="W76" s="63"/>
      <c r="X76" s="63"/>
      <c r="Y76" s="63"/>
      <c r="Z76" s="63"/>
      <c r="AA76" s="63"/>
      <c r="AB76" s="63"/>
      <c r="AC76" s="63"/>
      <c r="AD76" s="63"/>
      <c r="AE76" s="63"/>
      <c r="AF76" s="63"/>
      <c r="AG76" s="63"/>
      <c r="AH76" s="63"/>
      <c r="AI76" s="63"/>
      <c r="AJ76" s="63"/>
      <c r="AK76" s="63"/>
      <c r="AL76" s="63"/>
      <c r="AM76" s="63"/>
      <c r="AN76" s="63"/>
      <c r="AO76" s="63"/>
    </row>
    <row r="77" spans="1:41" ht="15.75" customHeight="1" x14ac:dyDescent="0.2">
      <c r="A77" s="65" t="s">
        <v>145</v>
      </c>
      <c r="B77" s="243">
        <f>('Pivot Table for Data Exchange'!$D$150)*100</f>
        <v>0</v>
      </c>
      <c r="C77" s="243">
        <f>('Pivot Table for Data Exchange'!$D$153)*100</f>
        <v>0</v>
      </c>
      <c r="D77" s="249">
        <f t="shared" ref="D77:D80" si="16">SUM(E77:G77)</f>
        <v>0</v>
      </c>
      <c r="E77" s="243">
        <f>('Pivot Table for Data Exchange'!$D$156)*100</f>
        <v>0</v>
      </c>
      <c r="F77" s="243">
        <f>('Pivot Table for Data Exchange'!$D$159)*100</f>
        <v>0</v>
      </c>
      <c r="G77" s="245">
        <f>('Pivot Table for Data Exchange'!$D$162)*100</f>
        <v>0</v>
      </c>
      <c r="H77" s="243">
        <f>('Pivot Table for Data Exchange'!$D$165)*100</f>
        <v>0</v>
      </c>
      <c r="I77" s="87" t="s">
        <v>145</v>
      </c>
      <c r="J77" s="243">
        <f>('Pivot Table for Data Exchange'!$D$168)*100</f>
        <v>0</v>
      </c>
      <c r="K77" s="243">
        <f>('Pivot Table for Data Exchange'!$D$171)*100</f>
        <v>0</v>
      </c>
      <c r="L77" s="249">
        <f t="shared" ref="L77:L80" si="17">SUM(M77:O77)</f>
        <v>0</v>
      </c>
      <c r="M77" s="243">
        <f>('Pivot Table for Data Exchange'!$D$174)*100</f>
        <v>0</v>
      </c>
      <c r="N77" s="243">
        <f>('Pivot Table for Data Exchange'!$D$177)*100</f>
        <v>0</v>
      </c>
      <c r="O77" s="245">
        <f>('Pivot Table for Data Exchange'!$D$180)*100</f>
        <v>0</v>
      </c>
      <c r="P77" s="243">
        <f>('Pivot Table for Data Exchange'!$D$183)*100</f>
        <v>0</v>
      </c>
      <c r="Q77" s="97">
        <f t="shared" si="14"/>
        <v>0</v>
      </c>
      <c r="R77" s="97">
        <f t="shared" si="15"/>
        <v>0</v>
      </c>
      <c r="S77" s="63"/>
      <c r="T77" s="63"/>
      <c r="U77" s="63"/>
      <c r="V77" s="63"/>
      <c r="W77" s="63"/>
      <c r="X77" s="63"/>
      <c r="Y77" s="63"/>
      <c r="Z77" s="63"/>
      <c r="AA77" s="63"/>
      <c r="AB77" s="63"/>
      <c r="AC77" s="63"/>
      <c r="AD77" s="63"/>
      <c r="AE77" s="63"/>
      <c r="AF77" s="63"/>
      <c r="AG77" s="63"/>
      <c r="AH77" s="63"/>
      <c r="AI77" s="63"/>
      <c r="AJ77" s="63"/>
      <c r="AK77" s="63"/>
      <c r="AL77" s="63"/>
      <c r="AM77" s="63"/>
      <c r="AN77" s="63"/>
      <c r="AO77" s="63"/>
    </row>
    <row r="78" spans="1:41" ht="15.75" customHeight="1" x14ac:dyDescent="0.2">
      <c r="A78" s="65" t="s">
        <v>146</v>
      </c>
      <c r="B78" s="243">
        <f>('Pivot Table for Data Exchange'!$D$186)*100</f>
        <v>0</v>
      </c>
      <c r="C78" s="243">
        <f>('Pivot Table for Data Exchange'!$D$189)*100</f>
        <v>0</v>
      </c>
      <c r="D78" s="249">
        <f t="shared" si="16"/>
        <v>0</v>
      </c>
      <c r="E78" s="243">
        <f>('Pivot Table for Data Exchange'!$D$192)*100</f>
        <v>0</v>
      </c>
      <c r="F78" s="243">
        <f>('Pivot Table for Data Exchange'!$D$195)*100</f>
        <v>0</v>
      </c>
      <c r="G78" s="245">
        <f>('Pivot Table for Data Exchange'!$D$198)*100</f>
        <v>0</v>
      </c>
      <c r="H78" s="243">
        <f>('Pivot Table for Data Exchange'!$D$201)*100</f>
        <v>0</v>
      </c>
      <c r="I78" s="87" t="s">
        <v>146</v>
      </c>
      <c r="J78" s="243">
        <f>('Pivot Table for Data Exchange'!$D$204)*100</f>
        <v>0</v>
      </c>
      <c r="K78" s="243">
        <f>('Pivot Table for Data Exchange'!$D$207)*100</f>
        <v>0</v>
      </c>
      <c r="L78" s="249">
        <f t="shared" si="17"/>
        <v>0</v>
      </c>
      <c r="M78" s="243">
        <f>('Pivot Table for Data Exchange'!$D$210)*100</f>
        <v>0</v>
      </c>
      <c r="N78" s="243">
        <f>('Pivot Table for Data Exchange'!$D$213)*100</f>
        <v>0</v>
      </c>
      <c r="O78" s="245">
        <f>('Pivot Table for Data Exchange'!$D$216)*100</f>
        <v>0</v>
      </c>
      <c r="P78" s="243">
        <f>('Pivot Table for Data Exchange'!$D$219)*100</f>
        <v>0</v>
      </c>
      <c r="Q78" s="97">
        <f t="shared" si="14"/>
        <v>0</v>
      </c>
      <c r="R78" s="97">
        <f t="shared" si="15"/>
        <v>0</v>
      </c>
      <c r="S78" s="63"/>
      <c r="T78" s="63"/>
      <c r="U78" s="63"/>
      <c r="V78" s="63"/>
      <c r="W78" s="63"/>
      <c r="X78" s="63"/>
      <c r="Y78" s="63"/>
      <c r="Z78" s="63"/>
      <c r="AA78" s="63"/>
      <c r="AB78" s="63"/>
      <c r="AC78" s="63"/>
      <c r="AD78" s="63"/>
      <c r="AE78" s="63"/>
      <c r="AF78" s="63"/>
      <c r="AG78" s="63"/>
      <c r="AH78" s="63"/>
      <c r="AI78" s="63"/>
      <c r="AJ78" s="63"/>
      <c r="AK78" s="63"/>
      <c r="AL78" s="63"/>
      <c r="AM78" s="63"/>
      <c r="AN78" s="63"/>
      <c r="AO78" s="63"/>
    </row>
    <row r="79" spans="1:41" ht="15.75" customHeight="1" x14ac:dyDescent="0.2">
      <c r="A79" s="65" t="s">
        <v>147</v>
      </c>
      <c r="B79" s="243">
        <f>('Pivot Table for Data Exchange'!$D$222)*100</f>
        <v>0</v>
      </c>
      <c r="C79" s="243">
        <f>('Pivot Table for Data Exchange'!$D$225)*100</f>
        <v>0</v>
      </c>
      <c r="D79" s="249">
        <f t="shared" si="16"/>
        <v>0</v>
      </c>
      <c r="E79" s="243">
        <f>('Pivot Table for Data Exchange'!$D$228)*100</f>
        <v>0</v>
      </c>
      <c r="F79" s="243">
        <f>('Pivot Table for Data Exchange'!$D$231)*100</f>
        <v>0</v>
      </c>
      <c r="G79" s="245">
        <f>('Pivot Table for Data Exchange'!$D$234)*100</f>
        <v>0</v>
      </c>
      <c r="H79" s="243">
        <f>('Pivot Table for Data Exchange'!$D$237)*100</f>
        <v>0</v>
      </c>
      <c r="I79" s="87" t="s">
        <v>147</v>
      </c>
      <c r="J79" s="243">
        <f>('Pivot Table for Data Exchange'!$D$240)*100</f>
        <v>0</v>
      </c>
      <c r="K79" s="243">
        <f>('Pivot Table for Data Exchange'!$D$243)*100</f>
        <v>0</v>
      </c>
      <c r="L79" s="249">
        <f t="shared" si="17"/>
        <v>0</v>
      </c>
      <c r="M79" s="243">
        <f>('Pivot Table for Data Exchange'!$D$246)*100</f>
        <v>0</v>
      </c>
      <c r="N79" s="243">
        <f>('Pivot Table for Data Exchange'!$D$249)*100</f>
        <v>0</v>
      </c>
      <c r="O79" s="245">
        <f>('Pivot Table for Data Exchange'!$D$252)*100</f>
        <v>0</v>
      </c>
      <c r="P79" s="243">
        <f>('Pivot Table for Data Exchange'!$D$255)*100</f>
        <v>0</v>
      </c>
      <c r="Q79" s="97">
        <f t="shared" si="14"/>
        <v>0</v>
      </c>
      <c r="R79" s="97">
        <f t="shared" si="15"/>
        <v>0</v>
      </c>
      <c r="S79" s="63"/>
      <c r="T79" s="74"/>
      <c r="U79" s="63"/>
      <c r="V79" s="63"/>
      <c r="W79" s="63"/>
      <c r="X79" s="63"/>
      <c r="Y79" s="63"/>
      <c r="Z79" s="63"/>
      <c r="AA79" s="63"/>
      <c r="AB79" s="63"/>
      <c r="AC79" s="63"/>
      <c r="AD79" s="63"/>
      <c r="AE79" s="63"/>
      <c r="AF79" s="63"/>
      <c r="AG79" s="63"/>
      <c r="AH79" s="63"/>
      <c r="AI79" s="63"/>
      <c r="AJ79" s="63"/>
      <c r="AK79" s="63"/>
      <c r="AL79" s="63"/>
      <c r="AM79" s="63"/>
      <c r="AN79" s="63"/>
      <c r="AO79" s="63"/>
    </row>
    <row r="80" spans="1:41" ht="15.75" customHeight="1" x14ac:dyDescent="0.2">
      <c r="A80" s="65" t="s">
        <v>177</v>
      </c>
      <c r="B80" s="243">
        <f>('Pivot Table for Data Exchange'!$D$258)*100</f>
        <v>93.101797583174275</v>
      </c>
      <c r="C80" s="243">
        <f>('Pivot Table for Data Exchange'!$D$261)*100</f>
        <v>1.2137317597576218</v>
      </c>
      <c r="D80" s="249">
        <f t="shared" si="16"/>
        <v>5.6844706570681005</v>
      </c>
      <c r="E80" s="243">
        <f>('Pivot Table for Data Exchange'!$D$264)*100</f>
        <v>5.6844706570681005</v>
      </c>
      <c r="F80" s="243">
        <f>('Pivot Table for Data Exchange'!$D$267)*100</f>
        <v>0</v>
      </c>
      <c r="G80" s="245">
        <f>('Pivot Table for Data Exchange'!$D$270)*100</f>
        <v>0</v>
      </c>
      <c r="H80" s="243">
        <f>('Pivot Table for Data Exchange'!$D$273)*100</f>
        <v>0</v>
      </c>
      <c r="I80" s="87" t="s">
        <v>177</v>
      </c>
      <c r="J80" s="243">
        <f>('Pivot Table for Data Exchange'!$D$276)*100</f>
        <v>81.701603865444326</v>
      </c>
      <c r="K80" s="243">
        <f>('Pivot Table for Data Exchange'!$D$279)*100</f>
        <v>5.0136870533335784</v>
      </c>
      <c r="L80" s="249">
        <f t="shared" si="17"/>
        <v>13.284709081222099</v>
      </c>
      <c r="M80" s="243">
        <f>('Pivot Table for Data Exchange'!$D$282)*100</f>
        <v>13.284709081222099</v>
      </c>
      <c r="N80" s="243">
        <f>('Pivot Table for Data Exchange'!$D$285)*100</f>
        <v>0</v>
      </c>
      <c r="O80" s="245">
        <f>('Pivot Table for Data Exchange'!$D$288)*100</f>
        <v>0</v>
      </c>
      <c r="P80" s="243">
        <f>('Pivot Table for Data Exchange'!$D$291)*100</f>
        <v>0</v>
      </c>
      <c r="Q80" s="97">
        <f t="shared" si="14"/>
        <v>100</v>
      </c>
      <c r="R80" s="97">
        <f t="shared" si="15"/>
        <v>100.00000000000001</v>
      </c>
      <c r="S80" s="63"/>
      <c r="U80" s="63"/>
      <c r="V80" s="63"/>
      <c r="W80" s="63"/>
      <c r="X80" s="63"/>
      <c r="Y80" s="63"/>
      <c r="Z80" s="63"/>
      <c r="AA80" s="63"/>
      <c r="AB80" s="63"/>
      <c r="AC80" s="63"/>
      <c r="AD80" s="63"/>
      <c r="AE80" s="63"/>
      <c r="AF80" s="63"/>
      <c r="AG80" s="63"/>
      <c r="AH80" s="63"/>
      <c r="AI80" s="63"/>
      <c r="AJ80" s="63"/>
      <c r="AK80" s="63"/>
      <c r="AL80" s="63"/>
      <c r="AM80" s="63"/>
      <c r="AN80" s="63"/>
      <c r="AO80" s="63"/>
    </row>
    <row r="81" spans="1:41" ht="8.25" customHeight="1" x14ac:dyDescent="0.2">
      <c r="A81" s="65"/>
      <c r="B81" s="243"/>
      <c r="C81" s="243"/>
      <c r="D81" s="249"/>
      <c r="E81" s="243"/>
      <c r="F81" s="243"/>
      <c r="G81" s="245"/>
      <c r="H81" s="243"/>
      <c r="I81" s="87"/>
      <c r="J81" s="243"/>
      <c r="K81" s="243"/>
      <c r="L81" s="249"/>
      <c r="M81" s="243"/>
      <c r="N81" s="243"/>
      <c r="O81" s="245"/>
      <c r="P81" s="243"/>
      <c r="Q81" s="97">
        <f t="shared" si="14"/>
        <v>0</v>
      </c>
      <c r="R81" s="97">
        <f t="shared" si="15"/>
        <v>0</v>
      </c>
      <c r="S81" s="63"/>
      <c r="U81" s="63"/>
      <c r="V81" s="63"/>
      <c r="W81" s="63"/>
      <c r="X81" s="63"/>
      <c r="Y81" s="63"/>
      <c r="Z81" s="63"/>
      <c r="AA81" s="63"/>
      <c r="AB81" s="63"/>
      <c r="AC81" s="63"/>
      <c r="AD81" s="63"/>
      <c r="AE81" s="63"/>
      <c r="AF81" s="63"/>
      <c r="AG81" s="63"/>
      <c r="AH81" s="63"/>
      <c r="AI81" s="63"/>
      <c r="AJ81" s="63"/>
      <c r="AK81" s="63"/>
      <c r="AL81" s="63"/>
      <c r="AM81" s="63"/>
      <c r="AN81" s="63"/>
      <c r="AO81" s="63"/>
    </row>
    <row r="82" spans="1:41" ht="15.75" customHeight="1" x14ac:dyDescent="0.2">
      <c r="A82" s="65" t="s">
        <v>148</v>
      </c>
      <c r="B82" s="243">
        <f>('Pivot Table for Data Exchange'!$D$294)*100</f>
        <v>90.207811742030842</v>
      </c>
      <c r="C82" s="243">
        <f>('Pivot Table for Data Exchange'!$D$297)*100</f>
        <v>5.4787027963262611</v>
      </c>
      <c r="D82" s="249">
        <f t="shared" ref="D82:D84" si="18">SUM(E82:G82)</f>
        <v>4.3134854616428946</v>
      </c>
      <c r="E82" s="243">
        <f>('Pivot Table for Data Exchange'!$D$300)*100</f>
        <v>2.9648090690958577</v>
      </c>
      <c r="F82" s="243">
        <f>('Pivot Table for Data Exchange'!$D$303)*100</f>
        <v>1.3486763925470369</v>
      </c>
      <c r="G82" s="245">
        <f>('Pivot Table for Data Exchange'!$D$306)*100</f>
        <v>0</v>
      </c>
      <c r="H82" s="243">
        <f>('Pivot Table for Data Exchange'!$D$309)*100</f>
        <v>0</v>
      </c>
      <c r="I82" s="87" t="s">
        <v>148</v>
      </c>
      <c r="J82" s="243">
        <f>('Pivot Table for Data Exchange'!$D$312)*100</f>
        <v>85.763171487603302</v>
      </c>
      <c r="K82" s="243">
        <f>('Pivot Table for Data Exchange'!$D$315)*100</f>
        <v>8.14286329201102</v>
      </c>
      <c r="L82" s="249">
        <f t="shared" ref="L82:L84" si="19">SUM(M82:O82)</f>
        <v>6.0939652203856749</v>
      </c>
      <c r="M82" s="243">
        <f>('Pivot Table for Data Exchange'!$D$318)*100</f>
        <v>4.2957988980716255</v>
      </c>
      <c r="N82" s="243">
        <f>('Pivot Table for Data Exchange'!$D$321)*100</f>
        <v>1.7981663223140498</v>
      </c>
      <c r="O82" s="245">
        <f>('Pivot Table for Data Exchange'!$D$324)*100</f>
        <v>0</v>
      </c>
      <c r="P82" s="243">
        <f>('Pivot Table for Data Exchange'!$D$327)*100</f>
        <v>0</v>
      </c>
      <c r="Q82" s="97">
        <f t="shared" si="14"/>
        <v>100</v>
      </c>
      <c r="R82" s="97">
        <f t="shared" si="15"/>
        <v>99.999999999999986</v>
      </c>
      <c r="S82" s="63"/>
      <c r="T82" s="63"/>
      <c r="U82" s="63"/>
      <c r="V82" s="63"/>
      <c r="W82" s="63"/>
      <c r="X82" s="63"/>
      <c r="Y82" s="63"/>
      <c r="Z82" s="63"/>
      <c r="AA82" s="63"/>
      <c r="AB82" s="63"/>
      <c r="AC82" s="63"/>
      <c r="AD82" s="63"/>
      <c r="AE82" s="63"/>
      <c r="AF82" s="63"/>
      <c r="AG82" s="63"/>
      <c r="AH82" s="63"/>
      <c r="AI82" s="63"/>
      <c r="AJ82" s="63"/>
      <c r="AK82" s="63"/>
      <c r="AL82" s="63"/>
      <c r="AM82" s="63"/>
      <c r="AN82" s="63"/>
      <c r="AO82" s="63"/>
    </row>
    <row r="83" spans="1:41" ht="15.75" customHeight="1" x14ac:dyDescent="0.2">
      <c r="A83" s="65" t="s">
        <v>149</v>
      </c>
      <c r="B83" s="243">
        <f>('Pivot Table for Data Exchange'!$D$330)*100</f>
        <v>89.866539266601819</v>
      </c>
      <c r="C83" s="243">
        <f>('Pivot Table for Data Exchange'!$D$333)*100</f>
        <v>0.67898964416199514</v>
      </c>
      <c r="D83" s="249">
        <f t="shared" si="18"/>
        <v>9.4544710892361827</v>
      </c>
      <c r="E83" s="243">
        <f>('Pivot Table for Data Exchange'!$D$336)*100</f>
        <v>9.4534399736034391</v>
      </c>
      <c r="F83" s="61">
        <f>('Pivot Table for Data Exchange'!$D$339)*100</f>
        <v>1.031115632744108E-3</v>
      </c>
      <c r="G83" s="245">
        <f>('Pivot Table for Data Exchange'!$D$342)*100</f>
        <v>0</v>
      </c>
      <c r="H83" s="243">
        <f>('Pivot Table for Data Exchange'!$D$345)*100</f>
        <v>0</v>
      </c>
      <c r="I83" s="87" t="s">
        <v>149</v>
      </c>
      <c r="J83" s="243">
        <f>('Pivot Table for Data Exchange'!$D$348)*100</f>
        <v>65.016349363685038</v>
      </c>
      <c r="K83" s="243">
        <f>('Pivot Table for Data Exchange'!$D$351)*100</f>
        <v>5.4249125565391756</v>
      </c>
      <c r="L83" s="249">
        <f t="shared" si="19"/>
        <v>29.558738079775779</v>
      </c>
      <c r="M83" s="243">
        <f>('Pivot Table for Data Exchange'!$D$354)*100</f>
        <v>29.543357145298561</v>
      </c>
      <c r="N83" s="67">
        <f>('Pivot Table for Data Exchange'!$D$357)*100</f>
        <v>1.5380934477219128E-2</v>
      </c>
      <c r="O83" s="245">
        <f>('Pivot Table for Data Exchange'!$D$360)*100</f>
        <v>0</v>
      </c>
      <c r="P83" s="243">
        <f>('Pivot Table for Data Exchange'!$D$363)*100</f>
        <v>0</v>
      </c>
      <c r="Q83" s="97">
        <f t="shared" si="14"/>
        <v>100</v>
      </c>
      <c r="R83" s="97">
        <f t="shared" si="15"/>
        <v>99.999999999999986</v>
      </c>
      <c r="S83" s="63"/>
      <c r="T83" s="63"/>
      <c r="U83" s="63"/>
      <c r="V83" s="63"/>
      <c r="W83" s="63"/>
      <c r="X83" s="63"/>
      <c r="Y83" s="63"/>
      <c r="Z83" s="63"/>
      <c r="AA83" s="63"/>
      <c r="AB83" s="63"/>
      <c r="AC83" s="63"/>
      <c r="AD83" s="63"/>
      <c r="AE83" s="63"/>
      <c r="AF83" s="63"/>
      <c r="AG83" s="63"/>
      <c r="AH83" s="63"/>
      <c r="AI83" s="63"/>
      <c r="AJ83" s="63"/>
      <c r="AK83" s="63"/>
      <c r="AL83" s="63"/>
      <c r="AM83" s="63"/>
      <c r="AN83" s="63"/>
      <c r="AO83" s="63"/>
    </row>
    <row r="84" spans="1:41" ht="15.75" customHeight="1" x14ac:dyDescent="0.2">
      <c r="A84" s="65" t="s">
        <v>150</v>
      </c>
      <c r="B84" s="243">
        <f>('Pivot Table for Data Exchange'!$D$366)*100</f>
        <v>0</v>
      </c>
      <c r="C84" s="243">
        <f>('Pivot Table for Data Exchange'!$D$369)*100</f>
        <v>0</v>
      </c>
      <c r="D84" s="249">
        <f t="shared" si="18"/>
        <v>0</v>
      </c>
      <c r="E84" s="243">
        <f>('Pivot Table for Data Exchange'!$D$372)*100</f>
        <v>0</v>
      </c>
      <c r="F84" s="243">
        <f>('Pivot Table for Data Exchange'!$D$375)*100</f>
        <v>0</v>
      </c>
      <c r="G84" s="245">
        <f>('Pivot Table for Data Exchange'!$D$378)*100</f>
        <v>0</v>
      </c>
      <c r="H84" s="243">
        <f>('Pivot Table for Data Exchange'!$D$381)*100</f>
        <v>0</v>
      </c>
      <c r="I84" s="87" t="s">
        <v>150</v>
      </c>
      <c r="J84" s="243">
        <f>('Pivot Table for Data Exchange'!$D$384)*100</f>
        <v>0</v>
      </c>
      <c r="K84" s="243">
        <f>('Pivot Table for Data Exchange'!$D$387)*100</f>
        <v>0</v>
      </c>
      <c r="L84" s="249">
        <f t="shared" si="19"/>
        <v>0</v>
      </c>
      <c r="M84" s="243">
        <f>('Pivot Table for Data Exchange'!$D$390)*100</f>
        <v>0</v>
      </c>
      <c r="N84" s="243">
        <f>('Pivot Table for Data Exchange'!$D$393)*100</f>
        <v>0</v>
      </c>
      <c r="O84" s="245">
        <f>('Pivot Table for Data Exchange'!$D$396)*100</f>
        <v>0</v>
      </c>
      <c r="P84" s="243">
        <f>('Pivot Table for Data Exchange'!$D$399)*100</f>
        <v>0</v>
      </c>
      <c r="Q84" s="97">
        <f t="shared" si="14"/>
        <v>0</v>
      </c>
      <c r="R84" s="97">
        <f t="shared" si="15"/>
        <v>0</v>
      </c>
      <c r="S84" s="63"/>
      <c r="T84" s="74"/>
      <c r="U84" s="63"/>
      <c r="V84" s="63"/>
      <c r="W84" s="63"/>
      <c r="X84" s="63"/>
      <c r="Y84" s="63"/>
      <c r="Z84" s="63"/>
      <c r="AA84" s="63"/>
      <c r="AB84" s="63"/>
      <c r="AC84" s="63"/>
      <c r="AD84" s="63"/>
      <c r="AE84" s="63"/>
      <c r="AF84" s="63"/>
      <c r="AG84" s="63"/>
      <c r="AH84" s="63"/>
      <c r="AI84" s="63"/>
      <c r="AJ84" s="63"/>
      <c r="AK84" s="63"/>
      <c r="AL84" s="63"/>
      <c r="AM84" s="63"/>
      <c r="AN84" s="63"/>
      <c r="AO84" s="63"/>
    </row>
    <row r="85" spans="1:41" ht="15.75" customHeight="1" x14ac:dyDescent="0.2">
      <c r="A85" s="65" t="s">
        <v>151</v>
      </c>
      <c r="B85" s="243">
        <f>('Pivot Table for Data Exchange'!$D$402)*100</f>
        <v>0</v>
      </c>
      <c r="C85" s="243">
        <f>('Pivot Table for Data Exchange'!$D$405)*100</f>
        <v>0</v>
      </c>
      <c r="D85" s="249">
        <f>SUM(E85:G85)</f>
        <v>0</v>
      </c>
      <c r="E85" s="243">
        <f>('Pivot Table for Data Exchange'!$D$408)*100</f>
        <v>0</v>
      </c>
      <c r="F85" s="243">
        <f>('Pivot Table for Data Exchange'!$D$411)*100</f>
        <v>0</v>
      </c>
      <c r="G85" s="245">
        <f>('Pivot Table for Data Exchange'!$D$414)*100</f>
        <v>0</v>
      </c>
      <c r="H85" s="243">
        <f>('Pivot Table for Data Exchange'!$D$417)*100</f>
        <v>0</v>
      </c>
      <c r="I85" s="87" t="s">
        <v>151</v>
      </c>
      <c r="J85" s="243">
        <f>('Pivot Table for Data Exchange'!$D$420)*100</f>
        <v>0</v>
      </c>
      <c r="K85" s="243">
        <f>('Pivot Table for Data Exchange'!$D$423)*100</f>
        <v>0</v>
      </c>
      <c r="L85" s="249">
        <f>SUM(M85:O85)</f>
        <v>0</v>
      </c>
      <c r="M85" s="243">
        <f>('Pivot Table for Data Exchange'!$D$426)*100</f>
        <v>0</v>
      </c>
      <c r="N85" s="243">
        <f>('Pivot Table for Data Exchange'!$D$429)*100</f>
        <v>0</v>
      </c>
      <c r="O85" s="245">
        <f>('Pivot Table for Data Exchange'!$D$432)*100</f>
        <v>0</v>
      </c>
      <c r="P85" s="243">
        <f>('Pivot Table for Data Exchange'!$D$435)*100</f>
        <v>0</v>
      </c>
      <c r="Q85" s="97">
        <f t="shared" si="14"/>
        <v>0</v>
      </c>
      <c r="R85" s="97">
        <f t="shared" si="15"/>
        <v>0</v>
      </c>
      <c r="S85" s="63"/>
      <c r="T85" s="63"/>
      <c r="U85" s="63"/>
      <c r="V85" s="63"/>
      <c r="W85" s="63"/>
      <c r="X85" s="63"/>
      <c r="Y85" s="63"/>
      <c r="Z85" s="63"/>
      <c r="AA85" s="63"/>
      <c r="AB85" s="63"/>
      <c r="AC85" s="63"/>
      <c r="AD85" s="63"/>
      <c r="AE85" s="63"/>
      <c r="AF85" s="63"/>
      <c r="AG85" s="63"/>
      <c r="AH85" s="63"/>
      <c r="AI85" s="63"/>
      <c r="AJ85" s="63"/>
      <c r="AK85" s="63"/>
      <c r="AL85" s="63"/>
      <c r="AM85" s="63"/>
      <c r="AN85" s="63"/>
      <c r="AO85" s="63"/>
    </row>
    <row r="86" spans="1:41" ht="8.25" customHeight="1" x14ac:dyDescent="0.2">
      <c r="A86" s="65"/>
      <c r="B86" s="243"/>
      <c r="C86" s="243"/>
      <c r="D86" s="249"/>
      <c r="E86" s="243"/>
      <c r="F86" s="243"/>
      <c r="G86" s="245"/>
      <c r="H86" s="243"/>
      <c r="I86" s="87"/>
      <c r="J86" s="243"/>
      <c r="K86" s="243"/>
      <c r="L86" s="249"/>
      <c r="M86" s="243"/>
      <c r="N86" s="243"/>
      <c r="O86" s="245"/>
      <c r="P86" s="243"/>
      <c r="Q86" s="97">
        <f t="shared" si="14"/>
        <v>0</v>
      </c>
      <c r="R86" s="97">
        <f t="shared" si="15"/>
        <v>0</v>
      </c>
      <c r="S86" s="63"/>
      <c r="T86" s="63"/>
      <c r="U86" s="63"/>
      <c r="V86" s="63"/>
      <c r="W86" s="63"/>
      <c r="X86" s="63"/>
      <c r="Y86" s="63"/>
      <c r="Z86" s="63"/>
      <c r="AA86" s="63"/>
      <c r="AB86" s="63"/>
      <c r="AC86" s="63"/>
      <c r="AD86" s="63"/>
      <c r="AE86" s="63"/>
      <c r="AF86" s="63"/>
      <c r="AG86" s="63"/>
      <c r="AH86" s="63"/>
      <c r="AI86" s="63"/>
      <c r="AJ86" s="63"/>
      <c r="AK86" s="63"/>
      <c r="AL86" s="63"/>
      <c r="AM86" s="63"/>
      <c r="AN86" s="63"/>
      <c r="AO86" s="63"/>
    </row>
    <row r="87" spans="1:41" ht="15.75" customHeight="1" x14ac:dyDescent="0.2">
      <c r="A87" s="65" t="s">
        <v>152</v>
      </c>
      <c r="B87" s="243">
        <f>('Pivot Table for Data Exchange'!$D$438)*100</f>
        <v>78.482449295843821</v>
      </c>
      <c r="C87" s="243">
        <f>('Pivot Table for Data Exchange'!$D$441)*100</f>
        <v>13.307760723308363</v>
      </c>
      <c r="D87" s="249">
        <f>SUM(E87:G87)</f>
        <v>7.9920772198244112</v>
      </c>
      <c r="E87" s="243">
        <f>('Pivot Table for Data Exchange'!$D$444)*100</f>
        <v>7.4868090075244584</v>
      </c>
      <c r="F87" s="243">
        <f>('Pivot Table for Data Exchange'!$D$447)*100</f>
        <v>0</v>
      </c>
      <c r="G87" s="245">
        <f>('Pivot Table for Data Exchange'!$D$450)*100</f>
        <v>0.50526821229995256</v>
      </c>
      <c r="H87" s="243">
        <f>('Pivot Table for Data Exchange'!$D$453)*100</f>
        <v>0.21771276102341366</v>
      </c>
      <c r="I87" s="87" t="s">
        <v>152</v>
      </c>
      <c r="J87" s="243">
        <f>('Pivot Table for Data Exchange'!$D$456)*100</f>
        <v>50.973617076242448</v>
      </c>
      <c r="K87" s="243">
        <f>('Pivot Table for Data Exchange'!$D$459)*100</f>
        <v>29.857590338101854</v>
      </c>
      <c r="L87" s="249">
        <f>SUM(M87:O87)</f>
        <v>16.963218910453062</v>
      </c>
      <c r="M87" s="243">
        <f>('Pivot Table for Data Exchange'!$D$462)*100</f>
        <v>16.062259824974973</v>
      </c>
      <c r="N87" s="243">
        <f>('Pivot Table for Data Exchange'!$D$465)*100</f>
        <v>0</v>
      </c>
      <c r="O87" s="245">
        <f>('Pivot Table for Data Exchange'!$D$468)*100</f>
        <v>0.90095908547808945</v>
      </c>
      <c r="P87" s="243">
        <f>('Pivot Table for Data Exchange'!$D$471)*100</f>
        <v>2.2055736752026349</v>
      </c>
      <c r="Q87" s="97">
        <f t="shared" si="14"/>
        <v>100</v>
      </c>
      <c r="R87" s="97">
        <f t="shared" si="15"/>
        <v>100</v>
      </c>
      <c r="S87" s="63"/>
      <c r="T87" s="63"/>
      <c r="U87" s="63"/>
      <c r="V87" s="63"/>
      <c r="W87" s="63"/>
      <c r="X87" s="63"/>
      <c r="Y87" s="63"/>
      <c r="Z87" s="63"/>
      <c r="AA87" s="63"/>
      <c r="AB87" s="63"/>
      <c r="AC87" s="63"/>
      <c r="AD87" s="63"/>
      <c r="AE87" s="63"/>
      <c r="AF87" s="63"/>
      <c r="AG87" s="63"/>
      <c r="AH87" s="63"/>
      <c r="AI87" s="63"/>
      <c r="AJ87" s="63"/>
      <c r="AK87" s="63"/>
      <c r="AL87" s="63"/>
      <c r="AM87" s="63"/>
      <c r="AN87" s="63"/>
      <c r="AO87" s="63"/>
    </row>
    <row r="88" spans="1:41" ht="15.75" customHeight="1" x14ac:dyDescent="0.2">
      <c r="A88" s="65" t="s">
        <v>153</v>
      </c>
      <c r="B88" s="243">
        <f>('Pivot Table for Data Exchange'!$D$474)*100</f>
        <v>90.130712529237542</v>
      </c>
      <c r="C88" s="243">
        <f>('Pivot Table for Data Exchange'!$D$477)*100</f>
        <v>0.74499913328565781</v>
      </c>
      <c r="D88" s="249">
        <f>SUM(E88:G88)</f>
        <v>9.1242883374768038</v>
      </c>
      <c r="E88" s="243">
        <f>('Pivot Table for Data Exchange'!$D$480)*100</f>
        <v>8.6711205528361823</v>
      </c>
      <c r="F88" s="243">
        <f>('Pivot Table for Data Exchange'!$D$483)*100</f>
        <v>0.44866537247330257</v>
      </c>
      <c r="G88" s="254">
        <f>('Pivot Table for Data Exchange'!$D$486)*100</f>
        <v>4.5024121673186406E-3</v>
      </c>
      <c r="H88" s="243">
        <f>('Pivot Table for Data Exchange'!$D$489)*100</f>
        <v>0</v>
      </c>
      <c r="I88" s="87" t="s">
        <v>153</v>
      </c>
      <c r="J88" s="243">
        <f>('Pivot Table for Data Exchange'!$D$492)*100</f>
        <v>68.107021622577548</v>
      </c>
      <c r="K88" s="243">
        <f>('Pivot Table for Data Exchange'!$D$495)*100</f>
        <v>2.3960386644295015</v>
      </c>
      <c r="L88" s="249">
        <f>SUM(M88:O88)</f>
        <v>29.496939712992958</v>
      </c>
      <c r="M88" s="243">
        <f>('Pivot Table for Data Exchange'!$D$498)*100</f>
        <v>29.28558796761574</v>
      </c>
      <c r="N88" s="243">
        <f>('Pivot Table for Data Exchange'!$D$501)*100</f>
        <v>0.21135174537721974</v>
      </c>
      <c r="O88" s="245">
        <f>('Pivot Table for Data Exchange'!$D$504)*100</f>
        <v>0</v>
      </c>
      <c r="P88" s="243">
        <f>('Pivot Table for Data Exchange'!$D$507)*100</f>
        <v>0</v>
      </c>
      <c r="Q88" s="97">
        <f t="shared" si="14"/>
        <v>100</v>
      </c>
      <c r="R88" s="97">
        <f t="shared" si="15"/>
        <v>100</v>
      </c>
      <c r="S88" s="63"/>
      <c r="T88" s="63"/>
      <c r="U88" s="63"/>
      <c r="V88" s="63"/>
      <c r="W88" s="63"/>
      <c r="X88" s="63"/>
      <c r="Y88" s="63"/>
      <c r="Z88" s="63"/>
      <c r="AA88" s="63"/>
      <c r="AB88" s="63"/>
      <c r="AC88" s="63"/>
      <c r="AD88" s="63"/>
      <c r="AE88" s="63"/>
      <c r="AF88" s="63"/>
      <c r="AG88" s="63"/>
      <c r="AH88" s="63"/>
      <c r="AI88" s="63"/>
      <c r="AJ88" s="63"/>
      <c r="AK88" s="63"/>
      <c r="AL88" s="63"/>
      <c r="AM88" s="63"/>
      <c r="AN88" s="63"/>
      <c r="AO88" s="63"/>
    </row>
    <row r="89" spans="1:41" ht="15.75" customHeight="1" x14ac:dyDescent="0.2">
      <c r="A89" s="65" t="s">
        <v>154</v>
      </c>
      <c r="B89" s="243">
        <f>('Pivot Table for Data Exchange'!$D$510)*100</f>
        <v>96.045947492905881</v>
      </c>
      <c r="C89" s="243">
        <f>('Pivot Table for Data Exchange'!$D$513)*100</f>
        <v>1.0128315006223445</v>
      </c>
      <c r="D89" s="249">
        <f t="shared" ref="D89" si="20">SUM(E89:G89)</f>
        <v>2.9412210064717765</v>
      </c>
      <c r="E89" s="243">
        <f>('Pivot Table for Data Exchange'!$D$516)*100</f>
        <v>2.9412210064717765</v>
      </c>
      <c r="F89" s="243">
        <f>('Pivot Table for Data Exchange'!$D$519)*100</f>
        <v>0</v>
      </c>
      <c r="G89" s="245">
        <f>('Pivot Table for Data Exchange'!$D$522)*100</f>
        <v>0</v>
      </c>
      <c r="H89" s="243">
        <f>('Pivot Table for Data Exchange'!$D$525)*100</f>
        <v>0</v>
      </c>
      <c r="I89" s="87" t="s">
        <v>154</v>
      </c>
      <c r="J89" s="243">
        <f>('Pivot Table for Data Exchange'!$D$528)*100</f>
        <v>85.710413880742408</v>
      </c>
      <c r="K89" s="243">
        <f>('Pivot Table for Data Exchange'!$D$531)*100</f>
        <v>9.2418109807390891</v>
      </c>
      <c r="L89" s="249">
        <f t="shared" ref="L89" si="21">SUM(M89:O89)</f>
        <v>5.0477751385184977</v>
      </c>
      <c r="M89" s="243">
        <f>('Pivot Table for Data Exchange'!$D$534)*100</f>
        <v>5.0477751385184977</v>
      </c>
      <c r="N89" s="243">
        <f>('Pivot Table for Data Exchange'!$D$537)*100</f>
        <v>0</v>
      </c>
      <c r="O89" s="245">
        <f>('Pivot Table for Data Exchange'!$D$540)*100</f>
        <v>0</v>
      </c>
      <c r="P89" s="243">
        <f>('Pivot Table for Data Exchange'!$D$543)*100</f>
        <v>0</v>
      </c>
      <c r="Q89" s="97">
        <f t="shared" si="14"/>
        <v>100</v>
      </c>
      <c r="R89" s="97">
        <f t="shared" si="15"/>
        <v>100</v>
      </c>
      <c r="S89" s="63"/>
      <c r="T89" s="63"/>
      <c r="U89" s="63"/>
      <c r="V89" s="63"/>
      <c r="W89" s="63"/>
      <c r="X89" s="63"/>
      <c r="Y89" s="63"/>
      <c r="Z89" s="63"/>
      <c r="AA89" s="63"/>
      <c r="AB89" s="63"/>
      <c r="AC89" s="63"/>
      <c r="AD89" s="63"/>
      <c r="AE89" s="63"/>
      <c r="AF89" s="63"/>
      <c r="AG89" s="63"/>
      <c r="AH89" s="63"/>
      <c r="AI89" s="63"/>
      <c r="AJ89" s="63"/>
      <c r="AK89" s="63"/>
      <c r="AL89" s="63"/>
      <c r="AM89" s="63"/>
      <c r="AN89" s="63"/>
      <c r="AO89" s="63"/>
    </row>
    <row r="90" spans="1:41" ht="15.75" customHeight="1" x14ac:dyDescent="0.2">
      <c r="A90" s="39" t="s">
        <v>155</v>
      </c>
      <c r="B90" s="246">
        <f>('Pivot Table for Data Exchange'!$D$546)*100</f>
        <v>0</v>
      </c>
      <c r="C90" s="246">
        <f>('Pivot Table for Data Exchange'!$D$549)*100</f>
        <v>0</v>
      </c>
      <c r="D90" s="250">
        <f>SUM(E90:G90)</f>
        <v>0</v>
      </c>
      <c r="E90" s="246">
        <f>('Pivot Table for Data Exchange'!$D$552)*100</f>
        <v>0</v>
      </c>
      <c r="F90" s="246">
        <f>('Pivot Table for Data Exchange'!$D$555)*100</f>
        <v>0</v>
      </c>
      <c r="G90" s="247">
        <f>('Pivot Table for Data Exchange'!$D$558)*100</f>
        <v>0</v>
      </c>
      <c r="H90" s="246">
        <f>('Pivot Table for Data Exchange'!$D$561)*100</f>
        <v>0</v>
      </c>
      <c r="I90" s="252" t="s">
        <v>155</v>
      </c>
      <c r="J90" s="246">
        <f>('Pivot Table for Data Exchange'!$D$564)*100</f>
        <v>0</v>
      </c>
      <c r="K90" s="246">
        <f>('Pivot Table for Data Exchange'!$D$567)*100</f>
        <v>0</v>
      </c>
      <c r="L90" s="250">
        <f>SUM(M90:O90)</f>
        <v>0</v>
      </c>
      <c r="M90" s="246">
        <f>('Pivot Table for Data Exchange'!$D$570)*100</f>
        <v>0</v>
      </c>
      <c r="N90" s="246">
        <f>('Pivot Table for Data Exchange'!$D$573)*100</f>
        <v>0</v>
      </c>
      <c r="O90" s="247">
        <f>('Pivot Table for Data Exchange'!$D$576)*100</f>
        <v>0</v>
      </c>
      <c r="P90" s="246">
        <f>('Pivot Table for Data Exchange'!$D$579)*100</f>
        <v>0</v>
      </c>
      <c r="Q90" s="97">
        <f t="shared" si="14"/>
        <v>0</v>
      </c>
      <c r="R90" s="97">
        <f t="shared" si="15"/>
        <v>0</v>
      </c>
      <c r="S90" s="63"/>
      <c r="T90" s="63"/>
      <c r="U90" s="63"/>
      <c r="V90" s="63"/>
      <c r="W90" s="63"/>
      <c r="X90" s="63"/>
      <c r="Y90" s="63"/>
      <c r="Z90" s="63"/>
      <c r="AA90" s="63"/>
      <c r="AB90" s="63"/>
      <c r="AC90" s="63"/>
      <c r="AD90" s="63"/>
      <c r="AE90" s="63"/>
      <c r="AF90" s="63"/>
      <c r="AG90" s="63"/>
      <c r="AH90" s="63"/>
      <c r="AI90" s="63"/>
      <c r="AJ90" s="63"/>
      <c r="AK90" s="63"/>
      <c r="AL90" s="63"/>
      <c r="AM90" s="63"/>
      <c r="AN90" s="63"/>
      <c r="AO90" s="63"/>
    </row>
    <row r="91" spans="1:41" s="25" customFormat="1" ht="18" customHeight="1" x14ac:dyDescent="0.2">
      <c r="A91" s="24" t="s">
        <v>175</v>
      </c>
      <c r="B91" s="69"/>
      <c r="C91" s="69"/>
      <c r="D91" s="70"/>
      <c r="E91" s="69"/>
      <c r="F91" s="70"/>
      <c r="G91" s="70"/>
      <c r="H91" s="69"/>
      <c r="I91" s="24" t="s">
        <v>175</v>
      </c>
      <c r="J91" s="69"/>
      <c r="K91" s="69"/>
      <c r="L91" s="70"/>
      <c r="M91" s="69"/>
      <c r="N91" s="70"/>
      <c r="O91" s="70"/>
      <c r="P91" s="69"/>
      <c r="Q91" s="97"/>
      <c r="R91" s="97"/>
      <c r="S91" s="71"/>
      <c r="T91" s="71"/>
      <c r="U91" s="71"/>
      <c r="V91" s="71"/>
      <c r="W91" s="71"/>
      <c r="X91" s="71"/>
      <c r="Y91" s="71"/>
      <c r="Z91" s="71"/>
      <c r="AA91" s="71"/>
      <c r="AB91" s="71"/>
      <c r="AC91" s="71"/>
      <c r="AD91" s="71"/>
      <c r="AE91" s="71"/>
      <c r="AF91" s="71"/>
      <c r="AG91" s="71"/>
      <c r="AH91" s="71"/>
      <c r="AI91" s="71"/>
      <c r="AJ91" s="71"/>
      <c r="AK91" s="71"/>
      <c r="AL91" s="71"/>
      <c r="AM91" s="71"/>
      <c r="AN91" s="71"/>
      <c r="AO91" s="71"/>
    </row>
    <row r="92" spans="1:41" s="25" customFormat="1" ht="24.75" customHeight="1" x14ac:dyDescent="0.2">
      <c r="A92" s="666" t="s">
        <v>176</v>
      </c>
      <c r="B92" s="687"/>
      <c r="C92" s="687"/>
      <c r="D92" s="687"/>
      <c r="E92" s="687"/>
      <c r="F92" s="687"/>
      <c r="G92" s="687"/>
      <c r="H92" s="687"/>
      <c r="I92" s="666" t="s">
        <v>176</v>
      </c>
      <c r="J92" s="687"/>
      <c r="K92" s="687"/>
      <c r="L92" s="687"/>
      <c r="M92" s="687"/>
      <c r="N92" s="687"/>
      <c r="O92" s="687"/>
      <c r="P92" s="687"/>
      <c r="Q92" s="97"/>
      <c r="R92" s="97"/>
      <c r="S92" s="71"/>
      <c r="T92" s="71"/>
      <c r="U92" s="71"/>
      <c r="V92" s="71"/>
      <c r="W92" s="71"/>
      <c r="X92" s="71"/>
      <c r="Y92" s="71"/>
      <c r="Z92" s="71"/>
      <c r="AA92" s="71"/>
      <c r="AB92" s="71"/>
      <c r="AC92" s="71"/>
      <c r="AD92" s="71"/>
      <c r="AE92" s="71"/>
      <c r="AF92" s="71"/>
      <c r="AG92" s="71"/>
      <c r="AH92" s="71"/>
      <c r="AI92" s="71"/>
      <c r="AJ92" s="71"/>
      <c r="AK92" s="71"/>
      <c r="AL92" s="71"/>
      <c r="AM92" s="71"/>
      <c r="AN92" s="71"/>
      <c r="AO92" s="71"/>
    </row>
    <row r="93" spans="1:41" s="25" customFormat="1" ht="18" customHeight="1" x14ac:dyDescent="0.2">
      <c r="A93" s="78"/>
      <c r="B93" s="111"/>
      <c r="C93" s="111"/>
      <c r="D93" s="79"/>
      <c r="E93" s="111"/>
      <c r="F93" s="111"/>
      <c r="G93" s="112"/>
      <c r="H93" s="112"/>
      <c r="I93" s="78"/>
      <c r="J93" s="111"/>
      <c r="K93" s="111"/>
      <c r="L93" s="79"/>
      <c r="M93" s="111"/>
      <c r="N93" s="111"/>
      <c r="O93" s="111"/>
      <c r="P93" s="112"/>
      <c r="Q93" s="97"/>
      <c r="R93" s="97"/>
      <c r="S93" s="71"/>
      <c r="T93" s="71"/>
      <c r="U93" s="71"/>
      <c r="V93" s="71"/>
      <c r="W93" s="71"/>
      <c r="X93" s="71"/>
      <c r="Y93" s="71"/>
      <c r="Z93" s="71"/>
      <c r="AA93" s="71"/>
      <c r="AB93" s="71"/>
      <c r="AC93" s="71"/>
      <c r="AD93" s="71"/>
      <c r="AE93" s="71"/>
      <c r="AF93" s="71"/>
      <c r="AG93" s="71"/>
      <c r="AH93" s="71"/>
      <c r="AI93" s="71"/>
      <c r="AJ93" s="71"/>
      <c r="AK93" s="71"/>
      <c r="AL93" s="71"/>
      <c r="AM93" s="71"/>
      <c r="AN93" s="71"/>
      <c r="AO93" s="71"/>
    </row>
    <row r="94" spans="1:41" s="25" customFormat="1" ht="13.5" customHeight="1" x14ac:dyDescent="0.2">
      <c r="A94" s="24"/>
      <c r="B94" s="76"/>
      <c r="H94" s="27" t="s">
        <v>914</v>
      </c>
      <c r="I94" s="24"/>
      <c r="P94" s="27" t="s">
        <v>914</v>
      </c>
      <c r="Q94" s="97"/>
      <c r="R94" s="97"/>
    </row>
    <row r="95" spans="1:41" ht="18" x14ac:dyDescent="0.25">
      <c r="A95" s="16" t="s">
        <v>204</v>
      </c>
      <c r="B95" s="34"/>
      <c r="C95" s="34"/>
      <c r="D95" s="34"/>
      <c r="E95" s="34"/>
      <c r="F95" s="34"/>
      <c r="G95" s="34"/>
      <c r="H95" s="35"/>
      <c r="I95" s="16" t="s">
        <v>219</v>
      </c>
      <c r="J95" s="19"/>
      <c r="K95" s="19"/>
      <c r="L95" s="34"/>
      <c r="M95" s="19"/>
      <c r="N95" s="19"/>
      <c r="O95" s="19"/>
      <c r="P95" s="19"/>
      <c r="Q95" s="97"/>
      <c r="R95" s="97"/>
    </row>
    <row r="96" spans="1:41" x14ac:dyDescent="0.2">
      <c r="A96" s="18"/>
      <c r="B96" s="19"/>
      <c r="C96" s="19"/>
      <c r="D96" s="19"/>
      <c r="E96" s="19"/>
      <c r="F96" s="19"/>
      <c r="G96" s="19"/>
      <c r="H96" s="36"/>
      <c r="I96" s="18"/>
      <c r="J96" s="19"/>
      <c r="K96" s="19"/>
      <c r="L96" s="19"/>
      <c r="M96" s="19"/>
      <c r="N96" s="19"/>
      <c r="O96" s="19"/>
      <c r="P96" s="19"/>
      <c r="Q96" s="97"/>
      <c r="R96" s="97"/>
    </row>
    <row r="97" spans="1:41" ht="15.75" x14ac:dyDescent="0.25">
      <c r="A97" s="37" t="s">
        <v>162</v>
      </c>
      <c r="B97" s="19"/>
      <c r="C97" s="19"/>
      <c r="D97" s="19"/>
      <c r="E97" s="19"/>
      <c r="F97" s="19"/>
      <c r="G97" s="19"/>
      <c r="H97" s="36"/>
      <c r="I97" s="37" t="s">
        <v>163</v>
      </c>
      <c r="J97" s="19"/>
      <c r="K97" s="19"/>
      <c r="L97" s="19"/>
      <c r="M97" s="19"/>
      <c r="N97" s="19"/>
      <c r="O97" s="19"/>
      <c r="P97" s="19"/>
      <c r="Q97" s="97"/>
      <c r="R97" s="97"/>
    </row>
    <row r="98" spans="1:41" ht="15.75" x14ac:dyDescent="0.25">
      <c r="A98" s="37" t="s">
        <v>243</v>
      </c>
      <c r="B98" s="19"/>
      <c r="C98" s="19"/>
      <c r="D98" s="19"/>
      <c r="E98" s="19"/>
      <c r="F98" s="19"/>
      <c r="G98" s="19"/>
      <c r="H98" s="36"/>
      <c r="I98" s="37" t="s">
        <v>243</v>
      </c>
      <c r="J98" s="19"/>
      <c r="K98" s="19"/>
      <c r="L98" s="19"/>
      <c r="M98" s="19"/>
      <c r="N98" s="19"/>
      <c r="O98" s="19"/>
      <c r="P98" s="19"/>
      <c r="Q98" s="97"/>
      <c r="R98" s="97"/>
    </row>
    <row r="99" spans="1:41" x14ac:dyDescent="0.2">
      <c r="A99" s="39"/>
      <c r="B99" s="40"/>
      <c r="C99" s="40"/>
      <c r="D99" s="40"/>
      <c r="E99" s="40"/>
      <c r="F99" s="40"/>
      <c r="G99" s="40"/>
      <c r="H99" s="40"/>
      <c r="I99" s="41"/>
      <c r="L99" s="42"/>
      <c r="P99" s="39"/>
      <c r="Q99" s="97"/>
      <c r="R99" s="97"/>
    </row>
    <row r="100" spans="1:41" s="48" customFormat="1" x14ac:dyDescent="0.2">
      <c r="A100" s="43"/>
      <c r="B100" s="668" t="s">
        <v>164</v>
      </c>
      <c r="C100" s="668"/>
      <c r="D100" s="668"/>
      <c r="E100" s="668"/>
      <c r="F100" s="668"/>
      <c r="G100" s="668"/>
      <c r="H100" s="668"/>
      <c r="I100" s="43"/>
      <c r="J100" s="44" t="s">
        <v>164</v>
      </c>
      <c r="K100" s="44"/>
      <c r="L100" s="44"/>
      <c r="M100" s="44"/>
      <c r="N100" s="44"/>
      <c r="O100" s="44"/>
      <c r="P100" s="45"/>
      <c r="Q100" s="97"/>
      <c r="R100" s="97"/>
    </row>
    <row r="101" spans="1:41" s="48" customFormat="1" x14ac:dyDescent="0.2">
      <c r="A101" s="43"/>
      <c r="B101" s="44" t="s">
        <v>165</v>
      </c>
      <c r="C101" s="44"/>
      <c r="D101" s="670" t="s">
        <v>166</v>
      </c>
      <c r="E101" s="668"/>
      <c r="F101" s="668"/>
      <c r="G101" s="668"/>
      <c r="H101" s="49" t="s">
        <v>39</v>
      </c>
      <c r="I101" s="43"/>
      <c r="J101" s="44" t="s">
        <v>165</v>
      </c>
      <c r="K101" s="44"/>
      <c r="L101" s="670" t="s">
        <v>166</v>
      </c>
      <c r="M101" s="668"/>
      <c r="N101" s="668"/>
      <c r="O101" s="668"/>
      <c r="P101" s="49" t="s">
        <v>39</v>
      </c>
      <c r="Q101" s="97"/>
      <c r="R101" s="97"/>
    </row>
    <row r="102" spans="1:41" s="48" customFormat="1" ht="40.5" customHeight="1" x14ac:dyDescent="0.2">
      <c r="A102" s="43"/>
      <c r="B102" s="50" t="s">
        <v>167</v>
      </c>
      <c r="C102" s="51" t="s">
        <v>168</v>
      </c>
      <c r="D102" s="52" t="s">
        <v>169</v>
      </c>
      <c r="E102" s="53" t="s">
        <v>7</v>
      </c>
      <c r="F102" s="50" t="s">
        <v>170</v>
      </c>
      <c r="G102" s="54" t="s">
        <v>171</v>
      </c>
      <c r="H102" s="55" t="s">
        <v>172</v>
      </c>
      <c r="I102" s="43"/>
      <c r="J102" s="50" t="s">
        <v>167</v>
      </c>
      <c r="K102" s="51" t="s">
        <v>168</v>
      </c>
      <c r="L102" s="52" t="s">
        <v>169</v>
      </c>
      <c r="M102" s="53" t="s">
        <v>7</v>
      </c>
      <c r="N102" s="50" t="s">
        <v>170</v>
      </c>
      <c r="O102" s="54" t="s">
        <v>171</v>
      </c>
      <c r="P102" s="55" t="s">
        <v>172</v>
      </c>
      <c r="Q102" s="97"/>
      <c r="R102" s="97"/>
      <c r="T102" s="73"/>
    </row>
    <row r="103" spans="1:41" ht="15.75" customHeight="1" x14ac:dyDescent="0.2">
      <c r="A103" s="62" t="s">
        <v>141</v>
      </c>
      <c r="B103" s="243">
        <f>('Pivot Table for Data Exchange'!$E$6)*100</f>
        <v>78.8085573991209</v>
      </c>
      <c r="C103" s="243">
        <f>('Pivot Table for Data Exchange'!$E$9)*100</f>
        <v>0.68170118401774049</v>
      </c>
      <c r="D103" s="249">
        <f>SUM(E103:G103)</f>
        <v>20.509741416861363</v>
      </c>
      <c r="E103" s="243">
        <f>('Pivot Table for Data Exchange'!$E$12)*100</f>
        <v>20.242446442006891</v>
      </c>
      <c r="F103" s="243">
        <f>('Pivot Table for Data Exchange'!$E$15)*100</f>
        <v>0.25303924286223417</v>
      </c>
      <c r="G103" s="607">
        <f>('Pivot Table for Data Exchange'!$E$18)*100</f>
        <v>1.4255731992238545E-2</v>
      </c>
      <c r="H103" s="243">
        <f>('Pivot Table for Data Exchange'!$E$21)*100</f>
        <v>0</v>
      </c>
      <c r="I103" s="251" t="s">
        <v>141</v>
      </c>
      <c r="J103" s="243">
        <f>('Pivot Table for Data Exchange'!$E$24)*100</f>
        <v>62.85508317592415</v>
      </c>
      <c r="K103" s="243">
        <f>('Pivot Table for Data Exchange'!$E$27)*100</f>
        <v>0.84864080593501057</v>
      </c>
      <c r="L103" s="249">
        <f>SUM(M103:O103)</f>
        <v>36.296276018140837</v>
      </c>
      <c r="M103" s="243">
        <f>('Pivot Table for Data Exchange'!$E$30)*100</f>
        <v>33.432797685856897</v>
      </c>
      <c r="N103" s="67">
        <f>('Pivot Table for Data Exchange'!$E$33)*100</f>
        <v>4.9275917763968349E-2</v>
      </c>
      <c r="O103" s="60">
        <f>('Pivot Table for Data Exchange'!$E$36)*100</f>
        <v>2.8142024145199707</v>
      </c>
      <c r="P103" s="243">
        <f>('Pivot Table for Data Exchange'!$E$39)*100</f>
        <v>0</v>
      </c>
      <c r="Q103" s="97">
        <f>SUM(B103,C103,D103,H103)</f>
        <v>100</v>
      </c>
      <c r="R103" s="97">
        <f t="shared" si="15"/>
        <v>100</v>
      </c>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row>
    <row r="104" spans="1:41" ht="15.75" customHeight="1" x14ac:dyDescent="0.2">
      <c r="A104" s="65" t="s">
        <v>142</v>
      </c>
      <c r="B104" s="243">
        <f>('Pivot Table for Data Exchange'!$E$42)*100</f>
        <v>77.018886007497812</v>
      </c>
      <c r="C104" s="243">
        <f>('Pivot Table for Data Exchange'!$E$45)*100</f>
        <v>6.3241276043353043</v>
      </c>
      <c r="D104" s="249">
        <f t="shared" ref="D104:D106" si="22">SUM(E104:G104)</f>
        <v>16.604981873138872</v>
      </c>
      <c r="E104" s="243">
        <f>('Pivot Table for Data Exchange'!$E$48)*100</f>
        <v>16.177688070542828</v>
      </c>
      <c r="F104" s="243">
        <f>('Pivot Table for Data Exchange'!$E$51)*100</f>
        <v>0.41623537123951071</v>
      </c>
      <c r="G104" s="68">
        <f>('Pivot Table for Data Exchange'!$E$54)*100</f>
        <v>1.10584313565308E-2</v>
      </c>
      <c r="H104" s="243">
        <f>('Pivot Table for Data Exchange'!$E$57)*100</f>
        <v>5.2004515028009707E-2</v>
      </c>
      <c r="I104" s="87" t="s">
        <v>142</v>
      </c>
      <c r="J104" s="243">
        <f>('Pivot Table for Data Exchange'!$E$60)*100</f>
        <v>44.162297977124965</v>
      </c>
      <c r="K104" s="243">
        <f>('Pivot Table for Data Exchange'!$E$63)*100</f>
        <v>8.7461071772787289</v>
      </c>
      <c r="L104" s="249">
        <f t="shared" ref="L104:L106" si="23">SUM(M104:O104)</f>
        <v>47.091594845596305</v>
      </c>
      <c r="M104" s="243">
        <f>('Pivot Table for Data Exchange'!$E$66)*100</f>
        <v>45.508838587831555</v>
      </c>
      <c r="N104" s="243">
        <f>('Pivot Table for Data Exchange'!$E$69)*100</f>
        <v>1.5242594583753488</v>
      </c>
      <c r="O104" s="245">
        <f>('Pivot Table for Data Exchange'!$E$72)*100</f>
        <v>5.8496799389404837E-2</v>
      </c>
      <c r="P104" s="243">
        <f>('Pivot Table for Data Exchange'!$E$75)*100</f>
        <v>0</v>
      </c>
      <c r="Q104" s="97">
        <f t="shared" si="14"/>
        <v>99.999999999999986</v>
      </c>
      <c r="R104" s="97">
        <f t="shared" si="15"/>
        <v>100</v>
      </c>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row>
    <row r="105" spans="1:41" ht="15.75" customHeight="1" x14ac:dyDescent="0.2">
      <c r="A105" s="65" t="s">
        <v>143</v>
      </c>
      <c r="B105" s="243">
        <f>('Pivot Table for Data Exchange'!$E$78)*100</f>
        <v>98.361074816792595</v>
      </c>
      <c r="C105" s="243">
        <f>('Pivot Table for Data Exchange'!$E$81)*100</f>
        <v>0</v>
      </c>
      <c r="D105" s="249">
        <f t="shared" si="22"/>
        <v>1.6389251832074077</v>
      </c>
      <c r="E105" s="243">
        <f>('Pivot Table for Data Exchange'!$E$84)*100</f>
        <v>1.6389251832074077</v>
      </c>
      <c r="F105" s="243">
        <f>('Pivot Table for Data Exchange'!$E$87)*100</f>
        <v>0</v>
      </c>
      <c r="G105" s="245">
        <f>('Pivot Table for Data Exchange'!$E$90)*100</f>
        <v>0</v>
      </c>
      <c r="H105" s="243">
        <f>('Pivot Table for Data Exchange'!$E$93)*100</f>
        <v>0</v>
      </c>
      <c r="I105" s="87" t="s">
        <v>143</v>
      </c>
      <c r="J105" s="243">
        <f>('Pivot Table for Data Exchange'!$E$96)*100</f>
        <v>69.058415577487324</v>
      </c>
      <c r="K105" s="243">
        <f>('Pivot Table for Data Exchange'!$E$99)*100</f>
        <v>0</v>
      </c>
      <c r="L105" s="249">
        <f t="shared" si="23"/>
        <v>30.941584422512669</v>
      </c>
      <c r="M105" s="243">
        <f>('Pivot Table for Data Exchange'!$E$102)*100</f>
        <v>30.941584422512669</v>
      </c>
      <c r="N105" s="243">
        <f>('Pivot Table for Data Exchange'!$E$105)*100</f>
        <v>0</v>
      </c>
      <c r="O105" s="245">
        <f>('Pivot Table for Data Exchange'!$E$108)*100</f>
        <v>0</v>
      </c>
      <c r="P105" s="243">
        <f>('Pivot Table for Data Exchange'!$E$111)*100</f>
        <v>0</v>
      </c>
      <c r="Q105" s="97">
        <f t="shared" si="14"/>
        <v>100</v>
      </c>
      <c r="R105" s="97">
        <f t="shared" si="15"/>
        <v>100</v>
      </c>
      <c r="S105" s="63"/>
      <c r="T105" s="74"/>
      <c r="U105" s="63"/>
      <c r="V105" s="63"/>
      <c r="W105" s="63"/>
      <c r="X105" s="63"/>
      <c r="Y105" s="63"/>
      <c r="Z105" s="63"/>
      <c r="AA105" s="63"/>
      <c r="AB105" s="63"/>
      <c r="AC105" s="63"/>
      <c r="AD105" s="63"/>
      <c r="AE105" s="63"/>
      <c r="AF105" s="63"/>
      <c r="AG105" s="63"/>
      <c r="AH105" s="63"/>
      <c r="AI105" s="63"/>
      <c r="AJ105" s="63"/>
      <c r="AK105" s="63"/>
      <c r="AL105" s="63"/>
      <c r="AM105" s="63"/>
      <c r="AN105" s="63"/>
      <c r="AO105" s="63"/>
    </row>
    <row r="106" spans="1:41" ht="15.75" customHeight="1" x14ac:dyDescent="0.2">
      <c r="A106" s="65" t="s">
        <v>174</v>
      </c>
      <c r="B106" s="243">
        <f>('Pivot Table for Data Exchange'!$E$114)*100</f>
        <v>84.26092716952212</v>
      </c>
      <c r="C106" s="243">
        <f>('Pivot Table for Data Exchange'!$E$117)*100</f>
        <v>0.91371270474235911</v>
      </c>
      <c r="D106" s="249">
        <f t="shared" si="22"/>
        <v>14.825360125735514</v>
      </c>
      <c r="E106" s="243">
        <f>('Pivot Table for Data Exchange'!$E$120)*100</f>
        <v>13.304687804434515</v>
      </c>
      <c r="F106" s="243">
        <f>('Pivot Table for Data Exchange'!$E$123)*100</f>
        <v>0</v>
      </c>
      <c r="G106" s="245">
        <f>('Pivot Table for Data Exchange'!$E$126)*100</f>
        <v>1.5206723213009987</v>
      </c>
      <c r="H106" s="243">
        <f>('Pivot Table for Data Exchange'!$E$129)*100</f>
        <v>0</v>
      </c>
      <c r="I106" s="87" t="s">
        <v>174</v>
      </c>
      <c r="J106" s="243">
        <f>('Pivot Table for Data Exchange'!$E$132)*100</f>
        <v>57.868828850845077</v>
      </c>
      <c r="K106" s="243">
        <f>('Pivot Table for Data Exchange'!$E$135)*100</f>
        <v>18.970896919498497</v>
      </c>
      <c r="L106" s="249">
        <f t="shared" si="23"/>
        <v>23.160274229656427</v>
      </c>
      <c r="M106" s="243">
        <f>('Pivot Table for Data Exchange'!$E$138)*100</f>
        <v>20.44677963438955</v>
      </c>
      <c r="N106" s="243">
        <f>('Pivot Table for Data Exchange'!$E$141)*100</f>
        <v>0</v>
      </c>
      <c r="O106" s="245">
        <f>('Pivot Table for Data Exchange'!$E$144)*100</f>
        <v>2.7134945952668765</v>
      </c>
      <c r="P106" s="243">
        <f>('Pivot Table for Data Exchange'!$E$147)*100</f>
        <v>0</v>
      </c>
      <c r="Q106" s="97">
        <f t="shared" si="14"/>
        <v>100</v>
      </c>
      <c r="R106" s="97">
        <f t="shared" si="15"/>
        <v>100</v>
      </c>
      <c r="S106" s="63"/>
      <c r="U106" s="63"/>
      <c r="V106" s="63"/>
      <c r="W106" s="63"/>
      <c r="X106" s="63"/>
      <c r="Y106" s="63"/>
      <c r="Z106" s="63"/>
      <c r="AA106" s="63"/>
      <c r="AB106" s="63"/>
      <c r="AC106" s="63"/>
      <c r="AD106" s="63"/>
      <c r="AE106" s="63"/>
      <c r="AF106" s="63"/>
      <c r="AG106" s="63"/>
      <c r="AH106" s="63"/>
      <c r="AI106" s="63"/>
      <c r="AJ106" s="63"/>
      <c r="AK106" s="63"/>
      <c r="AL106" s="63"/>
      <c r="AM106" s="63"/>
      <c r="AN106" s="63"/>
      <c r="AO106" s="63"/>
    </row>
    <row r="107" spans="1:41" ht="11.25" customHeight="1" x14ac:dyDescent="0.2">
      <c r="A107" s="65"/>
      <c r="B107" s="243"/>
      <c r="C107" s="243"/>
      <c r="D107" s="249"/>
      <c r="E107" s="243"/>
      <c r="F107" s="243"/>
      <c r="G107" s="245"/>
      <c r="H107" s="243"/>
      <c r="I107" s="87"/>
      <c r="J107" s="243"/>
      <c r="K107" s="243"/>
      <c r="L107" s="249"/>
      <c r="M107" s="243"/>
      <c r="N107" s="243"/>
      <c r="O107" s="245"/>
      <c r="P107" s="243"/>
      <c r="Q107" s="97">
        <f t="shared" si="14"/>
        <v>0</v>
      </c>
      <c r="R107" s="97">
        <f t="shared" si="15"/>
        <v>0</v>
      </c>
      <c r="S107" s="63"/>
      <c r="U107" s="63"/>
      <c r="V107" s="63"/>
      <c r="W107" s="63"/>
      <c r="X107" s="63"/>
      <c r="Y107" s="63"/>
      <c r="Z107" s="63"/>
      <c r="AA107" s="63"/>
      <c r="AB107" s="63"/>
      <c r="AC107" s="63"/>
      <c r="AD107" s="63"/>
      <c r="AE107" s="63"/>
      <c r="AF107" s="63"/>
      <c r="AG107" s="63"/>
      <c r="AH107" s="63"/>
      <c r="AI107" s="63"/>
      <c r="AJ107" s="63"/>
      <c r="AK107" s="63"/>
      <c r="AL107" s="63"/>
      <c r="AM107" s="63"/>
      <c r="AN107" s="63"/>
      <c r="AO107" s="63"/>
    </row>
    <row r="108" spans="1:41" ht="15.75" customHeight="1" x14ac:dyDescent="0.2">
      <c r="A108" s="65" t="s">
        <v>145</v>
      </c>
      <c r="B108" s="243">
        <f>('Pivot Table for Data Exchange'!$E$150)*100</f>
        <v>0</v>
      </c>
      <c r="C108" s="243">
        <f>('Pivot Table for Data Exchange'!$E$153)*100</f>
        <v>0</v>
      </c>
      <c r="D108" s="249">
        <f t="shared" ref="D108:D111" si="24">SUM(E108:G108)</f>
        <v>0</v>
      </c>
      <c r="E108" s="243">
        <f>('Pivot Table for Data Exchange'!$E$156)*100</f>
        <v>0</v>
      </c>
      <c r="F108" s="243">
        <f>('Pivot Table for Data Exchange'!$E$159)*100</f>
        <v>0</v>
      </c>
      <c r="G108" s="245">
        <f>('Pivot Table for Data Exchange'!$E$162)*100</f>
        <v>0</v>
      </c>
      <c r="H108" s="243">
        <f>('Pivot Table for Data Exchange'!$E$165)*100</f>
        <v>0</v>
      </c>
      <c r="I108" s="87" t="s">
        <v>145</v>
      </c>
      <c r="J108" s="243">
        <f>('Pivot Table for Data Exchange'!$E$168)*100</f>
        <v>0</v>
      </c>
      <c r="K108" s="243">
        <f>('Pivot Table for Data Exchange'!$E$171)*100</f>
        <v>0</v>
      </c>
      <c r="L108" s="249">
        <f t="shared" ref="L108:L111" si="25">SUM(M108:O108)</f>
        <v>0</v>
      </c>
      <c r="M108" s="243">
        <f>('Pivot Table for Data Exchange'!$E$174)*100</f>
        <v>0</v>
      </c>
      <c r="N108" s="243">
        <f>('Pivot Table for Data Exchange'!$E$177)*100</f>
        <v>0</v>
      </c>
      <c r="O108" s="245">
        <f>('Pivot Table for Data Exchange'!$E$180)*100</f>
        <v>0</v>
      </c>
      <c r="P108" s="243">
        <f>('Pivot Table for Data Exchange'!$E$183)*100</f>
        <v>0</v>
      </c>
      <c r="Q108" s="97">
        <f t="shared" si="14"/>
        <v>0</v>
      </c>
      <c r="R108" s="97">
        <f t="shared" si="15"/>
        <v>0</v>
      </c>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row>
    <row r="109" spans="1:41" ht="15.75" customHeight="1" x14ac:dyDescent="0.2">
      <c r="A109" s="65" t="s">
        <v>146</v>
      </c>
      <c r="B109" s="243">
        <f>('Pivot Table for Data Exchange'!$E$186)*100</f>
        <v>77.311807706483719</v>
      </c>
      <c r="C109" s="243">
        <f>('Pivot Table for Data Exchange'!$E$189)*100</f>
        <v>7.6579867959055665</v>
      </c>
      <c r="D109" s="249">
        <f t="shared" si="24"/>
        <v>15.030205497610718</v>
      </c>
      <c r="E109" s="243">
        <f>('Pivot Table for Data Exchange'!$E$192)*100</f>
        <v>12.118086764220912</v>
      </c>
      <c r="F109" s="243">
        <f>('Pivot Table for Data Exchange'!$E$195)*100</f>
        <v>2.7573327341269582</v>
      </c>
      <c r="G109" s="245">
        <f>('Pivot Table for Data Exchange'!$E$198)*100</f>
        <v>0.15478599926284684</v>
      </c>
      <c r="H109" s="243">
        <f>('Pivot Table for Data Exchange'!$E$201)*100</f>
        <v>0</v>
      </c>
      <c r="I109" s="87" t="s">
        <v>146</v>
      </c>
      <c r="J109" s="243">
        <f>('Pivot Table for Data Exchange'!$E$204)*100</f>
        <v>45.775277168519168</v>
      </c>
      <c r="K109" s="243">
        <f>('Pivot Table for Data Exchange'!$E$207)*100</f>
        <v>5.0111079323705283</v>
      </c>
      <c r="L109" s="249">
        <f t="shared" si="25"/>
        <v>49.213614899110304</v>
      </c>
      <c r="M109" s="243">
        <f>('Pivot Table for Data Exchange'!$E$210)*100</f>
        <v>45.752319597642085</v>
      </c>
      <c r="N109" s="243">
        <f>('Pivot Table for Data Exchange'!$E$213)*100</f>
        <v>3.4337462164157229</v>
      </c>
      <c r="O109" s="68">
        <f>('Pivot Table for Data Exchange'!$E$216)*100</f>
        <v>2.7549085052502198E-2</v>
      </c>
      <c r="P109" s="243">
        <f>('Pivot Table for Data Exchange'!$E$219)*100</f>
        <v>0</v>
      </c>
      <c r="Q109" s="97">
        <f t="shared" si="14"/>
        <v>100.00000000000001</v>
      </c>
      <c r="R109" s="97">
        <f t="shared" si="15"/>
        <v>100</v>
      </c>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row>
    <row r="110" spans="1:41" ht="15.75" customHeight="1" x14ac:dyDescent="0.2">
      <c r="A110" s="65" t="s">
        <v>147</v>
      </c>
      <c r="B110" s="243">
        <f>('Pivot Table for Data Exchange'!$E$222)*100</f>
        <v>0</v>
      </c>
      <c r="C110" s="243">
        <f>('Pivot Table for Data Exchange'!$E$225)*100</f>
        <v>0</v>
      </c>
      <c r="D110" s="249">
        <f t="shared" si="24"/>
        <v>0</v>
      </c>
      <c r="E110" s="243">
        <f>('Pivot Table for Data Exchange'!$E$228)*100</f>
        <v>0</v>
      </c>
      <c r="F110" s="243">
        <f>('Pivot Table for Data Exchange'!$E$231)*100</f>
        <v>0</v>
      </c>
      <c r="G110" s="245">
        <f>('Pivot Table for Data Exchange'!$E$234)*100</f>
        <v>0</v>
      </c>
      <c r="H110" s="243">
        <f>('Pivot Table for Data Exchange'!$E$237)*100</f>
        <v>0</v>
      </c>
      <c r="I110" s="87" t="s">
        <v>147</v>
      </c>
      <c r="J110" s="243">
        <f>('Pivot Table for Data Exchange'!$E$240)*100</f>
        <v>0</v>
      </c>
      <c r="K110" s="243">
        <f>('Pivot Table for Data Exchange'!$E$243)*100</f>
        <v>0</v>
      </c>
      <c r="L110" s="249">
        <f t="shared" si="25"/>
        <v>0</v>
      </c>
      <c r="M110" s="243">
        <f>('Pivot Table for Data Exchange'!$E$246)*100</f>
        <v>0</v>
      </c>
      <c r="N110" s="243">
        <f>('Pivot Table for Data Exchange'!$E$249)*100</f>
        <v>0</v>
      </c>
      <c r="O110" s="245">
        <f>('Pivot Table for Data Exchange'!$E$252)*100</f>
        <v>0</v>
      </c>
      <c r="P110" s="243">
        <f>('Pivot Table for Data Exchange'!$E$255)*100</f>
        <v>0</v>
      </c>
      <c r="Q110" s="97">
        <f t="shared" si="14"/>
        <v>0</v>
      </c>
      <c r="R110" s="97">
        <f t="shared" si="15"/>
        <v>0</v>
      </c>
      <c r="S110" s="63"/>
      <c r="T110" s="74"/>
      <c r="U110" s="63"/>
      <c r="V110" s="63"/>
      <c r="W110" s="63"/>
      <c r="X110" s="63"/>
      <c r="Y110" s="63"/>
      <c r="Z110" s="63"/>
      <c r="AA110" s="63"/>
      <c r="AB110" s="63"/>
      <c r="AC110" s="63"/>
      <c r="AD110" s="63"/>
      <c r="AE110" s="63"/>
      <c r="AF110" s="63"/>
      <c r="AG110" s="63"/>
      <c r="AH110" s="63"/>
      <c r="AI110" s="63"/>
      <c r="AJ110" s="63"/>
      <c r="AK110" s="63"/>
      <c r="AL110" s="63"/>
      <c r="AM110" s="63"/>
      <c r="AN110" s="63"/>
      <c r="AO110" s="63"/>
    </row>
    <row r="111" spans="1:41" ht="15.75" customHeight="1" x14ac:dyDescent="0.2">
      <c r="A111" s="65" t="s">
        <v>177</v>
      </c>
      <c r="B111" s="243">
        <f>('Pivot Table for Data Exchange'!$E$258)*100</f>
        <v>93.00739769289946</v>
      </c>
      <c r="C111" s="243">
        <f>('Pivot Table for Data Exchange'!$E$261)*100</f>
        <v>1.851447690282467</v>
      </c>
      <c r="D111" s="249">
        <f t="shared" si="24"/>
        <v>5.1411546168180742</v>
      </c>
      <c r="E111" s="243">
        <f>('Pivot Table for Data Exchange'!$E$264)*100</f>
        <v>5.0943450261847323</v>
      </c>
      <c r="F111" s="67">
        <f>('Pivot Table for Data Exchange'!$E$267)*100</f>
        <v>4.6809590633341662E-2</v>
      </c>
      <c r="G111" s="245">
        <f>('Pivot Table for Data Exchange'!$E$270)*100</f>
        <v>0</v>
      </c>
      <c r="H111" s="243">
        <f>('Pivot Table for Data Exchange'!$E$273)*100</f>
        <v>0</v>
      </c>
      <c r="I111" s="87" t="s">
        <v>177</v>
      </c>
      <c r="J111" s="243">
        <f>('Pivot Table for Data Exchange'!$E$276)*100</f>
        <v>64.08838818477372</v>
      </c>
      <c r="K111" s="243">
        <f>('Pivot Table for Data Exchange'!$E$279)*100</f>
        <v>21.900589370468889</v>
      </c>
      <c r="L111" s="249">
        <f t="shared" si="25"/>
        <v>14.011022444757387</v>
      </c>
      <c r="M111" s="243">
        <f>('Pivot Table for Data Exchange'!$E$282)*100</f>
        <v>13.442514647333926</v>
      </c>
      <c r="N111" s="243">
        <f>('Pivot Table for Data Exchange'!$E$285)*100</f>
        <v>0.56850779742346014</v>
      </c>
      <c r="O111" s="245">
        <f>('Pivot Table for Data Exchange'!$E$288)*100</f>
        <v>0</v>
      </c>
      <c r="P111" s="243">
        <f>('Pivot Table for Data Exchange'!$E$291)*100</f>
        <v>0</v>
      </c>
      <c r="Q111" s="97">
        <f t="shared" si="14"/>
        <v>100</v>
      </c>
      <c r="R111" s="97">
        <f t="shared" si="15"/>
        <v>100</v>
      </c>
      <c r="S111" s="63"/>
      <c r="U111" s="63"/>
      <c r="V111" s="63"/>
      <c r="W111" s="63"/>
      <c r="X111" s="63"/>
      <c r="Y111" s="63"/>
      <c r="Z111" s="63"/>
      <c r="AA111" s="63"/>
      <c r="AB111" s="63"/>
      <c r="AC111" s="63"/>
      <c r="AD111" s="63"/>
      <c r="AE111" s="63"/>
      <c r="AF111" s="63"/>
      <c r="AG111" s="63"/>
      <c r="AH111" s="63"/>
      <c r="AI111" s="63"/>
      <c r="AJ111" s="63"/>
      <c r="AK111" s="63"/>
      <c r="AL111" s="63"/>
      <c r="AM111" s="63"/>
      <c r="AN111" s="63"/>
      <c r="AO111" s="63"/>
    </row>
    <row r="112" spans="1:41" ht="11.25" customHeight="1" x14ac:dyDescent="0.2">
      <c r="A112" s="65"/>
      <c r="B112" s="243"/>
      <c r="C112" s="243"/>
      <c r="D112" s="249"/>
      <c r="E112" s="243"/>
      <c r="F112" s="243"/>
      <c r="G112" s="245"/>
      <c r="H112" s="243"/>
      <c r="I112" s="87"/>
      <c r="J112" s="243"/>
      <c r="K112" s="243"/>
      <c r="L112" s="249"/>
      <c r="M112" s="243"/>
      <c r="N112" s="243"/>
      <c r="O112" s="245"/>
      <c r="P112" s="243"/>
      <c r="Q112" s="97">
        <f t="shared" si="14"/>
        <v>0</v>
      </c>
      <c r="R112" s="97">
        <f t="shared" si="15"/>
        <v>0</v>
      </c>
      <c r="S112" s="63"/>
      <c r="U112" s="63"/>
      <c r="V112" s="63"/>
      <c r="W112" s="63"/>
      <c r="X112" s="63"/>
      <c r="Y112" s="63"/>
      <c r="Z112" s="63"/>
      <c r="AA112" s="63"/>
      <c r="AB112" s="63"/>
      <c r="AC112" s="63"/>
      <c r="AD112" s="63"/>
      <c r="AE112" s="63"/>
      <c r="AF112" s="63"/>
      <c r="AG112" s="63"/>
      <c r="AH112" s="63"/>
      <c r="AI112" s="63"/>
      <c r="AJ112" s="63"/>
      <c r="AK112" s="63"/>
      <c r="AL112" s="63"/>
      <c r="AM112" s="63"/>
      <c r="AN112" s="63"/>
      <c r="AO112" s="63"/>
    </row>
    <row r="113" spans="1:41" ht="15.75" customHeight="1" x14ac:dyDescent="0.2">
      <c r="A113" s="65" t="s">
        <v>148</v>
      </c>
      <c r="B113" s="243">
        <f>('Pivot Table for Data Exchange'!$E$294)*100</f>
        <v>0</v>
      </c>
      <c r="C113" s="243">
        <f>('Pivot Table for Data Exchange'!$E$297)*100</f>
        <v>0</v>
      </c>
      <c r="D113" s="249">
        <f t="shared" ref="D113:D115" si="26">SUM(E113:G113)</f>
        <v>0</v>
      </c>
      <c r="E113" s="243">
        <f>('Pivot Table for Data Exchange'!$E$300)*100</f>
        <v>0</v>
      </c>
      <c r="F113" s="243">
        <f>('Pivot Table for Data Exchange'!$E$303)*100</f>
        <v>0</v>
      </c>
      <c r="G113" s="245">
        <f>('Pivot Table for Data Exchange'!$E$306)*100</f>
        <v>0</v>
      </c>
      <c r="H113" s="243">
        <f>('Pivot Table for Data Exchange'!$E$309)*100</f>
        <v>0</v>
      </c>
      <c r="I113" s="87" t="s">
        <v>148</v>
      </c>
      <c r="J113" s="243">
        <f>('Pivot Table for Data Exchange'!$E$312)*100</f>
        <v>0</v>
      </c>
      <c r="K113" s="243">
        <f>('Pivot Table for Data Exchange'!$E$315)*100</f>
        <v>0</v>
      </c>
      <c r="L113" s="249">
        <f t="shared" ref="L113:L115" si="27">SUM(M113:O113)</f>
        <v>0</v>
      </c>
      <c r="M113" s="243">
        <f>('Pivot Table for Data Exchange'!$E$318)*100</f>
        <v>0</v>
      </c>
      <c r="N113" s="243">
        <f>('Pivot Table for Data Exchange'!$E$321)*100</f>
        <v>0</v>
      </c>
      <c r="O113" s="245">
        <f>('Pivot Table for Data Exchange'!$E$324)*100</f>
        <v>0</v>
      </c>
      <c r="P113" s="243">
        <f>('Pivot Table for Data Exchange'!$E$327)*100</f>
        <v>0</v>
      </c>
      <c r="Q113" s="97">
        <f t="shared" si="14"/>
        <v>0</v>
      </c>
      <c r="R113" s="97">
        <f t="shared" si="15"/>
        <v>0</v>
      </c>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row>
    <row r="114" spans="1:41" ht="15.75" customHeight="1" x14ac:dyDescent="0.2">
      <c r="A114" s="65" t="s">
        <v>149</v>
      </c>
      <c r="B114" s="243">
        <f>('Pivot Table for Data Exchange'!$E$330)*100</f>
        <v>92.059172652588217</v>
      </c>
      <c r="C114" s="243">
        <f>('Pivot Table for Data Exchange'!$E$333)*100</f>
        <v>1.6794539847570968</v>
      </c>
      <c r="D114" s="249">
        <f t="shared" si="26"/>
        <v>6.2613733626546857</v>
      </c>
      <c r="E114" s="243">
        <f>('Pivot Table for Data Exchange'!$E$336)*100</f>
        <v>6.226989362408033</v>
      </c>
      <c r="F114" s="67">
        <f>('Pivot Table for Data Exchange'!$E$339)*100</f>
        <v>1.0590003974602758E-2</v>
      </c>
      <c r="G114" s="68">
        <f>('Pivot Table for Data Exchange'!$E$342)*100</f>
        <v>2.3793996272050498E-2</v>
      </c>
      <c r="H114" s="243">
        <f>('Pivot Table for Data Exchange'!$E$345)*100</f>
        <v>0</v>
      </c>
      <c r="I114" s="87" t="s">
        <v>149</v>
      </c>
      <c r="J114" s="243">
        <f>('Pivot Table for Data Exchange'!$E$348)*100</f>
        <v>69.51188755267124</v>
      </c>
      <c r="K114" s="243">
        <f>('Pivot Table for Data Exchange'!$E$351)*100</f>
        <v>9.0130101805431675</v>
      </c>
      <c r="L114" s="249">
        <f t="shared" si="27"/>
        <v>21.475102266785594</v>
      </c>
      <c r="M114" s="243">
        <f>('Pivot Table for Data Exchange'!$E$354)*100</f>
        <v>21.322547903915357</v>
      </c>
      <c r="N114" s="243">
        <f>('Pivot Table for Data Exchange'!$E$357)*100</f>
        <v>0.13102451327161443</v>
      </c>
      <c r="O114" s="68">
        <f>('Pivot Table for Data Exchange'!$E$360)*100</f>
        <v>2.152984959862209E-2</v>
      </c>
      <c r="P114" s="243">
        <f>('Pivot Table for Data Exchange'!$E$363)*100</f>
        <v>0</v>
      </c>
      <c r="Q114" s="97">
        <f t="shared" si="14"/>
        <v>100</v>
      </c>
      <c r="R114" s="97">
        <f t="shared" si="15"/>
        <v>100</v>
      </c>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row>
    <row r="115" spans="1:41" ht="15.75" customHeight="1" x14ac:dyDescent="0.2">
      <c r="A115" s="65" t="s">
        <v>150</v>
      </c>
      <c r="B115" s="243">
        <f>('Pivot Table for Data Exchange'!$E$366)*100</f>
        <v>87.676385638036777</v>
      </c>
      <c r="C115" s="243">
        <f>('Pivot Table for Data Exchange'!$E$369)*100</f>
        <v>0.75006415588933839</v>
      </c>
      <c r="D115" s="249">
        <f t="shared" si="26"/>
        <v>11.573550206073884</v>
      </c>
      <c r="E115" s="243">
        <f>('Pivot Table for Data Exchange'!$E$372)*100</f>
        <v>10.73633737902955</v>
      </c>
      <c r="F115" s="243">
        <f>('Pivot Table for Data Exchange'!$E$375)*100</f>
        <v>0.20615999875993984</v>
      </c>
      <c r="G115" s="245">
        <f>('Pivot Table for Data Exchange'!$E$378)*100</f>
        <v>0.63105282828439402</v>
      </c>
      <c r="H115" s="243">
        <f>('Pivot Table for Data Exchange'!$E$381)*100</f>
        <v>0</v>
      </c>
      <c r="I115" s="87" t="s">
        <v>150</v>
      </c>
      <c r="J115" s="243">
        <f>('Pivot Table for Data Exchange'!$E$384)*100</f>
        <v>88.1832615105466</v>
      </c>
      <c r="K115" s="243">
        <f>('Pivot Table for Data Exchange'!$E$387)*100</f>
        <v>0.14639477102620671</v>
      </c>
      <c r="L115" s="249">
        <f t="shared" si="27"/>
        <v>11.670343718427183</v>
      </c>
      <c r="M115" s="243">
        <f>('Pivot Table for Data Exchange'!$E$390)*100</f>
        <v>6.6434359471329305</v>
      </c>
      <c r="N115" s="243">
        <f>('Pivot Table for Data Exchange'!$E$393)*100</f>
        <v>1.0020825171653025</v>
      </c>
      <c r="O115" s="245">
        <f>('Pivot Table for Data Exchange'!$E$396)*100</f>
        <v>4.0248252541289515</v>
      </c>
      <c r="P115" s="243">
        <f>('Pivot Table for Data Exchange'!$E$399)*100</f>
        <v>0</v>
      </c>
      <c r="Q115" s="97">
        <f t="shared" si="14"/>
        <v>100</v>
      </c>
      <c r="R115" s="97">
        <f t="shared" si="15"/>
        <v>100</v>
      </c>
      <c r="S115" s="63"/>
      <c r="T115" s="74"/>
      <c r="U115" s="63"/>
      <c r="V115" s="63"/>
      <c r="W115" s="63"/>
      <c r="X115" s="63"/>
      <c r="Y115" s="63"/>
      <c r="Z115" s="63"/>
      <c r="AA115" s="63"/>
      <c r="AB115" s="63"/>
      <c r="AC115" s="63"/>
      <c r="AD115" s="63"/>
      <c r="AE115" s="63"/>
      <c r="AF115" s="63"/>
      <c r="AG115" s="63"/>
      <c r="AH115" s="63"/>
      <c r="AI115" s="63"/>
      <c r="AJ115" s="63"/>
      <c r="AK115" s="63"/>
      <c r="AL115" s="63"/>
      <c r="AM115" s="63"/>
      <c r="AN115" s="63"/>
      <c r="AO115" s="63"/>
    </row>
    <row r="116" spans="1:41" ht="15.75" customHeight="1" x14ac:dyDescent="0.2">
      <c r="A116" s="65" t="s">
        <v>151</v>
      </c>
      <c r="B116" s="243">
        <f>('Pivot Table for Data Exchange'!$E$402)*100</f>
        <v>98.377612214781351</v>
      </c>
      <c r="C116" s="243">
        <f>('Pivot Table for Data Exchange'!$E$405)*100</f>
        <v>0.68806825062908461</v>
      </c>
      <c r="D116" s="249">
        <f>SUM(E116:G116)</f>
        <v>0.93431953458955863</v>
      </c>
      <c r="E116" s="243">
        <f>('Pivot Table for Data Exchange'!$E$408)*100</f>
        <v>0.93431953458955863</v>
      </c>
      <c r="F116" s="243">
        <f>('Pivot Table for Data Exchange'!$E$411)*100</f>
        <v>0</v>
      </c>
      <c r="G116" s="245">
        <f>('Pivot Table for Data Exchange'!$E$414)*100</f>
        <v>0</v>
      </c>
      <c r="H116" s="243">
        <f>('Pivot Table for Data Exchange'!$E$417)*100</f>
        <v>0</v>
      </c>
      <c r="I116" s="87" t="s">
        <v>151</v>
      </c>
      <c r="J116" s="243">
        <f>('Pivot Table for Data Exchange'!$E$420)*100</f>
        <v>66.890742905728558</v>
      </c>
      <c r="K116" s="243">
        <f>('Pivot Table for Data Exchange'!$E$423)*100</f>
        <v>26.283345732809011</v>
      </c>
      <c r="L116" s="249">
        <f>SUM(M116:O116)</f>
        <v>6.8259113614624294</v>
      </c>
      <c r="M116" s="243">
        <f>('Pivot Table for Data Exchange'!$E$426)*100</f>
        <v>6.602720799234775</v>
      </c>
      <c r="N116" s="243">
        <f>('Pivot Table for Data Exchange'!$E$429)*100</f>
        <v>0</v>
      </c>
      <c r="O116" s="245">
        <f>('Pivot Table for Data Exchange'!$E$432)*100</f>
        <v>0.22319056222765438</v>
      </c>
      <c r="P116" s="243">
        <f>('Pivot Table for Data Exchange'!$E$435)*100</f>
        <v>0</v>
      </c>
      <c r="Q116" s="97">
        <f t="shared" si="14"/>
        <v>100</v>
      </c>
      <c r="R116" s="97">
        <f t="shared" si="15"/>
        <v>100</v>
      </c>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row>
    <row r="117" spans="1:41" ht="11.25" customHeight="1" x14ac:dyDescent="0.2">
      <c r="A117" s="65"/>
      <c r="B117" s="243"/>
      <c r="C117" s="243"/>
      <c r="D117" s="249"/>
      <c r="E117" s="243"/>
      <c r="F117" s="243"/>
      <c r="G117" s="245"/>
      <c r="H117" s="243"/>
      <c r="I117" s="87"/>
      <c r="J117" s="243"/>
      <c r="K117" s="243"/>
      <c r="L117" s="249"/>
      <c r="M117" s="243"/>
      <c r="N117" s="243"/>
      <c r="O117" s="245"/>
      <c r="P117" s="243"/>
      <c r="Q117" s="97">
        <f t="shared" si="14"/>
        <v>0</v>
      </c>
      <c r="R117" s="97">
        <f t="shared" si="15"/>
        <v>0</v>
      </c>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row>
    <row r="118" spans="1:41" ht="15.75" customHeight="1" x14ac:dyDescent="0.2">
      <c r="A118" s="65" t="s">
        <v>152</v>
      </c>
      <c r="B118" s="243">
        <f>('Pivot Table for Data Exchange'!$E$438)*100</f>
        <v>81.554371698515666</v>
      </c>
      <c r="C118" s="243">
        <f>('Pivot Table for Data Exchange'!$E$441)*100</f>
        <v>2.0921975964801915</v>
      </c>
      <c r="D118" s="249">
        <f>SUM(E118:G118)</f>
        <v>15.581489482511314</v>
      </c>
      <c r="E118" s="243">
        <f>('Pivot Table for Data Exchange'!$E$444)*100</f>
        <v>11.817308763663124</v>
      </c>
      <c r="F118" s="243">
        <f>('Pivot Table for Data Exchange'!$E$447)*100</f>
        <v>0.53467474530462145</v>
      </c>
      <c r="G118" s="245">
        <f>('Pivot Table for Data Exchange'!$E$450)*100</f>
        <v>3.2295059735435694</v>
      </c>
      <c r="H118" s="243">
        <f>('Pivot Table for Data Exchange'!$E$453)*100</f>
        <v>0.77194122249283526</v>
      </c>
      <c r="I118" s="87" t="s">
        <v>152</v>
      </c>
      <c r="J118" s="243">
        <f>('Pivot Table for Data Exchange'!$E$456)*100</f>
        <v>56.933602816720352</v>
      </c>
      <c r="K118" s="243">
        <f>('Pivot Table for Data Exchange'!$E$459)*100</f>
        <v>5.167796259132559</v>
      </c>
      <c r="L118" s="249">
        <f>SUM(M118:O118)</f>
        <v>33.227872961912851</v>
      </c>
      <c r="M118" s="243">
        <f>('Pivot Table for Data Exchange'!$E$462)*100</f>
        <v>27.7922597324687</v>
      </c>
      <c r="N118" s="243">
        <f>('Pivot Table for Data Exchange'!$E$465)*100</f>
        <v>1.2662386356332265</v>
      </c>
      <c r="O118" s="245">
        <f>('Pivot Table for Data Exchange'!$E$468)*100</f>
        <v>4.1693745938109279</v>
      </c>
      <c r="P118" s="243">
        <f>('Pivot Table for Data Exchange'!$E$471)*100</f>
        <v>4.6707279622342366</v>
      </c>
      <c r="Q118" s="97">
        <f t="shared" si="14"/>
        <v>100.00000000000001</v>
      </c>
      <c r="R118" s="97">
        <f t="shared" si="15"/>
        <v>100</v>
      </c>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row>
    <row r="119" spans="1:41" ht="15.75" customHeight="1" x14ac:dyDescent="0.2">
      <c r="A119" s="65" t="s">
        <v>153</v>
      </c>
      <c r="B119" s="243">
        <f>('Pivot Table for Data Exchange'!$E$474)*100</f>
        <v>88.025976313762399</v>
      </c>
      <c r="C119" s="243">
        <f>('Pivot Table for Data Exchange'!$E$477)*100</f>
        <v>2.3255183686209571</v>
      </c>
      <c r="D119" s="249">
        <f>SUM(E119:G119)</f>
        <v>9.6485053176166495</v>
      </c>
      <c r="E119" s="243">
        <f>('Pivot Table for Data Exchange'!$E$480)*100</f>
        <v>9.2237595050893582</v>
      </c>
      <c r="F119" s="243">
        <f>('Pivot Table for Data Exchange'!$E$483)*100</f>
        <v>0.21945200313910049</v>
      </c>
      <c r="G119" s="245">
        <f>('Pivot Table for Data Exchange'!$E$486)*100</f>
        <v>0.20529380938819081</v>
      </c>
      <c r="H119" s="243">
        <f>('Pivot Table for Data Exchange'!$E$489)*100</f>
        <v>0</v>
      </c>
      <c r="I119" s="87" t="s">
        <v>153</v>
      </c>
      <c r="J119" s="243">
        <f>('Pivot Table for Data Exchange'!$E$492)*100</f>
        <v>56.512911083677999</v>
      </c>
      <c r="K119" s="243">
        <f>('Pivot Table for Data Exchange'!$E$495)*100</f>
        <v>7.3126263399923701</v>
      </c>
      <c r="L119" s="249">
        <f>SUM(M119:O119)</f>
        <v>36.174462576329624</v>
      </c>
      <c r="M119" s="243">
        <f>('Pivot Table for Data Exchange'!$E$498)*100</f>
        <v>34.531629677020163</v>
      </c>
      <c r="N119" s="243">
        <f>('Pivot Table for Data Exchange'!$E$501)*100</f>
        <v>0.35908341368031216</v>
      </c>
      <c r="O119" s="245">
        <f>('Pivot Table for Data Exchange'!$E$504)*100</f>
        <v>1.2837494856291545</v>
      </c>
      <c r="P119" s="243">
        <f>('Pivot Table for Data Exchange'!$E$507)*100</f>
        <v>0</v>
      </c>
      <c r="Q119" s="97">
        <f t="shared" si="14"/>
        <v>100.00000000000001</v>
      </c>
      <c r="R119" s="97">
        <f t="shared" si="15"/>
        <v>100</v>
      </c>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row>
    <row r="120" spans="1:41" ht="15.75" customHeight="1" x14ac:dyDescent="0.2">
      <c r="A120" s="65" t="s">
        <v>154</v>
      </c>
      <c r="B120" s="243">
        <f>('Pivot Table for Data Exchange'!$E$510)*100</f>
        <v>92.522772459684788</v>
      </c>
      <c r="C120" s="243">
        <f>('Pivot Table for Data Exchange'!$E$513)*100</f>
        <v>1.7236092135061165</v>
      </c>
      <c r="D120" s="249">
        <f t="shared" ref="D120" si="28">SUM(E120:G120)</f>
        <v>5.7536183268090912</v>
      </c>
      <c r="E120" s="243">
        <f>('Pivot Table for Data Exchange'!$E$516)*100</f>
        <v>2.2750144329956279</v>
      </c>
      <c r="F120" s="243">
        <f>('Pivot Table for Data Exchange'!$E$519)*100</f>
        <v>3.4786038938134638</v>
      </c>
      <c r="G120" s="245">
        <f>('Pivot Table for Data Exchange'!$E$522)*100</f>
        <v>0</v>
      </c>
      <c r="H120" s="243">
        <f>('Pivot Table for Data Exchange'!$E$525)*100</f>
        <v>0</v>
      </c>
      <c r="I120" s="87" t="s">
        <v>154</v>
      </c>
      <c r="J120" s="243">
        <f>('Pivot Table for Data Exchange'!$E$528)*100</f>
        <v>79.13404730590176</v>
      </c>
      <c r="K120" s="243">
        <f>('Pivot Table for Data Exchange'!$E$531)*100</f>
        <v>8.7680841736080666</v>
      </c>
      <c r="L120" s="249">
        <f t="shared" ref="L120" si="29">SUM(M120:O120)</f>
        <v>12.097868520490177</v>
      </c>
      <c r="M120" s="243">
        <f>('Pivot Table for Data Exchange'!$E$534)*100</f>
        <v>8.2232103713909943</v>
      </c>
      <c r="N120" s="67">
        <f>('Pivot Table for Data Exchange'!$E$537)*100</f>
        <v>3.8746581490991838</v>
      </c>
      <c r="O120" s="245">
        <f>('Pivot Table for Data Exchange'!$E$540)*100</f>
        <v>0</v>
      </c>
      <c r="P120" s="243">
        <f>('Pivot Table for Data Exchange'!$E$543)*100</f>
        <v>0</v>
      </c>
      <c r="Q120" s="97">
        <f t="shared" si="14"/>
        <v>100</v>
      </c>
      <c r="R120" s="97">
        <f t="shared" si="15"/>
        <v>100</v>
      </c>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row>
    <row r="121" spans="1:41" ht="15.75" customHeight="1" x14ac:dyDescent="0.2">
      <c r="A121" s="39" t="s">
        <v>155</v>
      </c>
      <c r="B121" s="246">
        <f>('Pivot Table for Data Exchange'!$E$546)*100</f>
        <v>79.951260798505714</v>
      </c>
      <c r="C121" s="246">
        <f>('Pivot Table for Data Exchange'!$E$549)*100</f>
        <v>5.872781928554752</v>
      </c>
      <c r="D121" s="250">
        <f>SUM(E121:G121)</f>
        <v>14.175957272939529</v>
      </c>
      <c r="E121" s="246">
        <f>('Pivot Table for Data Exchange'!$E$552)*100</f>
        <v>13.763717020779827</v>
      </c>
      <c r="F121" s="246">
        <f>('Pivot Table for Data Exchange'!$E$555)*100</f>
        <v>0.41224025215970111</v>
      </c>
      <c r="G121" s="247">
        <f>('Pivot Table for Data Exchange'!$E$558)*100</f>
        <v>0</v>
      </c>
      <c r="H121" s="246">
        <f>('Pivot Table for Data Exchange'!$E$561)*100</f>
        <v>0</v>
      </c>
      <c r="I121" s="252" t="s">
        <v>155</v>
      </c>
      <c r="J121" s="246">
        <f>('Pivot Table for Data Exchange'!$E$564)*100</f>
        <v>29.566748983149331</v>
      </c>
      <c r="K121" s="246">
        <f>('Pivot Table for Data Exchange'!$E$567)*100</f>
        <v>50.228791400348641</v>
      </c>
      <c r="L121" s="250">
        <f>SUM(M121:O121)</f>
        <v>20.204459616502035</v>
      </c>
      <c r="M121" s="246">
        <f>('Pivot Table for Data Exchange'!$E$570)*100</f>
        <v>19.95387855897734</v>
      </c>
      <c r="N121" s="246">
        <f>('Pivot Table for Data Exchange'!$E$573)*100</f>
        <v>0.25058105752469495</v>
      </c>
      <c r="O121" s="247">
        <f>('Pivot Table for Data Exchange'!$E$576)*100</f>
        <v>0</v>
      </c>
      <c r="P121" s="246">
        <f>('Pivot Table for Data Exchange'!$E$579)*100</f>
        <v>0</v>
      </c>
      <c r="Q121" s="97">
        <f t="shared" si="14"/>
        <v>100</v>
      </c>
      <c r="R121" s="97">
        <f t="shared" si="15"/>
        <v>100.00000000000001</v>
      </c>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row>
    <row r="122" spans="1:41" s="25" customFormat="1" ht="18" customHeight="1" x14ac:dyDescent="0.2">
      <c r="A122" s="24" t="s">
        <v>175</v>
      </c>
      <c r="B122" s="69"/>
      <c r="C122" s="69"/>
      <c r="D122" s="70"/>
      <c r="E122" s="69"/>
      <c r="F122" s="70"/>
      <c r="G122" s="70"/>
      <c r="H122" s="69"/>
      <c r="I122" s="24" t="s">
        <v>175</v>
      </c>
      <c r="J122" s="69"/>
      <c r="K122" s="69"/>
      <c r="L122" s="70"/>
      <c r="M122" s="69"/>
      <c r="N122" s="70"/>
      <c r="O122" s="70"/>
      <c r="P122" s="69"/>
      <c r="Q122" s="97"/>
      <c r="R122" s="97"/>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row>
    <row r="123" spans="1:41" s="25" customFormat="1" ht="28.5" customHeight="1" x14ac:dyDescent="0.2">
      <c r="A123" s="666" t="s">
        <v>176</v>
      </c>
      <c r="B123" s="687"/>
      <c r="C123" s="687"/>
      <c r="D123" s="687"/>
      <c r="E123" s="687"/>
      <c r="F123" s="687"/>
      <c r="G123" s="687"/>
      <c r="H123" s="687"/>
      <c r="I123" s="666" t="s">
        <v>176</v>
      </c>
      <c r="J123" s="687"/>
      <c r="K123" s="687"/>
      <c r="L123" s="687"/>
      <c r="M123" s="687"/>
      <c r="N123" s="687"/>
      <c r="O123" s="687"/>
      <c r="P123" s="687"/>
      <c r="Q123" s="97"/>
      <c r="R123" s="97"/>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row>
    <row r="124" spans="1:41" s="25" customFormat="1" ht="13.5" customHeight="1" x14ac:dyDescent="0.2">
      <c r="A124" s="75"/>
      <c r="B124" s="76"/>
      <c r="H124" s="26"/>
      <c r="I124" s="75"/>
      <c r="P124" s="77"/>
      <c r="Q124" s="97"/>
      <c r="R124" s="97"/>
    </row>
    <row r="125" spans="1:41" s="25" customFormat="1" ht="13.5" customHeight="1" x14ac:dyDescent="0.2">
      <c r="H125" s="27" t="s">
        <v>914</v>
      </c>
      <c r="I125" s="75"/>
      <c r="P125" s="27" t="s">
        <v>914</v>
      </c>
      <c r="Q125" s="97"/>
      <c r="R125" s="97"/>
    </row>
    <row r="126" spans="1:41" ht="18" x14ac:dyDescent="0.25">
      <c r="A126" s="16" t="s">
        <v>205</v>
      </c>
      <c r="B126" s="34"/>
      <c r="C126" s="34"/>
      <c r="D126" s="34"/>
      <c r="E126" s="34"/>
      <c r="F126" s="34"/>
      <c r="G126" s="34"/>
      <c r="H126" s="35"/>
      <c r="I126" s="16" t="s">
        <v>220</v>
      </c>
      <c r="J126" s="19"/>
      <c r="K126" s="19"/>
      <c r="L126" s="34"/>
      <c r="M126" s="19"/>
      <c r="N126" s="19"/>
      <c r="O126" s="19"/>
      <c r="P126" s="19"/>
      <c r="Q126" s="97"/>
      <c r="R126" s="97"/>
    </row>
    <row r="127" spans="1:41" x14ac:dyDescent="0.2">
      <c r="A127" s="18"/>
      <c r="B127" s="19"/>
      <c r="C127" s="19"/>
      <c r="D127" s="19"/>
      <c r="E127" s="19"/>
      <c r="F127" s="19"/>
      <c r="G127" s="19"/>
      <c r="H127" s="36"/>
      <c r="I127" s="18"/>
      <c r="J127" s="19"/>
      <c r="K127" s="19"/>
      <c r="L127" s="19"/>
      <c r="M127" s="19"/>
      <c r="N127" s="19"/>
      <c r="O127" s="19"/>
      <c r="P127" s="19"/>
      <c r="Q127" s="97"/>
      <c r="R127" s="97"/>
    </row>
    <row r="128" spans="1:41" ht="15.75" x14ac:dyDescent="0.25">
      <c r="A128" s="37" t="s">
        <v>162</v>
      </c>
      <c r="B128" s="19"/>
      <c r="C128" s="19"/>
      <c r="D128" s="19"/>
      <c r="E128" s="19"/>
      <c r="F128" s="19"/>
      <c r="G128" s="19"/>
      <c r="H128" s="36"/>
      <c r="I128" s="37" t="s">
        <v>163</v>
      </c>
      <c r="J128" s="19"/>
      <c r="K128" s="19"/>
      <c r="L128" s="19"/>
      <c r="M128" s="19"/>
      <c r="N128" s="19"/>
      <c r="O128" s="19"/>
      <c r="P128" s="19"/>
      <c r="Q128" s="97"/>
      <c r="R128" s="97"/>
    </row>
    <row r="129" spans="1:41" ht="15.75" x14ac:dyDescent="0.25">
      <c r="A129" s="37" t="s">
        <v>244</v>
      </c>
      <c r="B129" s="19"/>
      <c r="C129" s="19"/>
      <c r="D129" s="19"/>
      <c r="E129" s="19"/>
      <c r="F129" s="19"/>
      <c r="G129" s="19"/>
      <c r="H129" s="36"/>
      <c r="I129" s="37" t="s">
        <v>244</v>
      </c>
      <c r="J129" s="19"/>
      <c r="K129" s="19"/>
      <c r="L129" s="19"/>
      <c r="M129" s="19"/>
      <c r="N129" s="19"/>
      <c r="O129" s="19"/>
      <c r="P129" s="19"/>
      <c r="Q129" s="97"/>
      <c r="R129" s="97"/>
    </row>
    <row r="130" spans="1:41" x14ac:dyDescent="0.2">
      <c r="A130" s="39"/>
      <c r="B130" s="40"/>
      <c r="C130" s="40"/>
      <c r="D130" s="40"/>
      <c r="E130" s="40"/>
      <c r="F130" s="40"/>
      <c r="G130" s="40"/>
      <c r="H130" s="40"/>
      <c r="I130" s="41"/>
      <c r="L130" s="42"/>
      <c r="P130" s="39"/>
      <c r="Q130" s="97"/>
      <c r="R130" s="97"/>
    </row>
    <row r="131" spans="1:41" s="48" customFormat="1" x14ac:dyDescent="0.2">
      <c r="A131" s="43"/>
      <c r="B131" s="44" t="s">
        <v>164</v>
      </c>
      <c r="C131" s="44"/>
      <c r="D131" s="44"/>
      <c r="E131" s="44"/>
      <c r="F131" s="44"/>
      <c r="G131" s="44"/>
      <c r="H131" s="45"/>
      <c r="I131" s="43"/>
      <c r="J131" s="44" t="s">
        <v>164</v>
      </c>
      <c r="K131" s="44"/>
      <c r="L131" s="44"/>
      <c r="M131" s="44"/>
      <c r="N131" s="44"/>
      <c r="O131" s="44"/>
      <c r="P131" s="45"/>
      <c r="Q131" s="97"/>
      <c r="R131" s="97"/>
    </row>
    <row r="132" spans="1:41" s="48" customFormat="1" x14ac:dyDescent="0.2">
      <c r="A132" s="43"/>
      <c r="B132" s="44" t="s">
        <v>165</v>
      </c>
      <c r="C132" s="44"/>
      <c r="D132" s="670" t="s">
        <v>166</v>
      </c>
      <c r="E132" s="668"/>
      <c r="F132" s="668"/>
      <c r="G132" s="668"/>
      <c r="H132" s="49" t="s">
        <v>39</v>
      </c>
      <c r="I132" s="43"/>
      <c r="J132" s="44" t="s">
        <v>165</v>
      </c>
      <c r="K132" s="44"/>
      <c r="L132" s="670" t="s">
        <v>166</v>
      </c>
      <c r="M132" s="668"/>
      <c r="N132" s="668"/>
      <c r="O132" s="668"/>
      <c r="P132" s="49" t="s">
        <v>39</v>
      </c>
      <c r="Q132" s="97"/>
      <c r="R132" s="97"/>
    </row>
    <row r="133" spans="1:41" s="48" customFormat="1" ht="40.5" customHeight="1" x14ac:dyDescent="0.2">
      <c r="A133" s="43"/>
      <c r="B133" s="50" t="s">
        <v>167</v>
      </c>
      <c r="C133" s="51" t="s">
        <v>168</v>
      </c>
      <c r="D133" s="52" t="s">
        <v>169</v>
      </c>
      <c r="E133" s="53" t="s">
        <v>7</v>
      </c>
      <c r="F133" s="50" t="s">
        <v>170</v>
      </c>
      <c r="G133" s="54" t="s">
        <v>171</v>
      </c>
      <c r="H133" s="55" t="s">
        <v>172</v>
      </c>
      <c r="I133" s="43"/>
      <c r="J133" s="50" t="s">
        <v>167</v>
      </c>
      <c r="K133" s="51" t="s">
        <v>168</v>
      </c>
      <c r="L133" s="52" t="s">
        <v>169</v>
      </c>
      <c r="M133" s="53" t="s">
        <v>7</v>
      </c>
      <c r="N133" s="50" t="s">
        <v>170</v>
      </c>
      <c r="O133" s="54" t="s">
        <v>171</v>
      </c>
      <c r="P133" s="55" t="s">
        <v>172</v>
      </c>
      <c r="Q133" s="97"/>
      <c r="R133" s="97"/>
      <c r="T133" s="73"/>
    </row>
    <row r="134" spans="1:41" ht="15.75" customHeight="1" x14ac:dyDescent="0.2">
      <c r="A134" s="62" t="s">
        <v>141</v>
      </c>
      <c r="B134" s="243">
        <f>('Pivot Table for Data Exchange'!$F$6)*100</f>
        <v>89.22568659613502</v>
      </c>
      <c r="C134" s="243">
        <f>('Pivot Table for Data Exchange'!$F$9)*100</f>
        <v>0.83518222473111059</v>
      </c>
      <c r="D134" s="249">
        <f>SUM(E134:G134)</f>
        <v>9.939131179133863</v>
      </c>
      <c r="E134" s="243">
        <f>('Pivot Table for Data Exchange'!$F$12)*100</f>
        <v>9.939131179133863</v>
      </c>
      <c r="F134" s="243">
        <f>('Pivot Table for Data Exchange'!$F$15)*100</f>
        <v>0</v>
      </c>
      <c r="G134" s="60">
        <f>('Pivot Table for Data Exchange'!$F$18)*100</f>
        <v>0</v>
      </c>
      <c r="H134" s="243">
        <f>('Pivot Table for Data Exchange'!$F$21)*100</f>
        <v>0</v>
      </c>
      <c r="I134" s="251" t="s">
        <v>141</v>
      </c>
      <c r="J134" s="243">
        <f>('Pivot Table for Data Exchange'!$F$24)*100</f>
        <v>58.597205023881131</v>
      </c>
      <c r="K134" s="243">
        <f>('Pivot Table for Data Exchange'!$F$27)*100</f>
        <v>6.7840084910666896</v>
      </c>
      <c r="L134" s="249">
        <f>SUM(M134:O134)</f>
        <v>34.618786485052183</v>
      </c>
      <c r="M134" s="243">
        <f>('Pivot Table for Data Exchange'!$F$30)*100</f>
        <v>34.618786485052183</v>
      </c>
      <c r="N134" s="243">
        <f>('Pivot Table for Data Exchange'!$F$33)*100</f>
        <v>0</v>
      </c>
      <c r="O134" s="60">
        <f>('Pivot Table for Data Exchange'!$F$36)*100</f>
        <v>0</v>
      </c>
      <c r="P134" s="243">
        <f>('Pivot Table for Data Exchange'!$F$39)*100</f>
        <v>0</v>
      </c>
      <c r="Q134" s="97">
        <f t="shared" si="14"/>
        <v>100</v>
      </c>
      <c r="R134" s="97">
        <f t="shared" si="15"/>
        <v>100</v>
      </c>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row>
    <row r="135" spans="1:41" ht="15.75" customHeight="1" x14ac:dyDescent="0.2">
      <c r="A135" s="65" t="s">
        <v>142</v>
      </c>
      <c r="B135" s="243">
        <f>('Pivot Table for Data Exchange'!$F$42)*100</f>
        <v>89.573592823274794</v>
      </c>
      <c r="C135" s="243">
        <f>('Pivot Table for Data Exchange'!$F$45)*100</f>
        <v>1.5028608876186071</v>
      </c>
      <c r="D135" s="249">
        <f t="shared" ref="D135:D137" si="30">SUM(E135:G135)</f>
        <v>8.9235462891066</v>
      </c>
      <c r="E135" s="243">
        <f>('Pivot Table for Data Exchange'!$F$48)*100</f>
        <v>8.8872000748952296</v>
      </c>
      <c r="F135" s="67">
        <f>('Pivot Table for Data Exchange'!$F$51)*100</f>
        <v>3.6346214211369757E-2</v>
      </c>
      <c r="G135" s="245">
        <f>('Pivot Table for Data Exchange'!$F$54)*100</f>
        <v>0</v>
      </c>
      <c r="H135" s="243">
        <f>('Pivot Table for Data Exchange'!$F$57)*100</f>
        <v>0</v>
      </c>
      <c r="I135" s="87" t="s">
        <v>142</v>
      </c>
      <c r="J135" s="243">
        <f>('Pivot Table for Data Exchange'!$F$60)*100</f>
        <v>57.554095826893359</v>
      </c>
      <c r="K135" s="243">
        <f>('Pivot Table for Data Exchange'!$F$63)*100</f>
        <v>8.1530139103554866</v>
      </c>
      <c r="L135" s="249">
        <f t="shared" ref="L135:L137" si="31">SUM(M135:O135)</f>
        <v>34.292890262751158</v>
      </c>
      <c r="M135" s="243">
        <f>('Pivot Table for Data Exchange'!$F$66)*100</f>
        <v>34.292890262751158</v>
      </c>
      <c r="N135" s="243">
        <f>('Pivot Table for Data Exchange'!$F$69)*100</f>
        <v>0</v>
      </c>
      <c r="O135" s="245">
        <f>('Pivot Table for Data Exchange'!$F$72)*100</f>
        <v>0</v>
      </c>
      <c r="P135" s="243">
        <f>('Pivot Table for Data Exchange'!$F$75)*100</f>
        <v>0</v>
      </c>
      <c r="Q135" s="97">
        <f t="shared" si="14"/>
        <v>100</v>
      </c>
      <c r="R135" s="97">
        <f t="shared" si="15"/>
        <v>100</v>
      </c>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row>
    <row r="136" spans="1:41" ht="15.75" customHeight="1" x14ac:dyDescent="0.2">
      <c r="A136" s="65" t="s">
        <v>143</v>
      </c>
      <c r="B136" s="243">
        <f>('Pivot Table for Data Exchange'!$F$78)*100</f>
        <v>0</v>
      </c>
      <c r="C136" s="243">
        <f>('Pivot Table for Data Exchange'!$F$81)*100</f>
        <v>0</v>
      </c>
      <c r="D136" s="249">
        <f t="shared" si="30"/>
        <v>0</v>
      </c>
      <c r="E136" s="243">
        <f>('Pivot Table for Data Exchange'!$F$84)*100</f>
        <v>0</v>
      </c>
      <c r="F136" s="243">
        <f>('Pivot Table for Data Exchange'!$F$87)*100</f>
        <v>0</v>
      </c>
      <c r="G136" s="245">
        <f>('Pivot Table for Data Exchange'!$F$90)*100</f>
        <v>0</v>
      </c>
      <c r="H136" s="243">
        <f>('Pivot Table for Data Exchange'!$F$93)*100</f>
        <v>0</v>
      </c>
      <c r="I136" s="87" t="s">
        <v>143</v>
      </c>
      <c r="J136" s="243">
        <f>('Pivot Table for Data Exchange'!$F$96)*100</f>
        <v>0</v>
      </c>
      <c r="K136" s="243">
        <f>('Pivot Table for Data Exchange'!$F$99)*100</f>
        <v>0</v>
      </c>
      <c r="L136" s="249">
        <f t="shared" si="31"/>
        <v>0</v>
      </c>
      <c r="M136" s="243">
        <f>('Pivot Table for Data Exchange'!$F$102)*100</f>
        <v>0</v>
      </c>
      <c r="N136" s="243">
        <f>('Pivot Table for Data Exchange'!$F$105)*100</f>
        <v>0</v>
      </c>
      <c r="O136" s="245">
        <f>('Pivot Table for Data Exchange'!$F$108)*100</f>
        <v>0</v>
      </c>
      <c r="P136" s="243">
        <f>('Pivot Table for Data Exchange'!$F$111)*100</f>
        <v>0</v>
      </c>
      <c r="Q136" s="97">
        <f t="shared" si="14"/>
        <v>0</v>
      </c>
      <c r="R136" s="97">
        <f t="shared" si="15"/>
        <v>0</v>
      </c>
      <c r="S136" s="63"/>
      <c r="T136" s="74"/>
      <c r="U136" s="63"/>
      <c r="V136" s="63"/>
      <c r="W136" s="63"/>
      <c r="X136" s="63"/>
      <c r="Y136" s="63"/>
      <c r="Z136" s="63"/>
      <c r="AA136" s="63"/>
      <c r="AB136" s="63"/>
      <c r="AC136" s="63"/>
      <c r="AD136" s="63"/>
      <c r="AE136" s="63"/>
      <c r="AF136" s="63"/>
      <c r="AG136" s="63"/>
      <c r="AH136" s="63"/>
      <c r="AI136" s="63"/>
      <c r="AJ136" s="63"/>
      <c r="AK136" s="63"/>
      <c r="AL136" s="63"/>
      <c r="AM136" s="63"/>
      <c r="AN136" s="63"/>
      <c r="AO136" s="63"/>
    </row>
    <row r="137" spans="1:41" ht="15.75" customHeight="1" x14ac:dyDescent="0.2">
      <c r="A137" s="65" t="s">
        <v>144</v>
      </c>
      <c r="B137" s="243">
        <f>('Pivot Table for Data Exchange'!$F$114)*100</f>
        <v>79.980108329896765</v>
      </c>
      <c r="C137" s="243">
        <f>('Pivot Table for Data Exchange'!$F$117)*100</f>
        <v>2.6396315535948824</v>
      </c>
      <c r="D137" s="249">
        <f t="shared" si="30"/>
        <v>17.380260116508353</v>
      </c>
      <c r="E137" s="243">
        <f>('Pivot Table for Data Exchange'!$F$120)*100</f>
        <v>17.380260116508353</v>
      </c>
      <c r="F137" s="243">
        <f>('Pivot Table for Data Exchange'!$F$123)*100</f>
        <v>0</v>
      </c>
      <c r="G137" s="245">
        <f>('Pivot Table for Data Exchange'!$F$126)*100</f>
        <v>0</v>
      </c>
      <c r="H137" s="243">
        <f>('Pivot Table for Data Exchange'!$F$129)*100</f>
        <v>0</v>
      </c>
      <c r="I137" s="87" t="s">
        <v>174</v>
      </c>
      <c r="J137" s="243">
        <f>('Pivot Table for Data Exchange'!$F$132)*100</f>
        <v>54.01243583858448</v>
      </c>
      <c r="K137" s="243">
        <f>('Pivot Table for Data Exchange'!$F$135)*100</f>
        <v>6.8397112214664268</v>
      </c>
      <c r="L137" s="249">
        <f t="shared" si="31"/>
        <v>39.14785293994909</v>
      </c>
      <c r="M137" s="243">
        <f>('Pivot Table for Data Exchange'!$F$138)*100</f>
        <v>39.14785293994909</v>
      </c>
      <c r="N137" s="243">
        <f>('Pivot Table for Data Exchange'!$F$141)*100</f>
        <v>0</v>
      </c>
      <c r="O137" s="245">
        <f>('Pivot Table for Data Exchange'!$F$144)*100</f>
        <v>0</v>
      </c>
      <c r="P137" s="243">
        <f>('Pivot Table for Data Exchange'!$F$147)*100</f>
        <v>0</v>
      </c>
      <c r="Q137" s="97">
        <f t="shared" si="14"/>
        <v>100</v>
      </c>
      <c r="R137" s="97">
        <f t="shared" si="15"/>
        <v>100</v>
      </c>
      <c r="S137" s="63"/>
      <c r="U137" s="63"/>
      <c r="V137" s="63"/>
      <c r="W137" s="63"/>
      <c r="X137" s="63"/>
      <c r="Y137" s="63"/>
      <c r="Z137" s="63"/>
      <c r="AA137" s="63"/>
      <c r="AB137" s="63"/>
      <c r="AC137" s="63"/>
      <c r="AD137" s="63"/>
      <c r="AE137" s="63"/>
      <c r="AF137" s="63"/>
      <c r="AG137" s="63"/>
      <c r="AH137" s="63"/>
      <c r="AI137" s="63"/>
      <c r="AJ137" s="63"/>
      <c r="AK137" s="63"/>
      <c r="AL137" s="63"/>
      <c r="AM137" s="63"/>
      <c r="AN137" s="63"/>
      <c r="AO137" s="63"/>
    </row>
    <row r="138" spans="1:41" ht="15.75" customHeight="1" x14ac:dyDescent="0.2">
      <c r="A138" s="65"/>
      <c r="B138" s="243"/>
      <c r="C138" s="243"/>
      <c r="D138" s="249"/>
      <c r="E138" s="243"/>
      <c r="F138" s="243"/>
      <c r="G138" s="245"/>
      <c r="H138" s="243"/>
      <c r="I138" s="87"/>
      <c r="J138" s="243"/>
      <c r="K138" s="243"/>
      <c r="L138" s="249"/>
      <c r="M138" s="243"/>
      <c r="N138" s="243"/>
      <c r="O138" s="245"/>
      <c r="P138" s="243"/>
      <c r="Q138" s="97">
        <f t="shared" si="14"/>
        <v>0</v>
      </c>
      <c r="R138" s="97">
        <f t="shared" si="15"/>
        <v>0</v>
      </c>
      <c r="S138" s="63"/>
      <c r="U138" s="63"/>
      <c r="V138" s="63"/>
      <c r="W138" s="63"/>
      <c r="X138" s="63"/>
      <c r="Y138" s="63"/>
      <c r="Z138" s="63"/>
      <c r="AA138" s="63"/>
      <c r="AB138" s="63"/>
      <c r="AC138" s="63"/>
      <c r="AD138" s="63"/>
      <c r="AE138" s="63"/>
      <c r="AF138" s="63"/>
      <c r="AG138" s="63"/>
      <c r="AH138" s="63"/>
      <c r="AI138" s="63"/>
      <c r="AJ138" s="63"/>
      <c r="AK138" s="63"/>
      <c r="AL138" s="63"/>
      <c r="AM138" s="63"/>
      <c r="AN138" s="63"/>
      <c r="AO138" s="63"/>
    </row>
    <row r="139" spans="1:41" ht="15.75" customHeight="1" x14ac:dyDescent="0.2">
      <c r="A139" s="65" t="s">
        <v>145</v>
      </c>
      <c r="B139" s="243">
        <f>('Pivot Table for Data Exchange'!$F$150)*100</f>
        <v>0</v>
      </c>
      <c r="C139" s="243">
        <f>('Pivot Table for Data Exchange'!$F$153)*100</f>
        <v>0</v>
      </c>
      <c r="D139" s="249">
        <f t="shared" ref="D139:D142" si="32">SUM(E139:G139)</f>
        <v>0</v>
      </c>
      <c r="E139" s="243">
        <f>('Pivot Table for Data Exchange'!$F$156)*100</f>
        <v>0</v>
      </c>
      <c r="F139" s="243">
        <f>('Pivot Table for Data Exchange'!$F$159)*100</f>
        <v>0</v>
      </c>
      <c r="G139" s="245">
        <f>('Pivot Table for Data Exchange'!$F$162)*100</f>
        <v>0</v>
      </c>
      <c r="H139" s="243">
        <f>('Pivot Table for Data Exchange'!$F$165)*100</f>
        <v>0</v>
      </c>
      <c r="I139" s="87" t="s">
        <v>145</v>
      </c>
      <c r="J139" s="243">
        <f>('Pivot Table for Data Exchange'!$F$168)*100</f>
        <v>0</v>
      </c>
      <c r="K139" s="243">
        <f>('Pivot Table for Data Exchange'!$F$171)*100</f>
        <v>0</v>
      </c>
      <c r="L139" s="249">
        <f t="shared" ref="L139:L142" si="33">SUM(M139:O139)</f>
        <v>0</v>
      </c>
      <c r="M139" s="243">
        <f>('Pivot Table for Data Exchange'!$F$174)*100</f>
        <v>0</v>
      </c>
      <c r="N139" s="243">
        <f>('Pivot Table for Data Exchange'!$F$177)*100</f>
        <v>0</v>
      </c>
      <c r="O139" s="245">
        <f>('Pivot Table for Data Exchange'!$F$180)*100</f>
        <v>0</v>
      </c>
      <c r="P139" s="243">
        <f>('Pivot Table for Data Exchange'!$F$183)*100</f>
        <v>0</v>
      </c>
      <c r="Q139" s="97">
        <f t="shared" ref="Q139:Q203" si="34">SUM(B139,C139,D139,H139)</f>
        <v>0</v>
      </c>
      <c r="R139" s="97">
        <f t="shared" ref="R139:R203" si="35">SUM(J139,K139,L139,P139)</f>
        <v>0</v>
      </c>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row>
    <row r="140" spans="1:41" ht="15.75" customHeight="1" x14ac:dyDescent="0.2">
      <c r="A140" s="65" t="s">
        <v>146</v>
      </c>
      <c r="B140" s="243">
        <f>('Pivot Table for Data Exchange'!$F$186)*100</f>
        <v>83.975156838143036</v>
      </c>
      <c r="C140" s="243">
        <f>('Pivot Table for Data Exchange'!$F$189)*100</f>
        <v>3.1947302383939773</v>
      </c>
      <c r="D140" s="249">
        <f t="shared" si="32"/>
        <v>12.830112923462988</v>
      </c>
      <c r="E140" s="243">
        <f>('Pivot Table for Data Exchange'!$F$192)*100</f>
        <v>12.827854454203264</v>
      </c>
      <c r="F140" s="243">
        <f>('Pivot Table for Data Exchange'!$F$195)*100</f>
        <v>0</v>
      </c>
      <c r="G140" s="254">
        <f>('Pivot Table for Data Exchange'!$F$198)*100</f>
        <v>2.2584692597239649E-3</v>
      </c>
      <c r="H140" s="243">
        <f>('Pivot Table for Data Exchange'!$F$201)*100</f>
        <v>0</v>
      </c>
      <c r="I140" s="87" t="s">
        <v>146</v>
      </c>
      <c r="J140" s="243">
        <f>('Pivot Table for Data Exchange'!$F$204)*100</f>
        <v>72.952700317684432</v>
      </c>
      <c r="K140" s="243">
        <f>('Pivot Table for Data Exchange'!$F$207)*100</f>
        <v>2.6120720084715847</v>
      </c>
      <c r="L140" s="249">
        <f t="shared" si="33"/>
        <v>24.435227673843983</v>
      </c>
      <c r="M140" s="243">
        <f>('Pivot Table for Data Exchange'!$F$210)*100</f>
        <v>24.435227673843983</v>
      </c>
      <c r="N140" s="243">
        <f>('Pivot Table for Data Exchange'!$F$213)*100</f>
        <v>0</v>
      </c>
      <c r="O140" s="245">
        <f>('Pivot Table for Data Exchange'!$F$216)*100</f>
        <v>0</v>
      </c>
      <c r="P140" s="243">
        <f>('Pivot Table for Data Exchange'!$F$219)*100</f>
        <v>0</v>
      </c>
      <c r="Q140" s="97">
        <f t="shared" si="34"/>
        <v>100</v>
      </c>
      <c r="R140" s="97">
        <f t="shared" si="35"/>
        <v>100</v>
      </c>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row>
    <row r="141" spans="1:41" ht="15.75" customHeight="1" x14ac:dyDescent="0.2">
      <c r="A141" s="65" t="s">
        <v>147</v>
      </c>
      <c r="B141" s="243">
        <f>('Pivot Table for Data Exchange'!$F$222)*100</f>
        <v>0</v>
      </c>
      <c r="C141" s="243">
        <f>('Pivot Table for Data Exchange'!$F$225)*100</f>
        <v>0</v>
      </c>
      <c r="D141" s="249">
        <f t="shared" si="32"/>
        <v>0</v>
      </c>
      <c r="E141" s="243">
        <f>('Pivot Table for Data Exchange'!$F$228)*100</f>
        <v>0</v>
      </c>
      <c r="F141" s="243">
        <f>('Pivot Table for Data Exchange'!$F$231)*100</f>
        <v>0</v>
      </c>
      <c r="G141" s="245">
        <f>('Pivot Table for Data Exchange'!$F$234)*100</f>
        <v>0</v>
      </c>
      <c r="H141" s="243">
        <f>('Pivot Table for Data Exchange'!$F$237)*100</f>
        <v>0</v>
      </c>
      <c r="I141" s="87" t="s">
        <v>147</v>
      </c>
      <c r="J141" s="243">
        <f>('Pivot Table for Data Exchange'!$F$240)*100</f>
        <v>0</v>
      </c>
      <c r="K141" s="243">
        <f>('Pivot Table for Data Exchange'!$F$243)*100</f>
        <v>0</v>
      </c>
      <c r="L141" s="249">
        <f t="shared" si="33"/>
        <v>0</v>
      </c>
      <c r="M141" s="243">
        <f>('Pivot Table for Data Exchange'!$F$246)*100</f>
        <v>0</v>
      </c>
      <c r="N141" s="243">
        <f>('Pivot Table for Data Exchange'!$F$249)*100</f>
        <v>0</v>
      </c>
      <c r="O141" s="245">
        <f>('Pivot Table for Data Exchange'!$F$252)*100</f>
        <v>0</v>
      </c>
      <c r="P141" s="243">
        <f>('Pivot Table for Data Exchange'!$F$255)*100</f>
        <v>0</v>
      </c>
      <c r="Q141" s="97">
        <f t="shared" si="34"/>
        <v>0</v>
      </c>
      <c r="R141" s="97">
        <f t="shared" si="35"/>
        <v>0</v>
      </c>
      <c r="S141" s="63"/>
      <c r="T141" s="74"/>
      <c r="U141" s="63"/>
      <c r="V141" s="63"/>
      <c r="W141" s="63"/>
      <c r="X141" s="63"/>
      <c r="Y141" s="63"/>
      <c r="Z141" s="63"/>
      <c r="AA141" s="63"/>
      <c r="AB141" s="63"/>
      <c r="AC141" s="63"/>
      <c r="AD141" s="63"/>
      <c r="AE141" s="63"/>
      <c r="AF141" s="63"/>
      <c r="AG141" s="63"/>
      <c r="AH141" s="63"/>
      <c r="AI141" s="63"/>
      <c r="AJ141" s="63"/>
      <c r="AK141" s="63"/>
      <c r="AL141" s="63"/>
      <c r="AM141" s="63"/>
      <c r="AN141" s="63"/>
      <c r="AO141" s="63"/>
    </row>
    <row r="142" spans="1:41" ht="15.75" customHeight="1" x14ac:dyDescent="0.2">
      <c r="A142" s="65" t="s">
        <v>177</v>
      </c>
      <c r="B142" s="243">
        <f>('Pivot Table for Data Exchange'!$F$258)*100</f>
        <v>89.648844694240282</v>
      </c>
      <c r="C142" s="243">
        <f>('Pivot Table for Data Exchange'!$F$261)*100</f>
        <v>1.2336071480040351</v>
      </c>
      <c r="D142" s="249">
        <f t="shared" si="32"/>
        <v>9.1175481577556816</v>
      </c>
      <c r="E142" s="243">
        <f>('Pivot Table for Data Exchange'!$F$264)*100</f>
        <v>8.7450715206876044</v>
      </c>
      <c r="F142" s="243">
        <f>('Pivot Table for Data Exchange'!$F$267)*100</f>
        <v>0.37247663706807677</v>
      </c>
      <c r="G142" s="245">
        <f>('Pivot Table for Data Exchange'!$F$270)*100</f>
        <v>0</v>
      </c>
      <c r="H142" s="243">
        <f>('Pivot Table for Data Exchange'!$F$273)*100</f>
        <v>0</v>
      </c>
      <c r="I142" s="87" t="s">
        <v>177</v>
      </c>
      <c r="J142" s="243">
        <f>('Pivot Table for Data Exchange'!$F$276)*100</f>
        <v>78.068960456434198</v>
      </c>
      <c r="K142" s="243">
        <f>('Pivot Table for Data Exchange'!$F$279)*100</f>
        <v>3.7993377301204374</v>
      </c>
      <c r="L142" s="249">
        <f t="shared" si="33"/>
        <v>18.131701813445364</v>
      </c>
      <c r="M142" s="243">
        <f>('Pivot Table for Data Exchange'!$F$282)*100</f>
        <v>15.572514882726866</v>
      </c>
      <c r="N142" s="243">
        <f>('Pivot Table for Data Exchange'!$F$285)*100</f>
        <v>2.5591869307184987</v>
      </c>
      <c r="O142" s="245">
        <f>('Pivot Table for Data Exchange'!$F$288)*100</f>
        <v>0</v>
      </c>
      <c r="P142" s="243">
        <f>('Pivot Table for Data Exchange'!$F$291)*100</f>
        <v>0</v>
      </c>
      <c r="Q142" s="97">
        <f t="shared" si="34"/>
        <v>100</v>
      </c>
      <c r="R142" s="97">
        <f t="shared" si="35"/>
        <v>100</v>
      </c>
      <c r="S142" s="63"/>
      <c r="U142" s="63"/>
      <c r="V142" s="63"/>
      <c r="W142" s="63"/>
      <c r="X142" s="63"/>
      <c r="Y142" s="63"/>
      <c r="Z142" s="63"/>
      <c r="AA142" s="63"/>
      <c r="AB142" s="63"/>
      <c r="AC142" s="63"/>
      <c r="AD142" s="63"/>
      <c r="AE142" s="63"/>
      <c r="AF142" s="63"/>
      <c r="AG142" s="63"/>
      <c r="AH142" s="63"/>
      <c r="AI142" s="63"/>
      <c r="AJ142" s="63"/>
      <c r="AK142" s="63"/>
      <c r="AL142" s="63"/>
      <c r="AM142" s="63"/>
      <c r="AN142" s="63"/>
      <c r="AO142" s="63"/>
    </row>
    <row r="143" spans="1:41" ht="15.75" customHeight="1" x14ac:dyDescent="0.2">
      <c r="A143" s="65"/>
      <c r="B143" s="243"/>
      <c r="C143" s="243"/>
      <c r="D143" s="249"/>
      <c r="E143" s="243"/>
      <c r="F143" s="243"/>
      <c r="G143" s="245"/>
      <c r="H143" s="243"/>
      <c r="I143" s="87"/>
      <c r="J143" s="243"/>
      <c r="K143" s="243"/>
      <c r="L143" s="249"/>
      <c r="M143" s="243"/>
      <c r="N143" s="243"/>
      <c r="O143" s="245"/>
      <c r="P143" s="243"/>
      <c r="Q143" s="97">
        <f t="shared" si="34"/>
        <v>0</v>
      </c>
      <c r="R143" s="97">
        <f t="shared" si="35"/>
        <v>0</v>
      </c>
      <c r="S143" s="63"/>
      <c r="U143" s="63"/>
      <c r="V143" s="63"/>
      <c r="W143" s="63"/>
      <c r="X143" s="63"/>
      <c r="Y143" s="63"/>
      <c r="Z143" s="63"/>
      <c r="AA143" s="63"/>
      <c r="AB143" s="63"/>
      <c r="AC143" s="63"/>
      <c r="AD143" s="63"/>
      <c r="AE143" s="63"/>
      <c r="AF143" s="63"/>
      <c r="AG143" s="63"/>
      <c r="AH143" s="63"/>
      <c r="AI143" s="63"/>
      <c r="AJ143" s="63"/>
      <c r="AK143" s="63"/>
      <c r="AL143" s="63"/>
      <c r="AM143" s="63"/>
      <c r="AN143" s="63"/>
      <c r="AO143" s="63"/>
    </row>
    <row r="144" spans="1:41" ht="15.75" customHeight="1" x14ac:dyDescent="0.2">
      <c r="A144" s="65" t="s">
        <v>148</v>
      </c>
      <c r="B144" s="243">
        <f>('Pivot Table for Data Exchange'!$F$294)*100</f>
        <v>81.185871713223051</v>
      </c>
      <c r="C144" s="243">
        <f>('Pivot Table for Data Exchange'!$F$297)*100</f>
        <v>1.2961572647802486</v>
      </c>
      <c r="D144" s="249">
        <f t="shared" ref="D144:D146" si="36">SUM(E144:G144)</f>
        <v>17.158119104943864</v>
      </c>
      <c r="E144" s="243">
        <f>('Pivot Table for Data Exchange'!$F$300)*100</f>
        <v>16.983370871842666</v>
      </c>
      <c r="F144" s="243">
        <f>('Pivot Table for Data Exchange'!$F$303)*100</f>
        <v>0</v>
      </c>
      <c r="G144" s="245">
        <f>('Pivot Table for Data Exchange'!$F$306)*100</f>
        <v>0.17474823310119864</v>
      </c>
      <c r="H144" s="243">
        <f>('Pivot Table for Data Exchange'!$F$309)*100</f>
        <v>0.3598519170528387</v>
      </c>
      <c r="I144" s="87" t="s">
        <v>148</v>
      </c>
      <c r="J144" s="243">
        <f>('Pivot Table for Data Exchange'!$F$312)*100</f>
        <v>59.962735879714891</v>
      </c>
      <c r="K144" s="243">
        <f>('Pivot Table for Data Exchange'!$F$315)*100</f>
        <v>1.0009316030071278</v>
      </c>
      <c r="L144" s="249">
        <f t="shared" ref="L144:L146" si="37">SUM(M144:O144)</f>
        <v>39.036332517277984</v>
      </c>
      <c r="M144" s="243">
        <f>('Pivot Table for Data Exchange'!$F$318)*100</f>
        <v>38.57269753233529</v>
      </c>
      <c r="N144" s="243">
        <f>('Pivot Table for Data Exchange'!$F$321)*100</f>
        <v>0</v>
      </c>
      <c r="O144" s="245">
        <f>('Pivot Table for Data Exchange'!$F$324)*100</f>
        <v>0.46363498494269556</v>
      </c>
      <c r="P144" s="243">
        <f>('Pivot Table for Data Exchange'!$F$327)*100</f>
        <v>0</v>
      </c>
      <c r="Q144" s="97">
        <f t="shared" si="34"/>
        <v>100</v>
      </c>
      <c r="R144" s="97">
        <f t="shared" si="35"/>
        <v>100</v>
      </c>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row>
    <row r="145" spans="1:41" ht="15.75" customHeight="1" x14ac:dyDescent="0.2">
      <c r="A145" s="65" t="s">
        <v>149</v>
      </c>
      <c r="B145" s="243">
        <f>('Pivot Table for Data Exchange'!$F$330)*100</f>
        <v>82.071275491636456</v>
      </c>
      <c r="C145" s="243">
        <f>('Pivot Table for Data Exchange'!$F$333)*100</f>
        <v>2.0056341065627907</v>
      </c>
      <c r="D145" s="249">
        <f t="shared" si="36"/>
        <v>15.923090401800758</v>
      </c>
      <c r="E145" s="243">
        <f>('Pivot Table for Data Exchange'!$F$336)*100</f>
        <v>15.854348910245179</v>
      </c>
      <c r="F145" s="243">
        <f>('Pivot Table for Data Exchange'!$F$339)*100</f>
        <v>6.6719682980415404E-2</v>
      </c>
      <c r="G145" s="254">
        <f>('Pivot Table for Data Exchange'!$F$342)*100</f>
        <v>2.0218085751641033E-3</v>
      </c>
      <c r="H145" s="243">
        <f>('Pivot Table for Data Exchange'!$F$345)*100</f>
        <v>0</v>
      </c>
      <c r="I145" s="87" t="s">
        <v>149</v>
      </c>
      <c r="J145" s="243">
        <f>('Pivot Table for Data Exchange'!$F$348)*100</f>
        <v>56.932153392330385</v>
      </c>
      <c r="K145" s="243">
        <f>('Pivot Table for Data Exchange'!$F$351)*100</f>
        <v>18.399705014749262</v>
      </c>
      <c r="L145" s="249">
        <f t="shared" si="37"/>
        <v>24.668141592920353</v>
      </c>
      <c r="M145" s="243">
        <f>('Pivot Table for Data Exchange'!$F$354)*100</f>
        <v>24.668141592920353</v>
      </c>
      <c r="N145" s="243">
        <f>('Pivot Table for Data Exchange'!$F$357)*100</f>
        <v>0</v>
      </c>
      <c r="O145" s="245">
        <f>('Pivot Table for Data Exchange'!$F$360)*100</f>
        <v>0</v>
      </c>
      <c r="P145" s="243">
        <f>('Pivot Table for Data Exchange'!$F$363)*100</f>
        <v>0</v>
      </c>
      <c r="Q145" s="97">
        <f t="shared" si="34"/>
        <v>100.00000000000001</v>
      </c>
      <c r="R145" s="97">
        <f t="shared" si="35"/>
        <v>100</v>
      </c>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row>
    <row r="146" spans="1:41" ht="15.75" customHeight="1" x14ac:dyDescent="0.2">
      <c r="A146" s="65" t="s">
        <v>150</v>
      </c>
      <c r="B146" s="243">
        <f>('Pivot Table for Data Exchange'!$F$366)*100</f>
        <v>69.318181818181827</v>
      </c>
      <c r="C146" s="243">
        <f>('Pivot Table for Data Exchange'!$F$369)*100</f>
        <v>0</v>
      </c>
      <c r="D146" s="249">
        <f t="shared" si="36"/>
        <v>30.681818181818183</v>
      </c>
      <c r="E146" s="243">
        <f>('Pivot Table for Data Exchange'!$F$372)*100</f>
        <v>24.775596360357408</v>
      </c>
      <c r="F146" s="243">
        <f>('Pivot Table for Data Exchange'!$F$375)*100</f>
        <v>5.9062218214607753</v>
      </c>
      <c r="G146" s="245">
        <f>('Pivot Table for Data Exchange'!$F$378)*100</f>
        <v>0</v>
      </c>
      <c r="H146" s="243">
        <f>('Pivot Table for Data Exchange'!$F$381)*100</f>
        <v>0</v>
      </c>
      <c r="I146" s="87" t="s">
        <v>150</v>
      </c>
      <c r="J146" s="243">
        <f>('Pivot Table for Data Exchange'!$F$384)*100</f>
        <v>73.660352922130485</v>
      </c>
      <c r="K146" s="243">
        <f>('Pivot Table for Data Exchange'!$F$387)*100</f>
        <v>0</v>
      </c>
      <c r="L146" s="249">
        <f t="shared" si="37"/>
        <v>26.339647077869515</v>
      </c>
      <c r="M146" s="243">
        <f>('Pivot Table for Data Exchange'!$F$390)*100</f>
        <v>22.502833090497003</v>
      </c>
      <c r="N146" s="243">
        <f>('Pivot Table for Data Exchange'!$F$393)*100</f>
        <v>3.8368139873725107</v>
      </c>
      <c r="O146" s="245">
        <f>('Pivot Table for Data Exchange'!$F$396)*100</f>
        <v>0</v>
      </c>
      <c r="P146" s="243">
        <f>('Pivot Table for Data Exchange'!$F$399)*100</f>
        <v>0</v>
      </c>
      <c r="Q146" s="97">
        <f t="shared" si="34"/>
        <v>100.00000000000001</v>
      </c>
      <c r="R146" s="97">
        <f t="shared" si="35"/>
        <v>100</v>
      </c>
      <c r="S146" s="63"/>
      <c r="T146" s="74"/>
      <c r="U146" s="63"/>
      <c r="V146" s="63"/>
      <c r="W146" s="63"/>
      <c r="X146" s="63"/>
      <c r="Y146" s="63"/>
      <c r="Z146" s="63"/>
      <c r="AA146" s="63"/>
      <c r="AB146" s="63"/>
      <c r="AC146" s="63"/>
      <c r="AD146" s="63"/>
      <c r="AE146" s="63"/>
      <c r="AF146" s="63"/>
      <c r="AG146" s="63"/>
      <c r="AH146" s="63"/>
      <c r="AI146" s="63"/>
      <c r="AJ146" s="63"/>
      <c r="AK146" s="63"/>
      <c r="AL146" s="63"/>
      <c r="AM146" s="63"/>
      <c r="AN146" s="63"/>
      <c r="AO146" s="63"/>
    </row>
    <row r="147" spans="1:41" ht="15.75" customHeight="1" x14ac:dyDescent="0.2">
      <c r="A147" s="65" t="s">
        <v>151</v>
      </c>
      <c r="B147" s="243">
        <f>('Pivot Table for Data Exchange'!$F$402)*100</f>
        <v>99.027083881146467</v>
      </c>
      <c r="C147" s="243">
        <f>('Pivot Table for Data Exchange'!$F$405)*100</f>
        <v>0.26409356457716449</v>
      </c>
      <c r="D147" s="249">
        <f>SUM(E147:G147)</f>
        <v>0.7088225542763722</v>
      </c>
      <c r="E147" s="243">
        <f>('Pivot Table for Data Exchange'!$F$408)*100</f>
        <v>0.7088225542763722</v>
      </c>
      <c r="F147" s="243">
        <f>('Pivot Table for Data Exchange'!$F$411)*100</f>
        <v>0</v>
      </c>
      <c r="G147" s="245">
        <f>('Pivot Table for Data Exchange'!$F$414)*100</f>
        <v>0</v>
      </c>
      <c r="H147" s="243">
        <f>('Pivot Table for Data Exchange'!$F$417)*100</f>
        <v>0</v>
      </c>
      <c r="I147" s="87" t="s">
        <v>151</v>
      </c>
      <c r="J147" s="243">
        <f>('Pivot Table for Data Exchange'!$F$420)*100</f>
        <v>79.566679118416133</v>
      </c>
      <c r="K147" s="243">
        <f>('Pivot Table for Data Exchange'!$F$423)*100</f>
        <v>10.907732536421367</v>
      </c>
      <c r="L147" s="249">
        <f>SUM(M147:O147)</f>
        <v>9.5255883451624968</v>
      </c>
      <c r="M147" s="243">
        <f>('Pivot Table for Data Exchange'!$F$426)*100</f>
        <v>9.5255883451624968</v>
      </c>
      <c r="N147" s="243">
        <f>('Pivot Table for Data Exchange'!$F$429)*100</f>
        <v>0</v>
      </c>
      <c r="O147" s="245">
        <f>('Pivot Table for Data Exchange'!$F$432)*100</f>
        <v>0</v>
      </c>
      <c r="P147" s="243">
        <f>('Pivot Table for Data Exchange'!$F$435)*100</f>
        <v>0</v>
      </c>
      <c r="Q147" s="97">
        <f t="shared" si="34"/>
        <v>100</v>
      </c>
      <c r="R147" s="97">
        <f t="shared" si="35"/>
        <v>100</v>
      </c>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row>
    <row r="148" spans="1:41" ht="15.75" customHeight="1" x14ac:dyDescent="0.2">
      <c r="A148" s="65"/>
      <c r="B148" s="243"/>
      <c r="C148" s="243"/>
      <c r="D148" s="249"/>
      <c r="E148" s="243"/>
      <c r="F148" s="243"/>
      <c r="G148" s="245"/>
      <c r="H148" s="243"/>
      <c r="I148" s="87"/>
      <c r="J148" s="243"/>
      <c r="K148" s="243"/>
      <c r="L148" s="249"/>
      <c r="M148" s="243"/>
      <c r="N148" s="243"/>
      <c r="O148" s="245"/>
      <c r="P148" s="243"/>
      <c r="Q148" s="97">
        <f t="shared" si="34"/>
        <v>0</v>
      </c>
      <c r="R148" s="97">
        <f t="shared" si="35"/>
        <v>0</v>
      </c>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row>
    <row r="149" spans="1:41" ht="15.75" customHeight="1" x14ac:dyDescent="0.2">
      <c r="A149" s="65" t="s">
        <v>152</v>
      </c>
      <c r="B149" s="243">
        <f>('Pivot Table for Data Exchange'!$F$438)*100</f>
        <v>0</v>
      </c>
      <c r="C149" s="243">
        <f>('Pivot Table for Data Exchange'!$F$441)*100</f>
        <v>0</v>
      </c>
      <c r="D149" s="249">
        <f>SUM(E149:G149)</f>
        <v>0</v>
      </c>
      <c r="E149" s="243">
        <f>('Pivot Table for Data Exchange'!$F$444)*100</f>
        <v>0</v>
      </c>
      <c r="F149" s="243">
        <f>('Pivot Table for Data Exchange'!$F$447)*100</f>
        <v>0</v>
      </c>
      <c r="G149" s="245">
        <f>('Pivot Table for Data Exchange'!$F$450)*100</f>
        <v>0</v>
      </c>
      <c r="H149" s="243">
        <f>('Pivot Table for Data Exchange'!$F$453)*100</f>
        <v>0</v>
      </c>
      <c r="I149" s="87" t="s">
        <v>152</v>
      </c>
      <c r="J149" s="243">
        <f>('Pivot Table for Data Exchange'!$F$456)*100</f>
        <v>0</v>
      </c>
      <c r="K149" s="243">
        <f>('Pivot Table for Data Exchange'!$F$459)*100</f>
        <v>0</v>
      </c>
      <c r="L149" s="249">
        <f>SUM(M149:O149)</f>
        <v>0</v>
      </c>
      <c r="M149" s="243">
        <f>('Pivot Table for Data Exchange'!$F$462)*100</f>
        <v>0</v>
      </c>
      <c r="N149" s="243">
        <f>('Pivot Table for Data Exchange'!$F$465)*100</f>
        <v>0</v>
      </c>
      <c r="O149" s="245">
        <f>('Pivot Table for Data Exchange'!$F$468)*100</f>
        <v>0</v>
      </c>
      <c r="P149" s="243">
        <f>('Pivot Table for Data Exchange'!$F$471)*100</f>
        <v>0</v>
      </c>
      <c r="Q149" s="97">
        <f t="shared" si="34"/>
        <v>0</v>
      </c>
      <c r="R149" s="97">
        <f t="shared" si="35"/>
        <v>0</v>
      </c>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row>
    <row r="150" spans="1:41" ht="15.75" customHeight="1" x14ac:dyDescent="0.2">
      <c r="A150" s="65" t="s">
        <v>153</v>
      </c>
      <c r="B150" s="243">
        <f>('Pivot Table for Data Exchange'!$F$474)*100</f>
        <v>38.267712666644833</v>
      </c>
      <c r="C150" s="243">
        <f>('Pivot Table for Data Exchange'!$F$477)*100</f>
        <v>16.814340463166168</v>
      </c>
      <c r="D150" s="249">
        <f>SUM(E150:G150)</f>
        <v>44.917946870188999</v>
      </c>
      <c r="E150" s="243">
        <f>('Pivot Table for Data Exchange'!$F$480)*100</f>
        <v>41.500704248419531</v>
      </c>
      <c r="F150" s="243">
        <f>('Pivot Table for Data Exchange'!$F$483)*100</f>
        <v>3.4172426217694651</v>
      </c>
      <c r="G150" s="245">
        <f>('Pivot Table for Data Exchange'!$F$486)*100</f>
        <v>0</v>
      </c>
      <c r="H150" s="243">
        <f>('Pivot Table for Data Exchange'!$F$489)*100</f>
        <v>0</v>
      </c>
      <c r="I150" s="87" t="s">
        <v>153</v>
      </c>
      <c r="J150" s="243">
        <f>('Pivot Table for Data Exchange'!$F$492)*100</f>
        <v>28.679978413383701</v>
      </c>
      <c r="K150" s="243">
        <f>('Pivot Table for Data Exchange'!$F$495)*100</f>
        <v>14.363734484619537</v>
      </c>
      <c r="L150" s="249">
        <f>SUM(M150:O150)</f>
        <v>56.956287101996764</v>
      </c>
      <c r="M150" s="243">
        <f>('Pivot Table for Data Exchange'!$F$498)*100</f>
        <v>54.080949811117108</v>
      </c>
      <c r="N150" s="243">
        <f>('Pivot Table for Data Exchange'!$F$501)*100</f>
        <v>2.8753372908796546</v>
      </c>
      <c r="O150" s="245">
        <f>('Pivot Table for Data Exchange'!$F$504)*100</f>
        <v>0</v>
      </c>
      <c r="P150" s="243">
        <f>('Pivot Table for Data Exchange'!$F$507)*100</f>
        <v>0</v>
      </c>
      <c r="Q150" s="97">
        <f t="shared" si="34"/>
        <v>100</v>
      </c>
      <c r="R150" s="97">
        <f t="shared" si="35"/>
        <v>100</v>
      </c>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row>
    <row r="151" spans="1:41" ht="15.75" customHeight="1" x14ac:dyDescent="0.2">
      <c r="A151" s="65" t="s">
        <v>154</v>
      </c>
      <c r="B151" s="243">
        <f>('Pivot Table for Data Exchange'!$F$510)*100</f>
        <v>95.833167847760834</v>
      </c>
      <c r="C151" s="243">
        <f>('Pivot Table for Data Exchange'!$F$513)*100</f>
        <v>2.101950460239018</v>
      </c>
      <c r="D151" s="249">
        <f t="shared" ref="D151" si="38">SUM(E151:G151)</f>
        <v>2.0648816920001436</v>
      </c>
      <c r="E151" s="243">
        <f>('Pivot Table for Data Exchange'!$F$516)*100</f>
        <v>1.8950462130281589</v>
      </c>
      <c r="F151" s="243">
        <f>('Pivot Table for Data Exchange'!$F$519)*100</f>
        <v>0.1698354789719847</v>
      </c>
      <c r="G151" s="245">
        <f>('Pivot Table for Data Exchange'!$F$522)*100</f>
        <v>0</v>
      </c>
      <c r="H151" s="243">
        <f>('Pivot Table for Data Exchange'!$F$525)*100</f>
        <v>0</v>
      </c>
      <c r="I151" s="87" t="s">
        <v>154</v>
      </c>
      <c r="J151" s="243">
        <f>('Pivot Table for Data Exchange'!$F$528)*100</f>
        <v>72.424735130598975</v>
      </c>
      <c r="K151" s="243">
        <f>('Pivot Table for Data Exchange'!$F$531)*100</f>
        <v>18.53561313332634</v>
      </c>
      <c r="L151" s="249">
        <f t="shared" ref="L151" si="39">SUM(M151:O151)</f>
        <v>9.0396517360746884</v>
      </c>
      <c r="M151" s="243">
        <f>('Pivot Table for Data Exchange'!$F$534)*100</f>
        <v>5.5045630966117702</v>
      </c>
      <c r="N151" s="243">
        <f>('Pivot Table for Data Exchange'!$F$537)*100</f>
        <v>3.5350886394629182</v>
      </c>
      <c r="O151" s="245">
        <f>('Pivot Table for Data Exchange'!$F$540)*100</f>
        <v>0</v>
      </c>
      <c r="P151" s="243">
        <f>('Pivot Table for Data Exchange'!$F$543)*100</f>
        <v>0</v>
      </c>
      <c r="Q151" s="97">
        <f t="shared" si="34"/>
        <v>100</v>
      </c>
      <c r="R151" s="97">
        <f t="shared" si="35"/>
        <v>100</v>
      </c>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row>
    <row r="152" spans="1:41" ht="15.75" customHeight="1" x14ac:dyDescent="0.2">
      <c r="A152" s="39" t="s">
        <v>155</v>
      </c>
      <c r="B152" s="246">
        <f>('Pivot Table for Data Exchange'!$F$546)*100</f>
        <v>0</v>
      </c>
      <c r="C152" s="246">
        <f>('Pivot Table for Data Exchange'!$F$549)*100</f>
        <v>0</v>
      </c>
      <c r="D152" s="250">
        <f>SUM(E152:G152)</f>
        <v>0</v>
      </c>
      <c r="E152" s="246">
        <f>('Pivot Table for Data Exchange'!$F$552)*100</f>
        <v>0</v>
      </c>
      <c r="F152" s="246">
        <f>('Pivot Table for Data Exchange'!$F$555)*100</f>
        <v>0</v>
      </c>
      <c r="G152" s="247">
        <f>('Pivot Table for Data Exchange'!$F$558)*100</f>
        <v>0</v>
      </c>
      <c r="H152" s="246">
        <f>('Pivot Table for Data Exchange'!$F$561)*100</f>
        <v>0</v>
      </c>
      <c r="I152" s="252" t="s">
        <v>155</v>
      </c>
      <c r="J152" s="246">
        <f>('Pivot Table for Data Exchange'!$F$564)*100</f>
        <v>0</v>
      </c>
      <c r="K152" s="246">
        <f>('Pivot Table for Data Exchange'!$F$567)*100</f>
        <v>0</v>
      </c>
      <c r="L152" s="250">
        <f>SUM(M152:O152)</f>
        <v>0</v>
      </c>
      <c r="M152" s="246">
        <f>('Pivot Table for Data Exchange'!$F$570)*100</f>
        <v>0</v>
      </c>
      <c r="N152" s="246">
        <f>('Pivot Table for Data Exchange'!$F$573)*100</f>
        <v>0</v>
      </c>
      <c r="O152" s="247">
        <f>('Pivot Table for Data Exchange'!$F$576)*100</f>
        <v>0</v>
      </c>
      <c r="P152" s="246">
        <f>('Pivot Table for Data Exchange'!$F$579)*100</f>
        <v>0</v>
      </c>
      <c r="Q152" s="97">
        <f t="shared" si="34"/>
        <v>0</v>
      </c>
      <c r="R152" s="97">
        <f t="shared" si="35"/>
        <v>0</v>
      </c>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row>
    <row r="153" spans="1:41" s="25" customFormat="1" ht="18" customHeight="1" x14ac:dyDescent="0.2">
      <c r="A153" s="24" t="s">
        <v>175</v>
      </c>
      <c r="B153" s="69"/>
      <c r="C153" s="69"/>
      <c r="D153" s="70"/>
      <c r="E153" s="69"/>
      <c r="F153" s="70"/>
      <c r="G153" s="70"/>
      <c r="H153" s="69"/>
      <c r="I153" s="24" t="s">
        <v>175</v>
      </c>
      <c r="J153" s="69"/>
      <c r="K153" s="69"/>
      <c r="L153" s="70"/>
      <c r="M153" s="69"/>
      <c r="N153" s="70"/>
      <c r="O153" s="70"/>
      <c r="P153" s="69"/>
      <c r="Q153" s="97"/>
      <c r="R153" s="97"/>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row>
    <row r="154" spans="1:41" s="25" customFormat="1" ht="24" customHeight="1" x14ac:dyDescent="0.2">
      <c r="A154" s="666" t="s">
        <v>176</v>
      </c>
      <c r="B154" s="687"/>
      <c r="C154" s="687"/>
      <c r="D154" s="687"/>
      <c r="E154" s="687"/>
      <c r="F154" s="687"/>
      <c r="G154" s="687"/>
      <c r="H154" s="687"/>
      <c r="I154" s="666" t="s">
        <v>176</v>
      </c>
      <c r="J154" s="687"/>
      <c r="K154" s="687"/>
      <c r="L154" s="687"/>
      <c r="M154" s="687"/>
      <c r="N154" s="687"/>
      <c r="O154" s="687"/>
      <c r="P154" s="687"/>
      <c r="Q154" s="97"/>
      <c r="R154" s="97"/>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row>
    <row r="155" spans="1:41" s="25" customFormat="1" ht="9.75" customHeight="1" x14ac:dyDescent="0.2">
      <c r="A155" s="663"/>
      <c r="B155" s="664"/>
      <c r="C155" s="664"/>
      <c r="D155" s="664"/>
      <c r="E155" s="664"/>
      <c r="F155" s="664"/>
      <c r="G155" s="664"/>
      <c r="H155" s="664"/>
      <c r="I155" s="663"/>
      <c r="J155" s="664"/>
      <c r="K155" s="664"/>
      <c r="L155" s="664"/>
      <c r="M155" s="664"/>
      <c r="N155" s="664"/>
      <c r="O155" s="664"/>
      <c r="P155" s="664"/>
      <c r="Q155" s="248"/>
      <c r="R155" s="248"/>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row>
    <row r="156" spans="1:41" s="25" customFormat="1" ht="13.5" customHeight="1" x14ac:dyDescent="0.2">
      <c r="A156" s="24"/>
      <c r="B156" s="76"/>
      <c r="H156" s="27" t="s">
        <v>914</v>
      </c>
      <c r="I156" s="24"/>
      <c r="P156" s="27" t="s">
        <v>914</v>
      </c>
      <c r="Q156" s="97"/>
      <c r="R156" s="97"/>
    </row>
    <row r="157" spans="1:41" ht="18" x14ac:dyDescent="0.25">
      <c r="A157" s="16" t="s">
        <v>206</v>
      </c>
      <c r="B157" s="34"/>
      <c r="C157" s="34"/>
      <c r="D157" s="34"/>
      <c r="E157" s="34"/>
      <c r="F157" s="34"/>
      <c r="G157" s="34"/>
      <c r="H157" s="35"/>
      <c r="I157" s="16" t="s">
        <v>221</v>
      </c>
      <c r="J157" s="19"/>
      <c r="K157" s="19"/>
      <c r="L157" s="34"/>
      <c r="M157" s="19"/>
      <c r="N157" s="19"/>
      <c r="O157" s="19"/>
      <c r="P157" s="19"/>
      <c r="Q157" s="97"/>
      <c r="R157" s="97"/>
    </row>
    <row r="158" spans="1:41" x14ac:dyDescent="0.2">
      <c r="A158" s="18"/>
      <c r="B158" s="19"/>
      <c r="C158" s="19"/>
      <c r="D158" s="19"/>
      <c r="E158" s="19"/>
      <c r="F158" s="19"/>
      <c r="G158" s="19"/>
      <c r="H158" s="36"/>
      <c r="I158" s="18"/>
      <c r="J158" s="19"/>
      <c r="K158" s="19"/>
      <c r="L158" s="19"/>
      <c r="M158" s="19"/>
      <c r="N158" s="19"/>
      <c r="O158" s="19"/>
      <c r="P158" s="19"/>
      <c r="Q158" s="97"/>
      <c r="R158" s="97"/>
    </row>
    <row r="159" spans="1:41" ht="15.75" x14ac:dyDescent="0.25">
      <c r="A159" s="37" t="s">
        <v>162</v>
      </c>
      <c r="B159" s="19"/>
      <c r="C159" s="19"/>
      <c r="D159" s="19"/>
      <c r="E159" s="19"/>
      <c r="F159" s="19"/>
      <c r="G159" s="19"/>
      <c r="H159" s="36"/>
      <c r="I159" s="37" t="s">
        <v>163</v>
      </c>
      <c r="J159" s="19"/>
      <c r="K159" s="19"/>
      <c r="L159" s="19"/>
      <c r="M159" s="19"/>
      <c r="N159" s="19"/>
      <c r="O159" s="19"/>
      <c r="P159" s="19"/>
      <c r="Q159" s="97"/>
      <c r="R159" s="97"/>
    </row>
    <row r="160" spans="1:41" ht="15.75" x14ac:dyDescent="0.25">
      <c r="A160" s="37" t="s">
        <v>245</v>
      </c>
      <c r="B160" s="19"/>
      <c r="C160" s="19"/>
      <c r="D160" s="19"/>
      <c r="E160" s="19"/>
      <c r="F160" s="19"/>
      <c r="G160" s="19"/>
      <c r="H160" s="36"/>
      <c r="I160" s="37" t="s">
        <v>245</v>
      </c>
      <c r="J160" s="19"/>
      <c r="K160" s="19"/>
      <c r="L160" s="19"/>
      <c r="M160" s="19"/>
      <c r="N160" s="19"/>
      <c r="O160" s="19"/>
      <c r="P160" s="19"/>
      <c r="Q160" s="97"/>
      <c r="R160" s="97"/>
    </row>
    <row r="161" spans="1:41" x14ac:dyDescent="0.2">
      <c r="A161" s="39"/>
      <c r="B161" s="40"/>
      <c r="C161" s="40"/>
      <c r="D161" s="40"/>
      <c r="E161" s="40"/>
      <c r="F161" s="40"/>
      <c r="G161" s="40"/>
      <c r="H161" s="40"/>
      <c r="I161" s="41"/>
      <c r="L161" s="42"/>
      <c r="P161" s="39"/>
      <c r="Q161" s="97"/>
      <c r="R161" s="97"/>
    </row>
    <row r="162" spans="1:41" s="48" customFormat="1" x14ac:dyDescent="0.2">
      <c r="A162" s="43"/>
      <c r="B162" s="44" t="s">
        <v>164</v>
      </c>
      <c r="C162" s="44"/>
      <c r="D162" s="44"/>
      <c r="E162" s="44"/>
      <c r="F162" s="44"/>
      <c r="G162" s="44"/>
      <c r="H162" s="45"/>
      <c r="I162" s="43"/>
      <c r="J162" s="44" t="s">
        <v>164</v>
      </c>
      <c r="K162" s="44"/>
      <c r="L162" s="44"/>
      <c r="M162" s="44"/>
      <c r="N162" s="44"/>
      <c r="O162" s="44"/>
      <c r="P162" s="45"/>
      <c r="Q162" s="97"/>
      <c r="R162" s="97"/>
    </row>
    <row r="163" spans="1:41" s="48" customFormat="1" x14ac:dyDescent="0.2">
      <c r="A163" s="43"/>
      <c r="B163" s="44" t="s">
        <v>165</v>
      </c>
      <c r="C163" s="44"/>
      <c r="D163" s="670" t="s">
        <v>166</v>
      </c>
      <c r="E163" s="668"/>
      <c r="F163" s="668"/>
      <c r="G163" s="668"/>
      <c r="H163" s="49" t="s">
        <v>39</v>
      </c>
      <c r="I163" s="43"/>
      <c r="J163" s="44" t="s">
        <v>165</v>
      </c>
      <c r="K163" s="44"/>
      <c r="L163" s="670" t="s">
        <v>166</v>
      </c>
      <c r="M163" s="668"/>
      <c r="N163" s="668"/>
      <c r="O163" s="668"/>
      <c r="P163" s="49" t="s">
        <v>39</v>
      </c>
      <c r="Q163" s="97"/>
      <c r="R163" s="97"/>
    </row>
    <row r="164" spans="1:41" s="48" customFormat="1" ht="40.5" customHeight="1" x14ac:dyDescent="0.2">
      <c r="A164" s="43"/>
      <c r="B164" s="50" t="s">
        <v>167</v>
      </c>
      <c r="C164" s="51" t="s">
        <v>168</v>
      </c>
      <c r="D164" s="52" t="s">
        <v>169</v>
      </c>
      <c r="E164" s="53" t="s">
        <v>7</v>
      </c>
      <c r="F164" s="50" t="s">
        <v>170</v>
      </c>
      <c r="G164" s="54" t="s">
        <v>171</v>
      </c>
      <c r="H164" s="55" t="s">
        <v>172</v>
      </c>
      <c r="I164" s="43"/>
      <c r="J164" s="50" t="s">
        <v>167</v>
      </c>
      <c r="K164" s="51" t="s">
        <v>168</v>
      </c>
      <c r="L164" s="52" t="s">
        <v>169</v>
      </c>
      <c r="M164" s="53" t="s">
        <v>7</v>
      </c>
      <c r="N164" s="50" t="s">
        <v>170</v>
      </c>
      <c r="O164" s="54" t="s">
        <v>171</v>
      </c>
      <c r="P164" s="55" t="s">
        <v>172</v>
      </c>
      <c r="Q164" s="97"/>
      <c r="R164" s="97"/>
      <c r="T164" s="73"/>
    </row>
    <row r="165" spans="1:41" ht="15.75" customHeight="1" x14ac:dyDescent="0.2">
      <c r="A165" s="62" t="s">
        <v>141</v>
      </c>
      <c r="B165" s="243">
        <f>('Pivot Table for Data Exchange'!$G$6)*100</f>
        <v>94.752957773574025</v>
      </c>
      <c r="C165" s="243">
        <f>('Pivot Table for Data Exchange'!$G$9)*100</f>
        <v>0.64045015870980149</v>
      </c>
      <c r="D165" s="249">
        <f>SUM(E165:G165)</f>
        <v>4.606592067716182</v>
      </c>
      <c r="E165" s="243">
        <f>('Pivot Table for Data Exchange'!$G$12)*100</f>
        <v>4.606592067716182</v>
      </c>
      <c r="F165" s="243">
        <f>('Pivot Table for Data Exchange'!$G$15)*100</f>
        <v>0</v>
      </c>
      <c r="G165" s="60">
        <f>('Pivot Table for Data Exchange'!$G$18)*100</f>
        <v>0</v>
      </c>
      <c r="H165" s="243">
        <f>('Pivot Table for Data Exchange'!$G$21)*100</f>
        <v>0</v>
      </c>
      <c r="I165" s="251" t="s">
        <v>141</v>
      </c>
      <c r="J165" s="243">
        <f>('Pivot Table for Data Exchange'!$G$24)*100</f>
        <v>25.878013210946211</v>
      </c>
      <c r="K165" s="243">
        <f>('Pivot Table for Data Exchange'!$G$27)*100</f>
        <v>0.95221755168568234</v>
      </c>
      <c r="L165" s="249">
        <f>SUM(M165:O165)</f>
        <v>73.169769237368115</v>
      </c>
      <c r="M165" s="243">
        <f>('Pivot Table for Data Exchange'!$G$30)*100</f>
        <v>73.169769237368115</v>
      </c>
      <c r="N165" s="243">
        <f>('Pivot Table for Data Exchange'!$G$33)*100</f>
        <v>0</v>
      </c>
      <c r="O165" s="60">
        <f>('Pivot Table for Data Exchange'!$G$36)*100</f>
        <v>0</v>
      </c>
      <c r="P165" s="243">
        <f>('Pivot Table for Data Exchange'!$G$39)*100</f>
        <v>0</v>
      </c>
      <c r="Q165" s="97">
        <f>SUM(B165,C165,D165,H165)</f>
        <v>100</v>
      </c>
      <c r="R165" s="97">
        <f t="shared" si="35"/>
        <v>100</v>
      </c>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row>
    <row r="166" spans="1:41" ht="15.75" customHeight="1" x14ac:dyDescent="0.2">
      <c r="A166" s="65" t="s">
        <v>142</v>
      </c>
      <c r="B166" s="243">
        <f>('Pivot Table for Data Exchange'!$G$42)*100</f>
        <v>82.146329268631419</v>
      </c>
      <c r="C166" s="243">
        <f>('Pivot Table for Data Exchange'!$G$45)*100</f>
        <v>1.4332935196244547</v>
      </c>
      <c r="D166" s="249">
        <f t="shared" ref="D166:D168" si="40">SUM(E166:G166)</f>
        <v>16.412044109885837</v>
      </c>
      <c r="E166" s="243">
        <f>('Pivot Table for Data Exchange'!$G$48)*100</f>
        <v>11.770506374822922</v>
      </c>
      <c r="F166" s="243">
        <f>('Pivot Table for Data Exchange'!$G$51)*100</f>
        <v>4.641537735062915</v>
      </c>
      <c r="G166" s="245">
        <f>('Pivot Table for Data Exchange'!$G$54)*100</f>
        <v>0</v>
      </c>
      <c r="H166" s="67">
        <f>('Pivot Table for Data Exchange'!$G$57)*100</f>
        <v>8.3331018582817155E-3</v>
      </c>
      <c r="I166" s="87" t="s">
        <v>142</v>
      </c>
      <c r="J166" s="243">
        <f>('Pivot Table for Data Exchange'!$G$60)*100</f>
        <v>49.013949013949016</v>
      </c>
      <c r="K166" s="243">
        <f>('Pivot Table for Data Exchange'!$G$63)*100</f>
        <v>1.9240019240019242</v>
      </c>
      <c r="L166" s="249">
        <f t="shared" ref="L166:L168" si="41">SUM(M166:O166)</f>
        <v>49.062049062049063</v>
      </c>
      <c r="M166" s="243">
        <f>('Pivot Table for Data Exchange'!$G$66)*100</f>
        <v>49.062049062049063</v>
      </c>
      <c r="N166" s="243">
        <f>('Pivot Table for Data Exchange'!$G$69)*100</f>
        <v>0</v>
      </c>
      <c r="O166" s="245">
        <f>('Pivot Table for Data Exchange'!$G$72)*100</f>
        <v>0</v>
      </c>
      <c r="P166" s="243">
        <f>('Pivot Table for Data Exchange'!$G$75)*100</f>
        <v>0</v>
      </c>
      <c r="Q166" s="97">
        <f t="shared" si="34"/>
        <v>100</v>
      </c>
      <c r="R166" s="97">
        <f t="shared" si="35"/>
        <v>100</v>
      </c>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row>
    <row r="167" spans="1:41" ht="15.75" customHeight="1" x14ac:dyDescent="0.2">
      <c r="A167" s="65" t="s">
        <v>143</v>
      </c>
      <c r="B167" s="243">
        <f>('Pivot Table for Data Exchange'!$G$78)*100</f>
        <v>0</v>
      </c>
      <c r="C167" s="243">
        <f>('Pivot Table for Data Exchange'!$G$81)*100</f>
        <v>0</v>
      </c>
      <c r="D167" s="249">
        <f t="shared" si="40"/>
        <v>0</v>
      </c>
      <c r="E167" s="243">
        <f>('Pivot Table for Data Exchange'!$G$84)*100</f>
        <v>0</v>
      </c>
      <c r="F167" s="243">
        <f>('Pivot Table for Data Exchange'!$G$87)*100</f>
        <v>0</v>
      </c>
      <c r="G167" s="245">
        <f>('Pivot Table for Data Exchange'!$G$90)*100</f>
        <v>0</v>
      </c>
      <c r="H167" s="243">
        <f>('Pivot Table for Data Exchange'!$G$93)*100</f>
        <v>0</v>
      </c>
      <c r="I167" s="87" t="s">
        <v>143</v>
      </c>
      <c r="J167" s="243">
        <f>('Pivot Table for Data Exchange'!$G$96)*100</f>
        <v>0</v>
      </c>
      <c r="K167" s="243">
        <f>('Pivot Table for Data Exchange'!$G$99)*100</f>
        <v>0</v>
      </c>
      <c r="L167" s="249">
        <f t="shared" si="41"/>
        <v>0</v>
      </c>
      <c r="M167" s="243">
        <f>('Pivot Table for Data Exchange'!$G$102)*100</f>
        <v>0</v>
      </c>
      <c r="N167" s="243">
        <f>('Pivot Table for Data Exchange'!$G$105)*100</f>
        <v>0</v>
      </c>
      <c r="O167" s="245">
        <f>('Pivot Table for Data Exchange'!$G$108)*100</f>
        <v>0</v>
      </c>
      <c r="P167" s="243">
        <f>('Pivot Table for Data Exchange'!$G$111)*100</f>
        <v>0</v>
      </c>
      <c r="Q167" s="97">
        <f t="shared" si="34"/>
        <v>0</v>
      </c>
      <c r="R167" s="97">
        <f t="shared" si="35"/>
        <v>0</v>
      </c>
      <c r="S167" s="63"/>
      <c r="T167" s="74"/>
      <c r="U167" s="63"/>
      <c r="V167" s="63"/>
      <c r="W167" s="63"/>
      <c r="X167" s="63"/>
      <c r="Y167" s="63"/>
      <c r="Z167" s="63"/>
      <c r="AA167" s="63"/>
      <c r="AB167" s="63"/>
      <c r="AC167" s="63"/>
      <c r="AD167" s="63"/>
      <c r="AE167" s="63"/>
      <c r="AF167" s="63"/>
      <c r="AG167" s="63"/>
      <c r="AH167" s="63"/>
      <c r="AI167" s="63"/>
      <c r="AJ167" s="63"/>
      <c r="AK167" s="63"/>
      <c r="AL167" s="63"/>
      <c r="AM167" s="63"/>
      <c r="AN167" s="63"/>
      <c r="AO167" s="63"/>
    </row>
    <row r="168" spans="1:41" ht="15.75" customHeight="1" x14ac:dyDescent="0.2">
      <c r="A168" s="65" t="s">
        <v>174</v>
      </c>
      <c r="B168" s="243">
        <f>('Pivot Table for Data Exchange'!$G$114)*100</f>
        <v>0</v>
      </c>
      <c r="C168" s="243">
        <f>('Pivot Table for Data Exchange'!$G$117)*100</f>
        <v>0</v>
      </c>
      <c r="D168" s="249">
        <f t="shared" si="40"/>
        <v>0</v>
      </c>
      <c r="E168" s="243">
        <f>('Pivot Table for Data Exchange'!$G$120)*100</f>
        <v>0</v>
      </c>
      <c r="F168" s="243">
        <f>('Pivot Table for Data Exchange'!$G$123)*100</f>
        <v>0</v>
      </c>
      <c r="G168" s="245">
        <f>('Pivot Table for Data Exchange'!$G$126)*100</f>
        <v>0</v>
      </c>
      <c r="H168" s="243">
        <f>('Pivot Table for Data Exchange'!$G$129)*100</f>
        <v>0</v>
      </c>
      <c r="I168" s="87" t="s">
        <v>174</v>
      </c>
      <c r="J168" s="243">
        <f>('Pivot Table for Data Exchange'!$G$132)*100</f>
        <v>0</v>
      </c>
      <c r="K168" s="243">
        <f>('Pivot Table for Data Exchange'!$G$135)*100</f>
        <v>0</v>
      </c>
      <c r="L168" s="249">
        <f t="shared" si="41"/>
        <v>0</v>
      </c>
      <c r="M168" s="243">
        <f>('Pivot Table for Data Exchange'!$G$138)*100</f>
        <v>0</v>
      </c>
      <c r="N168" s="243">
        <f>('Pivot Table for Data Exchange'!$G$141)*100</f>
        <v>0</v>
      </c>
      <c r="O168" s="245">
        <f>('Pivot Table for Data Exchange'!$G$144)*100</f>
        <v>0</v>
      </c>
      <c r="P168" s="243">
        <f>('Pivot Table for Data Exchange'!$G$147)*100</f>
        <v>0</v>
      </c>
      <c r="Q168" s="97">
        <f t="shared" si="34"/>
        <v>0</v>
      </c>
      <c r="R168" s="97">
        <f t="shared" si="35"/>
        <v>0</v>
      </c>
      <c r="S168" s="63"/>
      <c r="U168" s="63"/>
      <c r="V168" s="63"/>
      <c r="W168" s="63"/>
      <c r="X168" s="63"/>
      <c r="Y168" s="63"/>
      <c r="Z168" s="63"/>
      <c r="AA168" s="63"/>
      <c r="AB168" s="63"/>
      <c r="AC168" s="63"/>
      <c r="AD168" s="63"/>
      <c r="AE168" s="63"/>
      <c r="AF168" s="63"/>
      <c r="AG168" s="63"/>
      <c r="AH168" s="63"/>
      <c r="AI168" s="63"/>
      <c r="AJ168" s="63"/>
      <c r="AK168" s="63"/>
      <c r="AL168" s="63"/>
      <c r="AM168" s="63"/>
      <c r="AN168" s="63"/>
      <c r="AO168" s="63"/>
    </row>
    <row r="169" spans="1:41" ht="10.5" customHeight="1" x14ac:dyDescent="0.2">
      <c r="A169" s="65"/>
      <c r="B169" s="243"/>
      <c r="C169" s="243"/>
      <c r="D169" s="249"/>
      <c r="E169" s="243"/>
      <c r="F169" s="243"/>
      <c r="G169" s="245"/>
      <c r="H169" s="243"/>
      <c r="I169" s="87"/>
      <c r="J169" s="243"/>
      <c r="K169" s="243"/>
      <c r="L169" s="249"/>
      <c r="M169" s="243"/>
      <c r="N169" s="243"/>
      <c r="O169" s="245"/>
      <c r="P169" s="243"/>
      <c r="Q169" s="97">
        <f t="shared" si="34"/>
        <v>0</v>
      </c>
      <c r="R169" s="97">
        <f t="shared" si="35"/>
        <v>0</v>
      </c>
      <c r="S169" s="63"/>
      <c r="U169" s="63"/>
      <c r="V169" s="63"/>
      <c r="W169" s="63"/>
      <c r="X169" s="63"/>
      <c r="Y169" s="63"/>
      <c r="Z169" s="63"/>
      <c r="AA169" s="63"/>
      <c r="AB169" s="63"/>
      <c r="AC169" s="63"/>
      <c r="AD169" s="63"/>
      <c r="AE169" s="63"/>
      <c r="AF169" s="63"/>
      <c r="AG169" s="63"/>
      <c r="AH169" s="63"/>
      <c r="AI169" s="63"/>
      <c r="AJ169" s="63"/>
      <c r="AK169" s="63"/>
      <c r="AL169" s="63"/>
      <c r="AM169" s="63"/>
      <c r="AN169" s="63"/>
      <c r="AO169" s="63"/>
    </row>
    <row r="170" spans="1:41" ht="15.75" customHeight="1" x14ac:dyDescent="0.2">
      <c r="A170" s="65" t="s">
        <v>145</v>
      </c>
      <c r="B170" s="243">
        <f>('Pivot Table for Data Exchange'!$G$150)*100</f>
        <v>0</v>
      </c>
      <c r="C170" s="243">
        <f>('Pivot Table for Data Exchange'!$G$153)*100</f>
        <v>0</v>
      </c>
      <c r="D170" s="249">
        <f t="shared" ref="D170:D173" si="42">SUM(E170:G170)</f>
        <v>0</v>
      </c>
      <c r="E170" s="243">
        <f>('Pivot Table for Data Exchange'!$G$156)*100</f>
        <v>0</v>
      </c>
      <c r="F170" s="243">
        <f>('Pivot Table for Data Exchange'!$G$159)*100</f>
        <v>0</v>
      </c>
      <c r="G170" s="245">
        <f>('Pivot Table for Data Exchange'!$G$162)*100</f>
        <v>0</v>
      </c>
      <c r="H170" s="243">
        <f>('Pivot Table for Data Exchange'!$G$165)*100</f>
        <v>0</v>
      </c>
      <c r="I170" s="87" t="s">
        <v>145</v>
      </c>
      <c r="J170" s="243">
        <f>('Pivot Table for Data Exchange'!$G$168)*100</f>
        <v>0</v>
      </c>
      <c r="K170" s="243">
        <f>('Pivot Table for Data Exchange'!$G$171)*100</f>
        <v>0</v>
      </c>
      <c r="L170" s="249">
        <f t="shared" ref="L170:L173" si="43">SUM(M170:O170)</f>
        <v>0</v>
      </c>
      <c r="M170" s="243">
        <f>('Pivot Table for Data Exchange'!$G$174)*100</f>
        <v>0</v>
      </c>
      <c r="N170" s="243">
        <f>('Pivot Table for Data Exchange'!$G$177)*100</f>
        <v>0</v>
      </c>
      <c r="O170" s="245">
        <f>('Pivot Table for Data Exchange'!$G$180)*100</f>
        <v>0</v>
      </c>
      <c r="P170" s="243">
        <f>('Pivot Table for Data Exchange'!$G$183)*100</f>
        <v>0</v>
      </c>
      <c r="Q170" s="97">
        <f t="shared" si="34"/>
        <v>0</v>
      </c>
      <c r="R170" s="97">
        <f t="shared" si="35"/>
        <v>0</v>
      </c>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row>
    <row r="171" spans="1:41" ht="15.75" customHeight="1" x14ac:dyDescent="0.2">
      <c r="A171" s="65" t="s">
        <v>146</v>
      </c>
      <c r="B171" s="243">
        <f>('Pivot Table for Data Exchange'!$G$186)*100</f>
        <v>0</v>
      </c>
      <c r="C171" s="243">
        <f>('Pivot Table for Data Exchange'!$G$189)*100</f>
        <v>0</v>
      </c>
      <c r="D171" s="249">
        <f t="shared" si="42"/>
        <v>0</v>
      </c>
      <c r="E171" s="243">
        <f>('Pivot Table for Data Exchange'!$G$192)*100</f>
        <v>0</v>
      </c>
      <c r="F171" s="243">
        <f>('Pivot Table for Data Exchange'!$G$195)*100</f>
        <v>0</v>
      </c>
      <c r="G171" s="245">
        <f>('Pivot Table for Data Exchange'!$G$198)*100</f>
        <v>0</v>
      </c>
      <c r="H171" s="243">
        <f>('Pivot Table for Data Exchange'!$G$201)*100</f>
        <v>0</v>
      </c>
      <c r="I171" s="87" t="s">
        <v>146</v>
      </c>
      <c r="J171" s="243">
        <f>('Pivot Table for Data Exchange'!$G$204)*100</f>
        <v>0</v>
      </c>
      <c r="K171" s="243">
        <f>('Pivot Table for Data Exchange'!$G$207)*100</f>
        <v>0</v>
      </c>
      <c r="L171" s="249">
        <f t="shared" si="43"/>
        <v>0</v>
      </c>
      <c r="M171" s="243">
        <f>('Pivot Table for Data Exchange'!$G$210)*100</f>
        <v>0</v>
      </c>
      <c r="N171" s="243">
        <f>('Pivot Table for Data Exchange'!$G$213)*100</f>
        <v>0</v>
      </c>
      <c r="O171" s="245">
        <f>('Pivot Table for Data Exchange'!$G$216)*100</f>
        <v>0</v>
      </c>
      <c r="P171" s="243">
        <f>('Pivot Table for Data Exchange'!$G$219)*100</f>
        <v>0</v>
      </c>
      <c r="Q171" s="97">
        <f t="shared" si="34"/>
        <v>0</v>
      </c>
      <c r="R171" s="97">
        <f t="shared" si="35"/>
        <v>0</v>
      </c>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row>
    <row r="172" spans="1:41" ht="15.75" customHeight="1" x14ac:dyDescent="0.2">
      <c r="A172" s="65" t="s">
        <v>147</v>
      </c>
      <c r="B172" s="243">
        <f>('Pivot Table for Data Exchange'!$G$222)*100</f>
        <v>0</v>
      </c>
      <c r="C172" s="243">
        <f>('Pivot Table for Data Exchange'!$G$225)*100</f>
        <v>0</v>
      </c>
      <c r="D172" s="249">
        <f t="shared" si="42"/>
        <v>0</v>
      </c>
      <c r="E172" s="243">
        <f>('Pivot Table for Data Exchange'!$G$228)*100</f>
        <v>0</v>
      </c>
      <c r="F172" s="243">
        <f>('Pivot Table for Data Exchange'!$G$231)*100</f>
        <v>0</v>
      </c>
      <c r="G172" s="245">
        <f>('Pivot Table for Data Exchange'!$G$234)*100</f>
        <v>0</v>
      </c>
      <c r="H172" s="243">
        <f>('Pivot Table for Data Exchange'!$G$237)*100</f>
        <v>0</v>
      </c>
      <c r="I172" s="87" t="s">
        <v>147</v>
      </c>
      <c r="J172" s="243">
        <f>('Pivot Table for Data Exchange'!$G$240)*100</f>
        <v>0</v>
      </c>
      <c r="K172" s="243">
        <f>('Pivot Table for Data Exchange'!$G$243)*100</f>
        <v>0</v>
      </c>
      <c r="L172" s="249">
        <f t="shared" si="43"/>
        <v>0</v>
      </c>
      <c r="M172" s="243">
        <f>('Pivot Table for Data Exchange'!$G$246)*100</f>
        <v>0</v>
      </c>
      <c r="N172" s="243">
        <f>('Pivot Table for Data Exchange'!$G$249)*100</f>
        <v>0</v>
      </c>
      <c r="O172" s="245">
        <f>('Pivot Table for Data Exchange'!$G$252)*100</f>
        <v>0</v>
      </c>
      <c r="P172" s="243">
        <f>('Pivot Table for Data Exchange'!$G$255)*100</f>
        <v>0</v>
      </c>
      <c r="Q172" s="97">
        <f t="shared" si="34"/>
        <v>0</v>
      </c>
      <c r="R172" s="97">
        <f t="shared" si="35"/>
        <v>0</v>
      </c>
      <c r="S172" s="63"/>
      <c r="T172" s="74"/>
      <c r="U172" s="63"/>
      <c r="V172" s="63"/>
      <c r="W172" s="63"/>
      <c r="X172" s="63"/>
      <c r="Y172" s="63"/>
      <c r="Z172" s="63"/>
      <c r="AA172" s="63"/>
      <c r="AB172" s="63"/>
      <c r="AC172" s="63"/>
      <c r="AD172" s="63"/>
      <c r="AE172" s="63"/>
      <c r="AF172" s="63"/>
      <c r="AG172" s="63"/>
      <c r="AH172" s="63"/>
      <c r="AI172" s="63"/>
      <c r="AJ172" s="63"/>
      <c r="AK172" s="63"/>
      <c r="AL172" s="63"/>
      <c r="AM172" s="63"/>
      <c r="AN172" s="63"/>
      <c r="AO172" s="63"/>
    </row>
    <row r="173" spans="1:41" ht="15.75" customHeight="1" x14ac:dyDescent="0.2">
      <c r="A173" s="65" t="s">
        <v>177</v>
      </c>
      <c r="B173" s="243">
        <f>('Pivot Table for Data Exchange'!$G$258)*100</f>
        <v>89.218394093114867</v>
      </c>
      <c r="C173" s="243">
        <f>('Pivot Table for Data Exchange'!$G$261)*100</f>
        <v>0</v>
      </c>
      <c r="D173" s="249">
        <f t="shared" si="42"/>
        <v>10.781605906885131</v>
      </c>
      <c r="E173" s="243">
        <f>('Pivot Table for Data Exchange'!$G$264)*100</f>
        <v>10.781605906885131</v>
      </c>
      <c r="F173" s="243">
        <f>('Pivot Table for Data Exchange'!$G$267)*100</f>
        <v>0</v>
      </c>
      <c r="G173" s="245">
        <f>('Pivot Table for Data Exchange'!$G$270)*100</f>
        <v>0</v>
      </c>
      <c r="H173" s="243">
        <f>('Pivot Table for Data Exchange'!$G$273)*100</f>
        <v>0</v>
      </c>
      <c r="I173" s="87" t="s">
        <v>177</v>
      </c>
      <c r="J173" s="243">
        <f>('Pivot Table for Data Exchange'!$G$276)*100</f>
        <v>83.702301194290712</v>
      </c>
      <c r="K173" s="243">
        <f>('Pivot Table for Data Exchange'!$G$279)*100</f>
        <v>4.8936789979609676</v>
      </c>
      <c r="L173" s="249">
        <f t="shared" si="43"/>
        <v>11.404019807748325</v>
      </c>
      <c r="M173" s="243">
        <f>('Pivot Table for Data Exchange'!$G$282)*100</f>
        <v>11.404019807748325</v>
      </c>
      <c r="N173" s="243">
        <f>('Pivot Table for Data Exchange'!$G$285)*100</f>
        <v>0</v>
      </c>
      <c r="O173" s="245">
        <f>('Pivot Table for Data Exchange'!$G$288)*100</f>
        <v>0</v>
      </c>
      <c r="P173" s="243">
        <f>('Pivot Table for Data Exchange'!$G$291)*100</f>
        <v>0</v>
      </c>
      <c r="Q173" s="97">
        <f t="shared" si="34"/>
        <v>100</v>
      </c>
      <c r="R173" s="97">
        <f t="shared" si="35"/>
        <v>100</v>
      </c>
      <c r="S173" s="63"/>
      <c r="U173" s="63"/>
      <c r="V173" s="63"/>
      <c r="W173" s="63"/>
      <c r="X173" s="63"/>
      <c r="Y173" s="63"/>
      <c r="Z173" s="63"/>
      <c r="AA173" s="63"/>
      <c r="AB173" s="63"/>
      <c r="AC173" s="63"/>
      <c r="AD173" s="63"/>
      <c r="AE173" s="63"/>
      <c r="AF173" s="63"/>
      <c r="AG173" s="63"/>
      <c r="AH173" s="63"/>
      <c r="AI173" s="63"/>
      <c r="AJ173" s="63"/>
      <c r="AK173" s="63"/>
      <c r="AL173" s="63"/>
      <c r="AM173" s="63"/>
      <c r="AN173" s="63"/>
      <c r="AO173" s="63"/>
    </row>
    <row r="174" spans="1:41" ht="11.25" customHeight="1" x14ac:dyDescent="0.2">
      <c r="A174" s="65"/>
      <c r="B174" s="243"/>
      <c r="C174" s="243"/>
      <c r="D174" s="249"/>
      <c r="E174" s="243"/>
      <c r="F174" s="243"/>
      <c r="G174" s="245"/>
      <c r="H174" s="243"/>
      <c r="I174" s="87"/>
      <c r="J174" s="243"/>
      <c r="K174" s="243"/>
      <c r="L174" s="249"/>
      <c r="M174" s="243"/>
      <c r="N174" s="243"/>
      <c r="O174" s="245"/>
      <c r="P174" s="243"/>
      <c r="Q174" s="97">
        <f t="shared" si="34"/>
        <v>0</v>
      </c>
      <c r="R174" s="97">
        <f t="shared" si="35"/>
        <v>0</v>
      </c>
      <c r="S174" s="63"/>
      <c r="U174" s="63"/>
      <c r="V174" s="63"/>
      <c r="W174" s="63"/>
      <c r="X174" s="63"/>
      <c r="Y174" s="63"/>
      <c r="Z174" s="63"/>
      <c r="AA174" s="63"/>
      <c r="AB174" s="63"/>
      <c r="AC174" s="63"/>
      <c r="AD174" s="63"/>
      <c r="AE174" s="63"/>
      <c r="AF174" s="63"/>
      <c r="AG174" s="63"/>
      <c r="AH174" s="63"/>
      <c r="AI174" s="63"/>
      <c r="AJ174" s="63"/>
      <c r="AK174" s="63"/>
      <c r="AL174" s="63"/>
      <c r="AM174" s="63"/>
      <c r="AN174" s="63"/>
      <c r="AO174" s="63"/>
    </row>
    <row r="175" spans="1:41" ht="15.75" customHeight="1" x14ac:dyDescent="0.2">
      <c r="A175" s="65" t="s">
        <v>148</v>
      </c>
      <c r="B175" s="243">
        <f>('Pivot Table for Data Exchange'!$G$294)*100</f>
        <v>59.079616704128711</v>
      </c>
      <c r="C175" s="243">
        <f>('Pivot Table for Data Exchange'!$G$297)*100</f>
        <v>0</v>
      </c>
      <c r="D175" s="249">
        <f t="shared" ref="D175:D177" si="44">SUM(E175:G175)</f>
        <v>40.920383295871289</v>
      </c>
      <c r="E175" s="243">
        <f>('Pivot Table for Data Exchange'!$G$300)*100</f>
        <v>40.920383295871289</v>
      </c>
      <c r="F175" s="243">
        <f>('Pivot Table for Data Exchange'!$G$303)*100</f>
        <v>0</v>
      </c>
      <c r="G175" s="245">
        <f>('Pivot Table for Data Exchange'!$G$306)*100</f>
        <v>0</v>
      </c>
      <c r="H175" s="243">
        <f>('Pivot Table for Data Exchange'!$G$309)*100</f>
        <v>0</v>
      </c>
      <c r="I175" s="87" t="s">
        <v>148</v>
      </c>
      <c r="J175" s="243">
        <f>('Pivot Table for Data Exchange'!$G$312)*100</f>
        <v>64.389671361502337</v>
      </c>
      <c r="K175" s="243">
        <f>('Pivot Table for Data Exchange'!$G$315)*100</f>
        <v>7.699530516431925</v>
      </c>
      <c r="L175" s="249">
        <f t="shared" ref="L175:L177" si="45">SUM(M175:O175)</f>
        <v>27.910798122065728</v>
      </c>
      <c r="M175" s="243">
        <f>('Pivot Table for Data Exchange'!$G$318)*100</f>
        <v>27.910798122065728</v>
      </c>
      <c r="N175" s="243">
        <f>('Pivot Table for Data Exchange'!$G$321)*100</f>
        <v>0</v>
      </c>
      <c r="O175" s="245">
        <f>('Pivot Table for Data Exchange'!$G$324)*100</f>
        <v>0</v>
      </c>
      <c r="P175" s="243">
        <f>('Pivot Table for Data Exchange'!$G$327)*100</f>
        <v>0</v>
      </c>
      <c r="Q175" s="97">
        <f t="shared" si="34"/>
        <v>100</v>
      </c>
      <c r="R175" s="97">
        <f t="shared" si="35"/>
        <v>99.999999999999986</v>
      </c>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row>
    <row r="176" spans="1:41" ht="15.75" customHeight="1" x14ac:dyDescent="0.2">
      <c r="A176" s="65" t="s">
        <v>149</v>
      </c>
      <c r="B176" s="243">
        <f>('Pivot Table for Data Exchange'!$G$330)*100</f>
        <v>78.719186661640052</v>
      </c>
      <c r="C176" s="243">
        <f>('Pivot Table for Data Exchange'!$G$333)*100</f>
        <v>5.1502511279475609</v>
      </c>
      <c r="D176" s="249">
        <f t="shared" si="44"/>
        <v>16.130562210412386</v>
      </c>
      <c r="E176" s="243">
        <f>('Pivot Table for Data Exchange'!$G$336)*100</f>
        <v>15.97429130841917</v>
      </c>
      <c r="F176" s="243">
        <f>('Pivot Table for Data Exchange'!$G$339)*100</f>
        <v>0.15627090199321408</v>
      </c>
      <c r="G176" s="245">
        <f>('Pivot Table for Data Exchange'!$G$342)*100</f>
        <v>0</v>
      </c>
      <c r="H176" s="243">
        <f>('Pivot Table for Data Exchange'!$G$345)*100</f>
        <v>0</v>
      </c>
      <c r="I176" s="87" t="s">
        <v>149</v>
      </c>
      <c r="J176" s="243">
        <f>('Pivot Table for Data Exchange'!$G$348)*100</f>
        <v>58.750217126975855</v>
      </c>
      <c r="K176" s="243">
        <f>('Pivot Table for Data Exchange'!$G$351)*100</f>
        <v>6.7743616466909851</v>
      </c>
      <c r="L176" s="249">
        <f t="shared" si="45"/>
        <v>34.475421226333161</v>
      </c>
      <c r="M176" s="243">
        <f>('Pivot Table for Data Exchange'!$G$354)*100</f>
        <v>33.680736494702103</v>
      </c>
      <c r="N176" s="243">
        <f>('Pivot Table for Data Exchange'!$G$357)*100</f>
        <v>0.79468473163105779</v>
      </c>
      <c r="O176" s="245">
        <f>('Pivot Table for Data Exchange'!$G$360)*100</f>
        <v>0</v>
      </c>
      <c r="P176" s="243">
        <f>('Pivot Table for Data Exchange'!$G$363)*100</f>
        <v>0</v>
      </c>
      <c r="Q176" s="97">
        <f t="shared" si="34"/>
        <v>100</v>
      </c>
      <c r="R176" s="97">
        <f t="shared" si="35"/>
        <v>100</v>
      </c>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row>
    <row r="177" spans="1:41" ht="15.75" customHeight="1" x14ac:dyDescent="0.2">
      <c r="A177" s="65" t="s">
        <v>150</v>
      </c>
      <c r="B177" s="243">
        <f>('Pivot Table for Data Exchange'!$G$366)*100</f>
        <v>83.991195074848051</v>
      </c>
      <c r="C177" s="243">
        <f>('Pivot Table for Data Exchange'!$G$369)*100</f>
        <v>1.0723788755995161</v>
      </c>
      <c r="D177" s="249">
        <f t="shared" si="44"/>
        <v>14.936426049552436</v>
      </c>
      <c r="E177" s="243">
        <f>('Pivot Table for Data Exchange'!$G$372)*100</f>
        <v>8.9250859984789237</v>
      </c>
      <c r="F177" s="243">
        <f>('Pivot Table for Data Exchange'!$G$375)*100</f>
        <v>4.8445638037606429</v>
      </c>
      <c r="G177" s="245">
        <f>('Pivot Table for Data Exchange'!$G$378)*100</f>
        <v>1.1667762473128696</v>
      </c>
      <c r="H177" s="243">
        <f>('Pivot Table for Data Exchange'!$G$381)*100</f>
        <v>0</v>
      </c>
      <c r="I177" s="87" t="s">
        <v>150</v>
      </c>
      <c r="J177" s="243">
        <f>('Pivot Table for Data Exchange'!$G$384)*100</f>
        <v>57.693159176444539</v>
      </c>
      <c r="K177" s="243">
        <f>('Pivot Table for Data Exchange'!$G$387)*100</f>
        <v>0.95397186386781252</v>
      </c>
      <c r="L177" s="249">
        <f t="shared" si="45"/>
        <v>41.352868959687648</v>
      </c>
      <c r="M177" s="243">
        <f>('Pivot Table for Data Exchange'!$G$390)*100</f>
        <v>24.247791172741362</v>
      </c>
      <c r="N177" s="243">
        <f>('Pivot Table for Data Exchange'!$G$393)*100</f>
        <v>15.668082194537808</v>
      </c>
      <c r="O177" s="245">
        <f>('Pivot Table for Data Exchange'!$G$396)*100</f>
        <v>1.436995592408477</v>
      </c>
      <c r="P177" s="243">
        <f>('Pivot Table for Data Exchange'!$G$399)*100</f>
        <v>0</v>
      </c>
      <c r="Q177" s="97">
        <f t="shared" si="34"/>
        <v>100</v>
      </c>
      <c r="R177" s="97">
        <f t="shared" si="35"/>
        <v>100</v>
      </c>
      <c r="S177" s="63"/>
      <c r="T177" s="74"/>
      <c r="U177" s="63"/>
      <c r="V177" s="63"/>
      <c r="W177" s="63"/>
      <c r="X177" s="63"/>
      <c r="Y177" s="63"/>
      <c r="Z177" s="63"/>
      <c r="AA177" s="63"/>
      <c r="AB177" s="63"/>
      <c r="AC177" s="63"/>
      <c r="AD177" s="63"/>
      <c r="AE177" s="63"/>
      <c r="AF177" s="63"/>
      <c r="AG177" s="63"/>
      <c r="AH177" s="63"/>
      <c r="AI177" s="63"/>
      <c r="AJ177" s="63"/>
      <c r="AK177" s="63"/>
      <c r="AL177" s="63"/>
      <c r="AM177" s="63"/>
      <c r="AN177" s="63"/>
      <c r="AO177" s="63"/>
    </row>
    <row r="178" spans="1:41" ht="15.75" customHeight="1" x14ac:dyDescent="0.2">
      <c r="A178" s="65" t="s">
        <v>151</v>
      </c>
      <c r="B178" s="243">
        <f>('Pivot Table for Data Exchange'!$G$402)*100</f>
        <v>95.519819517071184</v>
      </c>
      <c r="C178" s="243">
        <f>('Pivot Table for Data Exchange'!$G$405)*100</f>
        <v>0.52334056092690151</v>
      </c>
      <c r="D178" s="249">
        <f>SUM(E178:G178)</f>
        <v>3.9568399220019219</v>
      </c>
      <c r="E178" s="243">
        <f>('Pivot Table for Data Exchange'!$G$408)*100</f>
        <v>3.7828211587980074</v>
      </c>
      <c r="F178" s="243">
        <f>('Pivot Table for Data Exchange'!$G$411)*100</f>
        <v>0</v>
      </c>
      <c r="G178" s="245">
        <f>('Pivot Table for Data Exchange'!$G$414)*100</f>
        <v>0.17401876320391446</v>
      </c>
      <c r="H178" s="243">
        <f>('Pivot Table for Data Exchange'!$G$417)*100</f>
        <v>0</v>
      </c>
      <c r="I178" s="87" t="s">
        <v>151</v>
      </c>
      <c r="J178" s="243">
        <f>('Pivot Table for Data Exchange'!$G$420)*100</f>
        <v>71.406041489748873</v>
      </c>
      <c r="K178" s="243">
        <f>('Pivot Table for Data Exchange'!$G$423)*100</f>
        <v>13.081806785555422</v>
      </c>
      <c r="L178" s="249">
        <f>SUM(M178:O178)</f>
        <v>15.512151724695702</v>
      </c>
      <c r="M178" s="243">
        <f>('Pivot Table for Data Exchange'!$G$426)*100</f>
        <v>14.85705042662461</v>
      </c>
      <c r="N178" s="243">
        <f>('Pivot Table for Data Exchange'!$G$429)*100</f>
        <v>0</v>
      </c>
      <c r="O178" s="245">
        <f>('Pivot Table for Data Exchange'!$G$432)*100</f>
        <v>0.65510129807109063</v>
      </c>
      <c r="P178" s="243">
        <f>('Pivot Table for Data Exchange'!$G$435)*100</f>
        <v>0</v>
      </c>
      <c r="Q178" s="97">
        <f t="shared" si="34"/>
        <v>100</v>
      </c>
      <c r="R178" s="97">
        <f t="shared" si="35"/>
        <v>99.999999999999986</v>
      </c>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row>
    <row r="179" spans="1:41" ht="11.25" customHeight="1" x14ac:dyDescent="0.2">
      <c r="A179" s="65"/>
      <c r="B179" s="243"/>
      <c r="C179" s="243"/>
      <c r="D179" s="249"/>
      <c r="E179" s="243"/>
      <c r="F179" s="243"/>
      <c r="G179" s="245"/>
      <c r="H179" s="243"/>
      <c r="I179" s="87"/>
      <c r="J179" s="243"/>
      <c r="K179" s="243"/>
      <c r="L179" s="249"/>
      <c r="M179" s="243"/>
      <c r="N179" s="243"/>
      <c r="O179" s="245"/>
      <c r="P179" s="243"/>
      <c r="Q179" s="97">
        <f t="shared" si="34"/>
        <v>0</v>
      </c>
      <c r="R179" s="97">
        <f t="shared" si="35"/>
        <v>0</v>
      </c>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row>
    <row r="180" spans="1:41" ht="15.75" customHeight="1" x14ac:dyDescent="0.2">
      <c r="A180" s="65" t="s">
        <v>152</v>
      </c>
      <c r="B180" s="243">
        <f>('Pivot Table for Data Exchange'!$G$438)*100</f>
        <v>81.983120304419941</v>
      </c>
      <c r="C180" s="243">
        <f>('Pivot Table for Data Exchange'!$G$441)*100</f>
        <v>10.237584154551664</v>
      </c>
      <c r="D180" s="249">
        <f>SUM(E180:G180)</f>
        <v>7.6690408820372715</v>
      </c>
      <c r="E180" s="243">
        <f>('Pivot Table for Data Exchange'!$G$444)*100</f>
        <v>6.7660259537515852</v>
      </c>
      <c r="F180" s="243">
        <f>('Pivot Table for Data Exchange'!$G$447)*100</f>
        <v>0.85764464825836673</v>
      </c>
      <c r="G180" s="68">
        <f>('Pivot Table for Data Exchange'!$G$450)*100</f>
        <v>4.5370280027319736E-2</v>
      </c>
      <c r="H180" s="243">
        <f>('Pivot Table for Data Exchange'!$G$453)*100</f>
        <v>0.11025465899112108</v>
      </c>
      <c r="I180" s="87" t="s">
        <v>152</v>
      </c>
      <c r="J180" s="243">
        <f>('Pivot Table for Data Exchange'!$G$456)*100</f>
        <v>29.943268299432685</v>
      </c>
      <c r="K180" s="243">
        <f>('Pivot Table for Data Exchange'!$G$459)*100</f>
        <v>0.20755500207555005</v>
      </c>
      <c r="L180" s="249">
        <f>SUM(M180:O180)</f>
        <v>69.849176698491775</v>
      </c>
      <c r="M180" s="243">
        <f>('Pivot Table for Data Exchange'!$G$462)*100</f>
        <v>69.392555693925559</v>
      </c>
      <c r="N180" s="243">
        <f>('Pivot Table for Data Exchange'!$G$465)*100</f>
        <v>0.45662100456621002</v>
      </c>
      <c r="O180" s="245">
        <f>('Pivot Table for Data Exchange'!$G$468)*100</f>
        <v>0</v>
      </c>
      <c r="P180" s="243">
        <f>('Pivot Table for Data Exchange'!$G$471)*100</f>
        <v>0</v>
      </c>
      <c r="Q180" s="97">
        <f t="shared" si="34"/>
        <v>100</v>
      </c>
      <c r="R180" s="97">
        <f t="shared" si="35"/>
        <v>100.00000000000001</v>
      </c>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row>
    <row r="181" spans="1:41" ht="15.75" customHeight="1" x14ac:dyDescent="0.2">
      <c r="A181" s="65" t="s">
        <v>153</v>
      </c>
      <c r="B181" s="243">
        <f>('Pivot Table for Data Exchange'!$G$474)*100</f>
        <v>67.977954084778816</v>
      </c>
      <c r="C181" s="243">
        <f>('Pivot Table for Data Exchange'!$G$477)*100</f>
        <v>4.3401420356475837</v>
      </c>
      <c r="D181" s="249">
        <f>SUM(E181:G181)</f>
        <v>27.6819038795736</v>
      </c>
      <c r="E181" s="243">
        <f>('Pivot Table for Data Exchange'!$G$480)*100</f>
        <v>26.276889850086597</v>
      </c>
      <c r="F181" s="243">
        <f>('Pivot Table for Data Exchange'!$G$483)*100</f>
        <v>1.4050140294870017</v>
      </c>
      <c r="G181" s="245">
        <f>('Pivot Table for Data Exchange'!$G$486)*100</f>
        <v>0</v>
      </c>
      <c r="H181" s="243">
        <f>('Pivot Table for Data Exchange'!$G$489)*100</f>
        <v>0</v>
      </c>
      <c r="I181" s="87" t="s">
        <v>153</v>
      </c>
      <c r="J181" s="243">
        <f>('Pivot Table for Data Exchange'!$G$492)*100</f>
        <v>38.920594312702946</v>
      </c>
      <c r="K181" s="243">
        <f>('Pivot Table for Data Exchange'!$G$495)*100</f>
        <v>4.9296467578470917</v>
      </c>
      <c r="L181" s="249">
        <f>SUM(M181:O181)</f>
        <v>56.149758929449959</v>
      </c>
      <c r="M181" s="243">
        <f>('Pivot Table for Data Exchange'!$G$498)*100</f>
        <v>54.762373314966048</v>
      </c>
      <c r="N181" s="243">
        <f>('Pivot Table for Data Exchange'!$G$501)*100</f>
        <v>1.3873856144839123</v>
      </c>
      <c r="O181" s="245">
        <f>('Pivot Table for Data Exchange'!$G$504)*100</f>
        <v>0</v>
      </c>
      <c r="P181" s="243">
        <f>('Pivot Table for Data Exchange'!$G$507)*100</f>
        <v>0</v>
      </c>
      <c r="Q181" s="97">
        <f t="shared" si="34"/>
        <v>100</v>
      </c>
      <c r="R181" s="97">
        <f t="shared" si="35"/>
        <v>100</v>
      </c>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row>
    <row r="182" spans="1:41" ht="15.75" customHeight="1" x14ac:dyDescent="0.2">
      <c r="A182" s="65" t="s">
        <v>154</v>
      </c>
      <c r="B182" s="243">
        <f>('Pivot Table for Data Exchange'!$G$510)*100</f>
        <v>98.388008732087428</v>
      </c>
      <c r="C182" s="243">
        <f>('Pivot Table for Data Exchange'!$G$513)*100</f>
        <v>0.13929401896944893</v>
      </c>
      <c r="D182" s="249">
        <f t="shared" ref="D182" si="46">SUM(E182:G182)</f>
        <v>1.4726972489431254</v>
      </c>
      <c r="E182" s="243">
        <f>('Pivot Table for Data Exchange'!$G$516)*100</f>
        <v>1.4412437607887336</v>
      </c>
      <c r="F182" s="67">
        <f>('Pivot Table for Data Exchange'!$G$519)*100</f>
        <v>3.1453488154391696E-2</v>
      </c>
      <c r="G182" s="245">
        <f>('Pivot Table for Data Exchange'!$G$522)*100</f>
        <v>0</v>
      </c>
      <c r="H182" s="243">
        <f>('Pivot Table for Data Exchange'!$G$525)*100</f>
        <v>0</v>
      </c>
      <c r="I182" s="87" t="s">
        <v>154</v>
      </c>
      <c r="J182" s="243">
        <f>('Pivot Table for Data Exchange'!$G$528)*100</f>
        <v>87.679443540032551</v>
      </c>
      <c r="K182" s="243">
        <f>('Pivot Table for Data Exchange'!$G$531)*100</f>
        <v>0</v>
      </c>
      <c r="L182" s="249">
        <f t="shared" ref="L182" si="47">SUM(M182:O182)</f>
        <v>12.320556459967442</v>
      </c>
      <c r="M182" s="243">
        <f>('Pivot Table for Data Exchange'!$G$534)*100</f>
        <v>12.320556459967442</v>
      </c>
      <c r="N182" s="243">
        <f>('Pivot Table for Data Exchange'!$G$537)*100</f>
        <v>0</v>
      </c>
      <c r="O182" s="245">
        <f>('Pivot Table for Data Exchange'!$G$540)*100</f>
        <v>0</v>
      </c>
      <c r="P182" s="243">
        <f>('Pivot Table for Data Exchange'!$G$543)*100</f>
        <v>0</v>
      </c>
      <c r="Q182" s="97">
        <f t="shared" si="34"/>
        <v>100</v>
      </c>
      <c r="R182" s="97">
        <f t="shared" si="35"/>
        <v>100</v>
      </c>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row>
    <row r="183" spans="1:41" ht="15.75" customHeight="1" x14ac:dyDescent="0.2">
      <c r="A183" s="39" t="s">
        <v>155</v>
      </c>
      <c r="B183" s="246">
        <f>('Pivot Table for Data Exchange'!$G$546)*100</f>
        <v>86.723018423909991</v>
      </c>
      <c r="C183" s="246">
        <f>('Pivot Table for Data Exchange'!$G$549)*100</f>
        <v>6.4256576414453619</v>
      </c>
      <c r="D183" s="250">
        <f>SUM(E183:G183)</f>
        <v>6.8513239346446513</v>
      </c>
      <c r="E183" s="246">
        <f>('Pivot Table for Data Exchange'!$G$552)*100</f>
        <v>6.8513239346446513</v>
      </c>
      <c r="F183" s="246">
        <f>('Pivot Table for Data Exchange'!$G$555)*100</f>
        <v>0</v>
      </c>
      <c r="G183" s="247">
        <f>('Pivot Table for Data Exchange'!$G$558)*100</f>
        <v>0</v>
      </c>
      <c r="H183" s="246">
        <f>('Pivot Table for Data Exchange'!$G$561)*100</f>
        <v>0</v>
      </c>
      <c r="I183" s="252" t="s">
        <v>155</v>
      </c>
      <c r="J183" s="246">
        <f>('Pivot Table for Data Exchange'!$G$564)*100</f>
        <v>52.140891579526695</v>
      </c>
      <c r="K183" s="246">
        <f>('Pivot Table for Data Exchange'!$G$567)*100</f>
        <v>0</v>
      </c>
      <c r="L183" s="250">
        <f>SUM(M183:O183)</f>
        <v>47.859108420473305</v>
      </c>
      <c r="M183" s="246">
        <f>('Pivot Table for Data Exchange'!$G$570)*100</f>
        <v>47.859108420473305</v>
      </c>
      <c r="N183" s="246">
        <f>('Pivot Table for Data Exchange'!$G$573)*100</f>
        <v>0</v>
      </c>
      <c r="O183" s="247">
        <f>('Pivot Table for Data Exchange'!$G$576)*100</f>
        <v>0</v>
      </c>
      <c r="P183" s="246">
        <f>('Pivot Table for Data Exchange'!$G$579)*100</f>
        <v>0</v>
      </c>
      <c r="Q183" s="97">
        <f t="shared" si="34"/>
        <v>100</v>
      </c>
      <c r="R183" s="97">
        <f t="shared" si="35"/>
        <v>100</v>
      </c>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row>
    <row r="184" spans="1:41" s="25" customFormat="1" ht="18" customHeight="1" x14ac:dyDescent="0.2">
      <c r="A184" s="24" t="s">
        <v>175</v>
      </c>
      <c r="B184" s="69"/>
      <c r="C184" s="69"/>
      <c r="D184" s="70"/>
      <c r="E184" s="69"/>
      <c r="F184" s="70"/>
      <c r="G184" s="70"/>
      <c r="H184" s="69"/>
      <c r="I184" s="24" t="s">
        <v>175</v>
      </c>
      <c r="J184" s="69"/>
      <c r="K184" s="69"/>
      <c r="L184" s="70"/>
      <c r="M184" s="69"/>
      <c r="N184" s="70"/>
      <c r="O184" s="70"/>
      <c r="P184" s="69"/>
      <c r="Q184" s="97"/>
      <c r="R184" s="97"/>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row>
    <row r="185" spans="1:41" s="25" customFormat="1" ht="25.5" customHeight="1" x14ac:dyDescent="0.2">
      <c r="A185" s="666" t="s">
        <v>176</v>
      </c>
      <c r="B185" s="687"/>
      <c r="C185" s="687"/>
      <c r="D185" s="687"/>
      <c r="E185" s="687"/>
      <c r="F185" s="687"/>
      <c r="G185" s="687"/>
      <c r="H185" s="687"/>
      <c r="I185" s="666" t="s">
        <v>176</v>
      </c>
      <c r="J185" s="687"/>
      <c r="K185" s="687"/>
      <c r="L185" s="687"/>
      <c r="M185" s="687"/>
      <c r="N185" s="687"/>
      <c r="O185" s="687"/>
      <c r="P185" s="687"/>
      <c r="Q185" s="97"/>
      <c r="R185" s="97"/>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row>
    <row r="186" spans="1:41" s="25" customFormat="1" ht="16.5" customHeight="1" x14ac:dyDescent="0.2">
      <c r="A186" s="78"/>
      <c r="B186" s="111"/>
      <c r="C186" s="111"/>
      <c r="D186" s="79"/>
      <c r="E186" s="111"/>
      <c r="F186" s="111"/>
      <c r="G186" s="112"/>
      <c r="H186" s="112"/>
      <c r="I186" s="78"/>
      <c r="J186" s="111"/>
      <c r="K186" s="111"/>
      <c r="L186" s="79"/>
      <c r="M186" s="111"/>
      <c r="N186" s="111"/>
      <c r="O186" s="111"/>
      <c r="P186" s="112"/>
      <c r="Q186" s="97"/>
      <c r="R186" s="97"/>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row>
    <row r="187" spans="1:41" s="25" customFormat="1" ht="13.5" customHeight="1" x14ac:dyDescent="0.2">
      <c r="A187" s="24"/>
      <c r="B187" s="76"/>
      <c r="H187" s="27" t="s">
        <v>914</v>
      </c>
      <c r="I187" s="24"/>
      <c r="P187" s="27" t="s">
        <v>927</v>
      </c>
      <c r="Q187" s="97"/>
      <c r="R187" s="97"/>
    </row>
    <row r="188" spans="1:41" ht="18" x14ac:dyDescent="0.25">
      <c r="A188" s="16" t="s">
        <v>207</v>
      </c>
      <c r="B188" s="34"/>
      <c r="C188" s="34"/>
      <c r="D188" s="34"/>
      <c r="E188" s="34"/>
      <c r="F188" s="34"/>
      <c r="G188" s="34"/>
      <c r="H188" s="35"/>
      <c r="I188" s="16" t="s">
        <v>222</v>
      </c>
      <c r="J188" s="19"/>
      <c r="K188" s="19"/>
      <c r="L188" s="34"/>
      <c r="M188" s="19"/>
      <c r="N188" s="19"/>
      <c r="O188" s="19"/>
      <c r="P188" s="19"/>
      <c r="Q188" s="97"/>
      <c r="R188" s="97"/>
    </row>
    <row r="189" spans="1:41" x14ac:dyDescent="0.2">
      <c r="A189" s="18"/>
      <c r="B189" s="19"/>
      <c r="C189" s="19"/>
      <c r="D189" s="19"/>
      <c r="E189" s="19"/>
      <c r="F189" s="19"/>
      <c r="G189" s="19"/>
      <c r="H189" s="36"/>
      <c r="I189" s="18"/>
      <c r="J189" s="19"/>
      <c r="K189" s="19"/>
      <c r="L189" s="19"/>
      <c r="M189" s="19"/>
      <c r="N189" s="19"/>
      <c r="O189" s="19"/>
      <c r="P189" s="19"/>
      <c r="Q189" s="97"/>
      <c r="R189" s="97"/>
    </row>
    <row r="190" spans="1:41" ht="15.75" x14ac:dyDescent="0.25">
      <c r="A190" s="37" t="s">
        <v>162</v>
      </c>
      <c r="B190" s="19"/>
      <c r="C190" s="19"/>
      <c r="D190" s="19"/>
      <c r="E190" s="19"/>
      <c r="F190" s="19"/>
      <c r="G190" s="19"/>
      <c r="H190" s="36"/>
      <c r="I190" s="37" t="s">
        <v>163</v>
      </c>
      <c r="J190" s="19"/>
      <c r="K190" s="19"/>
      <c r="L190" s="19"/>
      <c r="M190" s="19"/>
      <c r="N190" s="19"/>
      <c r="O190" s="19"/>
      <c r="P190" s="19"/>
      <c r="Q190" s="97"/>
      <c r="R190" s="97"/>
    </row>
    <row r="191" spans="1:41" ht="15.75" x14ac:dyDescent="0.25">
      <c r="A191" s="37" t="s">
        <v>246</v>
      </c>
      <c r="B191" s="19"/>
      <c r="C191" s="19"/>
      <c r="D191" s="19"/>
      <c r="E191" s="19"/>
      <c r="F191" s="19"/>
      <c r="G191" s="19"/>
      <c r="H191" s="36"/>
      <c r="I191" s="37" t="s">
        <v>246</v>
      </c>
      <c r="J191" s="19"/>
      <c r="K191" s="19"/>
      <c r="L191" s="19"/>
      <c r="M191" s="19"/>
      <c r="N191" s="19"/>
      <c r="O191" s="19"/>
      <c r="P191" s="19"/>
      <c r="Q191" s="97"/>
      <c r="R191" s="97"/>
    </row>
    <row r="192" spans="1:41" x14ac:dyDescent="0.2">
      <c r="A192" s="39"/>
      <c r="B192" s="40"/>
      <c r="C192" s="40"/>
      <c r="D192" s="40"/>
      <c r="E192" s="40"/>
      <c r="F192" s="40"/>
      <c r="G192" s="40"/>
      <c r="H192" s="40"/>
      <c r="I192" s="41"/>
      <c r="L192" s="42"/>
      <c r="P192" s="39"/>
      <c r="Q192" s="97"/>
      <c r="R192" s="97"/>
    </row>
    <row r="193" spans="1:41" s="48" customFormat="1" x14ac:dyDescent="0.2">
      <c r="A193" s="43"/>
      <c r="B193" s="44" t="s">
        <v>164</v>
      </c>
      <c r="C193" s="44"/>
      <c r="D193" s="44"/>
      <c r="E193" s="44"/>
      <c r="F193" s="44"/>
      <c r="G193" s="44"/>
      <c r="H193" s="45"/>
      <c r="I193" s="43"/>
      <c r="J193" s="44" t="s">
        <v>164</v>
      </c>
      <c r="K193" s="44"/>
      <c r="L193" s="44"/>
      <c r="M193" s="44"/>
      <c r="N193" s="44"/>
      <c r="O193" s="44"/>
      <c r="P193" s="45"/>
      <c r="Q193" s="97"/>
      <c r="R193" s="97"/>
    </row>
    <row r="194" spans="1:41" s="48" customFormat="1" x14ac:dyDescent="0.2">
      <c r="A194" s="43"/>
      <c r="B194" s="44" t="s">
        <v>165</v>
      </c>
      <c r="C194" s="44"/>
      <c r="D194" s="670" t="s">
        <v>166</v>
      </c>
      <c r="E194" s="668"/>
      <c r="F194" s="668"/>
      <c r="G194" s="668"/>
      <c r="H194" s="49" t="s">
        <v>39</v>
      </c>
      <c r="I194" s="43"/>
      <c r="J194" s="44" t="s">
        <v>165</v>
      </c>
      <c r="K194" s="44"/>
      <c r="L194" s="670" t="s">
        <v>166</v>
      </c>
      <c r="M194" s="668"/>
      <c r="N194" s="668"/>
      <c r="O194" s="668"/>
      <c r="P194" s="49" t="s">
        <v>39</v>
      </c>
      <c r="Q194" s="97"/>
      <c r="R194" s="97"/>
    </row>
    <row r="195" spans="1:41" s="48" customFormat="1" ht="40.5" customHeight="1" x14ac:dyDescent="0.2">
      <c r="A195" s="43"/>
      <c r="B195" s="50" t="s">
        <v>167</v>
      </c>
      <c r="C195" s="51" t="s">
        <v>168</v>
      </c>
      <c r="D195" s="52" t="s">
        <v>169</v>
      </c>
      <c r="E195" s="53" t="s">
        <v>7</v>
      </c>
      <c r="F195" s="50" t="s">
        <v>170</v>
      </c>
      <c r="G195" s="54" t="s">
        <v>171</v>
      </c>
      <c r="H195" s="55" t="s">
        <v>172</v>
      </c>
      <c r="I195" s="43"/>
      <c r="J195" s="50" t="s">
        <v>167</v>
      </c>
      <c r="K195" s="51" t="s">
        <v>168</v>
      </c>
      <c r="L195" s="52" t="s">
        <v>169</v>
      </c>
      <c r="M195" s="53" t="s">
        <v>7</v>
      </c>
      <c r="N195" s="50" t="s">
        <v>170</v>
      </c>
      <c r="O195" s="54" t="s">
        <v>171</v>
      </c>
      <c r="P195" s="55" t="s">
        <v>172</v>
      </c>
      <c r="Q195" s="97"/>
      <c r="R195" s="97"/>
      <c r="T195" s="73"/>
    </row>
    <row r="196" spans="1:41" ht="15.75" customHeight="1" x14ac:dyDescent="0.2">
      <c r="A196" s="62" t="s">
        <v>141</v>
      </c>
      <c r="B196" s="243">
        <f>('Pivot Table for Data Exchange'!$H$6)*100</f>
        <v>24.173298172738093</v>
      </c>
      <c r="C196" s="243">
        <f>('Pivot Table for Data Exchange'!$H$9)*100</f>
        <v>4.4666402184313085</v>
      </c>
      <c r="D196" s="249">
        <f>SUM(E196:G196)</f>
        <v>71.360061608830591</v>
      </c>
      <c r="E196" s="243">
        <f>('Pivot Table for Data Exchange'!$H$12)*100</f>
        <v>71.360061608830591</v>
      </c>
      <c r="F196" s="243">
        <f>('Pivot Table for Data Exchange'!$H$15)*100</f>
        <v>0</v>
      </c>
      <c r="G196" s="60">
        <f>('Pivot Table for Data Exchange'!$H$18)*100</f>
        <v>0</v>
      </c>
      <c r="H196" s="243">
        <f>('Pivot Table for Data Exchange'!$H$21)*100</f>
        <v>0</v>
      </c>
      <c r="I196" s="251" t="s">
        <v>141</v>
      </c>
      <c r="J196" s="243">
        <f>('Pivot Table for Data Exchange'!$H$24)*100</f>
        <v>0</v>
      </c>
      <c r="K196" s="243">
        <f>('Pivot Table for Data Exchange'!$H$27)*100</f>
        <v>0</v>
      </c>
      <c r="L196" s="249">
        <f>SUM(M196:O196)</f>
        <v>0</v>
      </c>
      <c r="M196" s="243">
        <f>('Pivot Table for Data Exchange'!$H$30)*100</f>
        <v>0</v>
      </c>
      <c r="N196" s="243">
        <f>('Pivot Table for Data Exchange'!$H$33)*100</f>
        <v>0</v>
      </c>
      <c r="O196" s="60">
        <f>('Pivot Table for Data Exchange'!$H$36)*100</f>
        <v>0</v>
      </c>
      <c r="P196" s="243">
        <f>('Pivot Table for Data Exchange'!$H$39)*100</f>
        <v>0</v>
      </c>
      <c r="Q196" s="97">
        <f t="shared" si="34"/>
        <v>100</v>
      </c>
      <c r="R196" s="97">
        <f t="shared" si="35"/>
        <v>0</v>
      </c>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row>
    <row r="197" spans="1:41" ht="15.75" customHeight="1" x14ac:dyDescent="0.2">
      <c r="A197" s="65" t="s">
        <v>142</v>
      </c>
      <c r="B197" s="243">
        <f>('Pivot Table for Data Exchange'!$H$42)*100</f>
        <v>87.279587553934022</v>
      </c>
      <c r="C197" s="243">
        <f>('Pivot Table for Data Exchange'!$H$45)*100</f>
        <v>1.161162516434066</v>
      </c>
      <c r="D197" s="249">
        <f t="shared" ref="D197:D199" si="48">SUM(E197:G197)</f>
        <v>11.559249929631914</v>
      </c>
      <c r="E197" s="243">
        <f>('Pivot Table for Data Exchange'!$H$48)*100</f>
        <v>9.9648337709812704</v>
      </c>
      <c r="F197" s="243">
        <f>('Pivot Table for Data Exchange'!$H$51)*100</f>
        <v>1.5944161586506429</v>
      </c>
      <c r="G197" s="245">
        <f>('Pivot Table for Data Exchange'!$H$54)*100</f>
        <v>0</v>
      </c>
      <c r="H197" s="243">
        <f>('Pivot Table for Data Exchange'!$H$57)*100</f>
        <v>0</v>
      </c>
      <c r="I197" s="87" t="s">
        <v>142</v>
      </c>
      <c r="J197" s="243">
        <f>('Pivot Table for Data Exchange'!$H$60)*100</f>
        <v>86.472148541114052</v>
      </c>
      <c r="K197" s="243">
        <f>('Pivot Table for Data Exchange'!$H$63)*100</f>
        <v>0</v>
      </c>
      <c r="L197" s="249">
        <f t="shared" ref="L197:L199" si="49">SUM(M197:O197)</f>
        <v>13.527851458885941</v>
      </c>
      <c r="M197" s="243">
        <f>('Pivot Table for Data Exchange'!$H$66)*100</f>
        <v>6.0477453580901859</v>
      </c>
      <c r="N197" s="243">
        <f>('Pivot Table for Data Exchange'!$H$69)*100</f>
        <v>7.480106100795755</v>
      </c>
      <c r="O197" s="245">
        <f>('Pivot Table for Data Exchange'!$H$72)*100</f>
        <v>0</v>
      </c>
      <c r="P197" s="243">
        <f>('Pivot Table for Data Exchange'!$H$75)*100</f>
        <v>0</v>
      </c>
      <c r="Q197" s="97">
        <f t="shared" si="34"/>
        <v>100</v>
      </c>
      <c r="R197" s="97">
        <f t="shared" si="35"/>
        <v>100</v>
      </c>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row>
    <row r="198" spans="1:41" ht="15.75" customHeight="1" x14ac:dyDescent="0.2">
      <c r="A198" s="65" t="s">
        <v>143</v>
      </c>
      <c r="B198" s="243">
        <f>('Pivot Table for Data Exchange'!$H$78)*100</f>
        <v>0</v>
      </c>
      <c r="C198" s="243">
        <f>('Pivot Table for Data Exchange'!$H$81)*100</f>
        <v>0</v>
      </c>
      <c r="D198" s="249">
        <f t="shared" si="48"/>
        <v>0</v>
      </c>
      <c r="E198" s="243">
        <f>('Pivot Table for Data Exchange'!$H$84)*100</f>
        <v>0</v>
      </c>
      <c r="F198" s="243">
        <f>('Pivot Table for Data Exchange'!$H$87)*100</f>
        <v>0</v>
      </c>
      <c r="G198" s="245">
        <f>('Pivot Table for Data Exchange'!$H$90)*100</f>
        <v>0</v>
      </c>
      <c r="H198" s="243">
        <f>('Pivot Table for Data Exchange'!$H$93)*100</f>
        <v>0</v>
      </c>
      <c r="I198" s="87" t="s">
        <v>143</v>
      </c>
      <c r="J198" s="243">
        <f>('Pivot Table for Data Exchange'!$H$96)*100</f>
        <v>0</v>
      </c>
      <c r="K198" s="243">
        <f>('Pivot Table for Data Exchange'!$H$99)*100</f>
        <v>0</v>
      </c>
      <c r="L198" s="249">
        <f t="shared" si="49"/>
        <v>0</v>
      </c>
      <c r="M198" s="243">
        <f>('Pivot Table for Data Exchange'!$H$102)*100</f>
        <v>0</v>
      </c>
      <c r="N198" s="243">
        <f>('Pivot Table for Data Exchange'!$H$105)*100</f>
        <v>0</v>
      </c>
      <c r="O198" s="245">
        <f>('Pivot Table for Data Exchange'!$H$108)*100</f>
        <v>0</v>
      </c>
      <c r="P198" s="243">
        <f>('Pivot Table for Data Exchange'!$H$111)*100</f>
        <v>0</v>
      </c>
      <c r="Q198" s="97">
        <f t="shared" si="34"/>
        <v>0</v>
      </c>
      <c r="R198" s="97">
        <f t="shared" si="35"/>
        <v>0</v>
      </c>
      <c r="S198" s="63"/>
      <c r="T198" s="74"/>
      <c r="U198" s="63"/>
      <c r="V198" s="63"/>
      <c r="W198" s="63"/>
      <c r="X198" s="63"/>
      <c r="Y198" s="63"/>
      <c r="Z198" s="63"/>
      <c r="AA198" s="63"/>
      <c r="AB198" s="63"/>
      <c r="AC198" s="63"/>
      <c r="AD198" s="63"/>
      <c r="AE198" s="63"/>
      <c r="AF198" s="63"/>
      <c r="AG198" s="63"/>
      <c r="AH198" s="63"/>
      <c r="AI198" s="63"/>
      <c r="AJ198" s="63"/>
      <c r="AK198" s="63"/>
      <c r="AL198" s="63"/>
      <c r="AM198" s="63"/>
      <c r="AN198" s="63"/>
      <c r="AO198" s="63"/>
    </row>
    <row r="199" spans="1:41" ht="15.75" customHeight="1" x14ac:dyDescent="0.2">
      <c r="A199" s="65" t="s">
        <v>174</v>
      </c>
      <c r="B199" s="243">
        <f>('Pivot Table for Data Exchange'!$H$114)*100</f>
        <v>100</v>
      </c>
      <c r="C199" s="243">
        <f>('Pivot Table for Data Exchange'!$H$117)*100</f>
        <v>0</v>
      </c>
      <c r="D199" s="249">
        <f t="shared" si="48"/>
        <v>0</v>
      </c>
      <c r="E199" s="243">
        <f>('Pivot Table for Data Exchange'!$H$120)*100</f>
        <v>0</v>
      </c>
      <c r="F199" s="243">
        <f>('Pivot Table for Data Exchange'!$H$123)*100</f>
        <v>0</v>
      </c>
      <c r="G199" s="245">
        <f>('Pivot Table for Data Exchange'!$H$126)*100</f>
        <v>0</v>
      </c>
      <c r="H199" s="243">
        <f>('Pivot Table for Data Exchange'!$H$129)*100</f>
        <v>0</v>
      </c>
      <c r="I199" s="87" t="s">
        <v>174</v>
      </c>
      <c r="J199" s="243">
        <f>('Pivot Table for Data Exchange'!$H$132)*100</f>
        <v>0</v>
      </c>
      <c r="K199" s="243">
        <f>('Pivot Table for Data Exchange'!$H$135)*100</f>
        <v>0</v>
      </c>
      <c r="L199" s="249">
        <f t="shared" si="49"/>
        <v>0</v>
      </c>
      <c r="M199" s="243">
        <f>('Pivot Table for Data Exchange'!$H$138)*100</f>
        <v>0</v>
      </c>
      <c r="N199" s="243">
        <f>('Pivot Table for Data Exchange'!$H$141)*100</f>
        <v>0</v>
      </c>
      <c r="O199" s="245">
        <f>('Pivot Table for Data Exchange'!$H$144)*100</f>
        <v>0</v>
      </c>
      <c r="P199" s="243">
        <f>('Pivot Table for Data Exchange'!$H$147)*100</f>
        <v>0</v>
      </c>
      <c r="Q199" s="97">
        <f t="shared" si="34"/>
        <v>100</v>
      </c>
      <c r="R199" s="97">
        <f t="shared" si="35"/>
        <v>0</v>
      </c>
      <c r="S199" s="63"/>
      <c r="U199" s="63"/>
      <c r="V199" s="63"/>
      <c r="W199" s="63"/>
      <c r="X199" s="63"/>
      <c r="Y199" s="63"/>
      <c r="Z199" s="63"/>
      <c r="AA199" s="63"/>
      <c r="AB199" s="63"/>
      <c r="AC199" s="63"/>
      <c r="AD199" s="63"/>
      <c r="AE199" s="63"/>
      <c r="AF199" s="63"/>
      <c r="AG199" s="63"/>
      <c r="AH199" s="63"/>
      <c r="AI199" s="63"/>
      <c r="AJ199" s="63"/>
      <c r="AK199" s="63"/>
      <c r="AL199" s="63"/>
      <c r="AM199" s="63"/>
      <c r="AN199" s="63"/>
      <c r="AO199" s="63"/>
    </row>
    <row r="200" spans="1:41" ht="15.75" customHeight="1" x14ac:dyDescent="0.2">
      <c r="A200" s="65"/>
      <c r="B200" s="243"/>
      <c r="C200" s="243"/>
      <c r="D200" s="249"/>
      <c r="E200" s="243"/>
      <c r="F200" s="243"/>
      <c r="G200" s="245"/>
      <c r="H200" s="243"/>
      <c r="I200" s="87"/>
      <c r="J200" s="243"/>
      <c r="K200" s="243"/>
      <c r="L200" s="249"/>
      <c r="M200" s="243"/>
      <c r="N200" s="243"/>
      <c r="O200" s="245"/>
      <c r="P200" s="243"/>
      <c r="Q200" s="97">
        <f t="shared" si="34"/>
        <v>0</v>
      </c>
      <c r="R200" s="97">
        <f t="shared" si="35"/>
        <v>0</v>
      </c>
      <c r="S200" s="63"/>
      <c r="U200" s="63"/>
      <c r="V200" s="63"/>
      <c r="W200" s="63"/>
      <c r="X200" s="63"/>
      <c r="Y200" s="63"/>
      <c r="Z200" s="63"/>
      <c r="AA200" s="63"/>
      <c r="AB200" s="63"/>
      <c r="AC200" s="63"/>
      <c r="AD200" s="63"/>
      <c r="AE200" s="63"/>
      <c r="AF200" s="63"/>
      <c r="AG200" s="63"/>
      <c r="AH200" s="63"/>
      <c r="AI200" s="63"/>
      <c r="AJ200" s="63"/>
      <c r="AK200" s="63"/>
      <c r="AL200" s="63"/>
      <c r="AM200" s="63"/>
      <c r="AN200" s="63"/>
      <c r="AO200" s="63"/>
    </row>
    <row r="201" spans="1:41" ht="15.75" customHeight="1" x14ac:dyDescent="0.2">
      <c r="A201" s="65" t="s">
        <v>145</v>
      </c>
      <c r="B201" s="243">
        <f>('Pivot Table for Data Exchange'!$H$150)*100</f>
        <v>0</v>
      </c>
      <c r="C201" s="243">
        <f>('Pivot Table for Data Exchange'!$H$153)*100</f>
        <v>0</v>
      </c>
      <c r="D201" s="249">
        <f t="shared" ref="D201:D204" si="50">SUM(E201:G201)</f>
        <v>0</v>
      </c>
      <c r="E201" s="243">
        <f>('Pivot Table for Data Exchange'!$H$156)*100</f>
        <v>0</v>
      </c>
      <c r="F201" s="243">
        <f>('Pivot Table for Data Exchange'!$H$159)*100</f>
        <v>0</v>
      </c>
      <c r="G201" s="245">
        <f>('Pivot Table for Data Exchange'!$H$162)*100</f>
        <v>0</v>
      </c>
      <c r="H201" s="243">
        <f>('Pivot Table for Data Exchange'!$H$165)*100</f>
        <v>0</v>
      </c>
      <c r="I201" s="87" t="s">
        <v>145</v>
      </c>
      <c r="J201" s="243">
        <f>('Pivot Table for Data Exchange'!$H$168)*100</f>
        <v>0</v>
      </c>
      <c r="K201" s="243">
        <f>('Pivot Table for Data Exchange'!$H$171)*100</f>
        <v>0</v>
      </c>
      <c r="L201" s="249">
        <f t="shared" ref="L201:L204" si="51">SUM(M201:O201)</f>
        <v>0</v>
      </c>
      <c r="M201" s="243">
        <f>('Pivot Table for Data Exchange'!$H$174)*100</f>
        <v>0</v>
      </c>
      <c r="N201" s="243">
        <f>('Pivot Table for Data Exchange'!$H$177)*100</f>
        <v>0</v>
      </c>
      <c r="O201" s="245">
        <f>('Pivot Table for Data Exchange'!$H$180)*100</f>
        <v>0</v>
      </c>
      <c r="P201" s="243">
        <f>('Pivot Table for Data Exchange'!$H$183)*100</f>
        <v>0</v>
      </c>
      <c r="Q201" s="97">
        <f t="shared" si="34"/>
        <v>0</v>
      </c>
      <c r="R201" s="97">
        <f t="shared" si="35"/>
        <v>0</v>
      </c>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row>
    <row r="202" spans="1:41" ht="15.75" customHeight="1" x14ac:dyDescent="0.2">
      <c r="A202" s="65" t="s">
        <v>146</v>
      </c>
      <c r="B202" s="243">
        <f>('Pivot Table for Data Exchange'!$H$186)*100</f>
        <v>0</v>
      </c>
      <c r="C202" s="243">
        <f>('Pivot Table for Data Exchange'!$H$189)*100</f>
        <v>0</v>
      </c>
      <c r="D202" s="249">
        <f t="shared" si="50"/>
        <v>0</v>
      </c>
      <c r="E202" s="243">
        <f>('Pivot Table for Data Exchange'!$H$192)*100</f>
        <v>0</v>
      </c>
      <c r="F202" s="243">
        <f>('Pivot Table for Data Exchange'!$H$195)*100</f>
        <v>0</v>
      </c>
      <c r="G202" s="245">
        <f>('Pivot Table for Data Exchange'!$H$198)*100</f>
        <v>0</v>
      </c>
      <c r="H202" s="243">
        <f>('Pivot Table for Data Exchange'!$H$201)*100</f>
        <v>0</v>
      </c>
      <c r="I202" s="87" t="s">
        <v>146</v>
      </c>
      <c r="J202" s="243">
        <f>('Pivot Table for Data Exchange'!$H$204)*100</f>
        <v>0</v>
      </c>
      <c r="K202" s="243">
        <f>('Pivot Table for Data Exchange'!$H$207)*100</f>
        <v>0</v>
      </c>
      <c r="L202" s="249">
        <f t="shared" si="51"/>
        <v>0</v>
      </c>
      <c r="M202" s="243">
        <f>('Pivot Table for Data Exchange'!$H$210)*100</f>
        <v>0</v>
      </c>
      <c r="N202" s="243">
        <f>('Pivot Table for Data Exchange'!$H$213)*100</f>
        <v>0</v>
      </c>
      <c r="O202" s="245">
        <f>('Pivot Table for Data Exchange'!$H$216)*100</f>
        <v>0</v>
      </c>
      <c r="P202" s="243">
        <f>('Pivot Table for Data Exchange'!$H$219)*100</f>
        <v>0</v>
      </c>
      <c r="Q202" s="97">
        <f t="shared" si="34"/>
        <v>0</v>
      </c>
      <c r="R202" s="97">
        <f t="shared" si="35"/>
        <v>0</v>
      </c>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row>
    <row r="203" spans="1:41" ht="15.75" customHeight="1" x14ac:dyDescent="0.2">
      <c r="A203" s="65" t="s">
        <v>147</v>
      </c>
      <c r="B203" s="243">
        <f>('Pivot Table for Data Exchange'!$H$222)*100</f>
        <v>0</v>
      </c>
      <c r="C203" s="243">
        <f>('Pivot Table for Data Exchange'!$H$225)*100</f>
        <v>0</v>
      </c>
      <c r="D203" s="249">
        <f t="shared" si="50"/>
        <v>0</v>
      </c>
      <c r="E203" s="243">
        <f>('Pivot Table for Data Exchange'!$H$228)*100</f>
        <v>0</v>
      </c>
      <c r="F203" s="243">
        <f>('Pivot Table for Data Exchange'!$H$231)*100</f>
        <v>0</v>
      </c>
      <c r="G203" s="245">
        <f>('Pivot Table for Data Exchange'!$H$234)*100</f>
        <v>0</v>
      </c>
      <c r="H203" s="243">
        <f>('Pivot Table for Data Exchange'!$H$237)*100</f>
        <v>0</v>
      </c>
      <c r="I203" s="87" t="s">
        <v>147</v>
      </c>
      <c r="J203" s="243">
        <f>('Pivot Table for Data Exchange'!$H$240)*100</f>
        <v>0</v>
      </c>
      <c r="K203" s="243">
        <f>('Pivot Table for Data Exchange'!$H$243)*100</f>
        <v>0</v>
      </c>
      <c r="L203" s="249">
        <f t="shared" si="51"/>
        <v>0</v>
      </c>
      <c r="M203" s="243">
        <f>('Pivot Table for Data Exchange'!$H$246)*100</f>
        <v>0</v>
      </c>
      <c r="N203" s="243">
        <f>('Pivot Table for Data Exchange'!$H$249)*100</f>
        <v>0</v>
      </c>
      <c r="O203" s="245">
        <f>('Pivot Table for Data Exchange'!$H$252)*100</f>
        <v>0</v>
      </c>
      <c r="P203" s="243">
        <f>('Pivot Table for Data Exchange'!$H$255)*100</f>
        <v>0</v>
      </c>
      <c r="Q203" s="97">
        <f t="shared" si="34"/>
        <v>0</v>
      </c>
      <c r="R203" s="97">
        <f t="shared" si="35"/>
        <v>0</v>
      </c>
      <c r="S203" s="63"/>
      <c r="T203" s="74"/>
      <c r="U203" s="63"/>
      <c r="V203" s="63"/>
      <c r="W203" s="63"/>
      <c r="X203" s="63"/>
      <c r="Y203" s="63"/>
      <c r="Z203" s="63"/>
      <c r="AA203" s="63"/>
      <c r="AB203" s="63"/>
      <c r="AC203" s="63"/>
      <c r="AD203" s="63"/>
      <c r="AE203" s="63"/>
      <c r="AF203" s="63"/>
      <c r="AG203" s="63"/>
      <c r="AH203" s="63"/>
      <c r="AI203" s="63"/>
      <c r="AJ203" s="63"/>
      <c r="AK203" s="63"/>
      <c r="AL203" s="63"/>
      <c r="AM203" s="63"/>
      <c r="AN203" s="63"/>
      <c r="AO203" s="63"/>
    </row>
    <row r="204" spans="1:41" ht="15.75" customHeight="1" x14ac:dyDescent="0.2">
      <c r="A204" s="65" t="s">
        <v>177</v>
      </c>
      <c r="B204" s="243">
        <f>('Pivot Table for Data Exchange'!$H$258)*100</f>
        <v>100</v>
      </c>
      <c r="C204" s="243">
        <f>('Pivot Table for Data Exchange'!$H$261)*100</f>
        <v>0</v>
      </c>
      <c r="D204" s="249">
        <f t="shared" si="50"/>
        <v>0</v>
      </c>
      <c r="E204" s="243">
        <f>('Pivot Table for Data Exchange'!$H$264)*100</f>
        <v>0</v>
      </c>
      <c r="F204" s="243">
        <f>('Pivot Table for Data Exchange'!$H$267)*100</f>
        <v>0</v>
      </c>
      <c r="G204" s="245">
        <f>('Pivot Table for Data Exchange'!$H$270)*100</f>
        <v>0</v>
      </c>
      <c r="H204" s="243">
        <f>('Pivot Table for Data Exchange'!$H$273)*100</f>
        <v>0</v>
      </c>
      <c r="I204" s="87" t="s">
        <v>177</v>
      </c>
      <c r="J204" s="243">
        <f>('Pivot Table for Data Exchange'!$H$276)*100</f>
        <v>100</v>
      </c>
      <c r="K204" s="243">
        <f>('Pivot Table for Data Exchange'!$H$279)*100</f>
        <v>0</v>
      </c>
      <c r="L204" s="249">
        <f t="shared" si="51"/>
        <v>0</v>
      </c>
      <c r="M204" s="243">
        <f>('Pivot Table for Data Exchange'!$H$282)*100</f>
        <v>0</v>
      </c>
      <c r="N204" s="243">
        <f>('Pivot Table for Data Exchange'!$H$285)*100</f>
        <v>0</v>
      </c>
      <c r="O204" s="245">
        <f>('Pivot Table for Data Exchange'!$H$288)*100</f>
        <v>0</v>
      </c>
      <c r="P204" s="243">
        <f>('Pivot Table for Data Exchange'!$H$291)*100</f>
        <v>0</v>
      </c>
      <c r="Q204" s="97">
        <f t="shared" ref="Q204:Q267" si="52">SUM(B204,C204,D204,H204)</f>
        <v>100</v>
      </c>
      <c r="R204" s="97">
        <f t="shared" ref="R204:R218" si="53">SUM(J204,K204,L204,P204)</f>
        <v>100</v>
      </c>
      <c r="S204" s="63"/>
      <c r="U204" s="63"/>
      <c r="V204" s="63"/>
      <c r="W204" s="63"/>
      <c r="X204" s="63"/>
      <c r="Y204" s="63"/>
      <c r="Z204" s="63"/>
      <c r="AA204" s="63"/>
      <c r="AB204" s="63"/>
      <c r="AC204" s="63"/>
      <c r="AD204" s="63"/>
      <c r="AE204" s="63"/>
      <c r="AF204" s="63"/>
      <c r="AG204" s="63"/>
      <c r="AH204" s="63"/>
      <c r="AI204" s="63"/>
      <c r="AJ204" s="63"/>
      <c r="AK204" s="63"/>
      <c r="AL204" s="63"/>
      <c r="AM204" s="63"/>
      <c r="AN204" s="63"/>
      <c r="AO204" s="63"/>
    </row>
    <row r="205" spans="1:41" ht="11.25" customHeight="1" x14ac:dyDescent="0.2">
      <c r="A205" s="65"/>
      <c r="B205" s="243"/>
      <c r="C205" s="243"/>
      <c r="D205" s="249"/>
      <c r="E205" s="243"/>
      <c r="F205" s="243"/>
      <c r="G205" s="245"/>
      <c r="H205" s="243"/>
      <c r="I205" s="87"/>
      <c r="J205" s="243"/>
      <c r="K205" s="243"/>
      <c r="L205" s="249"/>
      <c r="M205" s="243"/>
      <c r="N205" s="243"/>
      <c r="O205" s="245"/>
      <c r="P205" s="243"/>
      <c r="Q205" s="97">
        <f t="shared" si="52"/>
        <v>0</v>
      </c>
      <c r="R205" s="97">
        <f t="shared" si="53"/>
        <v>0</v>
      </c>
      <c r="S205" s="63"/>
      <c r="U205" s="63"/>
      <c r="V205" s="63"/>
      <c r="W205" s="63"/>
      <c r="X205" s="63"/>
      <c r="Y205" s="63"/>
      <c r="Z205" s="63"/>
      <c r="AA205" s="63"/>
      <c r="AB205" s="63"/>
      <c r="AC205" s="63"/>
      <c r="AD205" s="63"/>
      <c r="AE205" s="63"/>
      <c r="AF205" s="63"/>
      <c r="AG205" s="63"/>
      <c r="AH205" s="63"/>
      <c r="AI205" s="63"/>
      <c r="AJ205" s="63"/>
      <c r="AK205" s="63"/>
      <c r="AL205" s="63"/>
      <c r="AM205" s="63"/>
      <c r="AN205" s="63"/>
      <c r="AO205" s="63"/>
    </row>
    <row r="206" spans="1:41" ht="15.75" customHeight="1" x14ac:dyDescent="0.2">
      <c r="A206" s="65" t="s">
        <v>148</v>
      </c>
      <c r="B206" s="243">
        <f>('Pivot Table for Data Exchange'!$H$294)*100</f>
        <v>0</v>
      </c>
      <c r="C206" s="243">
        <f>('Pivot Table for Data Exchange'!$H$297)*100</f>
        <v>0</v>
      </c>
      <c r="D206" s="249">
        <f t="shared" ref="D206:D208" si="54">SUM(E206:G206)</f>
        <v>0</v>
      </c>
      <c r="E206" s="243">
        <f>('Pivot Table for Data Exchange'!$H$300)*100</f>
        <v>0</v>
      </c>
      <c r="F206" s="243">
        <f>('Pivot Table for Data Exchange'!$H$303)*100</f>
        <v>0</v>
      </c>
      <c r="G206" s="245">
        <f>('Pivot Table for Data Exchange'!$H$306)*100</f>
        <v>0</v>
      </c>
      <c r="H206" s="243">
        <f>('Pivot Table for Data Exchange'!$H$309)*100</f>
        <v>0</v>
      </c>
      <c r="I206" s="87" t="s">
        <v>148</v>
      </c>
      <c r="J206" s="243">
        <f>('Pivot Table for Data Exchange'!$H$312)*100</f>
        <v>0</v>
      </c>
      <c r="K206" s="243">
        <f>('Pivot Table for Data Exchange'!$H$315)*100</f>
        <v>0</v>
      </c>
      <c r="L206" s="249">
        <f t="shared" ref="L206:L208" si="55">SUM(M206:O206)</f>
        <v>0</v>
      </c>
      <c r="M206" s="243">
        <f>('Pivot Table for Data Exchange'!$H$318)*100</f>
        <v>0</v>
      </c>
      <c r="N206" s="243">
        <f>('Pivot Table for Data Exchange'!$H$321)*100</f>
        <v>0</v>
      </c>
      <c r="O206" s="245">
        <f>('Pivot Table for Data Exchange'!$H$324)*100</f>
        <v>0</v>
      </c>
      <c r="P206" s="243">
        <f>('Pivot Table for Data Exchange'!$H$327)*100</f>
        <v>0</v>
      </c>
      <c r="Q206" s="97">
        <f t="shared" si="52"/>
        <v>0</v>
      </c>
      <c r="R206" s="97">
        <f t="shared" si="53"/>
        <v>0</v>
      </c>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row>
    <row r="207" spans="1:41" ht="15.75" customHeight="1" x14ac:dyDescent="0.2">
      <c r="A207" s="65" t="s">
        <v>149</v>
      </c>
      <c r="B207" s="243">
        <f>('Pivot Table for Data Exchange'!$H$330)*100</f>
        <v>89.489529195187188</v>
      </c>
      <c r="C207" s="243">
        <f>('Pivot Table for Data Exchange'!$H$333)*100</f>
        <v>1.5998616775663388</v>
      </c>
      <c r="D207" s="249">
        <f t="shared" si="54"/>
        <v>8.9106091272464685</v>
      </c>
      <c r="E207" s="243">
        <f>('Pivot Table for Data Exchange'!$H$336)*100</f>
        <v>8.6715960984937102</v>
      </c>
      <c r="F207" s="243">
        <f>('Pivot Table for Data Exchange'!$H$339)*100</f>
        <v>0.23901302875275884</v>
      </c>
      <c r="G207" s="245">
        <f>('Pivot Table for Data Exchange'!$H$342)*100</f>
        <v>0</v>
      </c>
      <c r="H207" s="243">
        <f>('Pivot Table for Data Exchange'!$H$345)*100</f>
        <v>0</v>
      </c>
      <c r="I207" s="87" t="s">
        <v>149</v>
      </c>
      <c r="J207" s="243">
        <f>('Pivot Table for Data Exchange'!$H$348)*100</f>
        <v>62.451737451737458</v>
      </c>
      <c r="K207" s="243">
        <f>('Pivot Table for Data Exchange'!$H$351)*100</f>
        <v>4.6332046332046328</v>
      </c>
      <c r="L207" s="249">
        <f t="shared" si="55"/>
        <v>32.915057915057915</v>
      </c>
      <c r="M207" s="243">
        <f>('Pivot Table for Data Exchange'!$H$354)*100</f>
        <v>32.915057915057915</v>
      </c>
      <c r="N207" s="243">
        <f>('Pivot Table for Data Exchange'!$H$357)*100</f>
        <v>0</v>
      </c>
      <c r="O207" s="245">
        <f>('Pivot Table for Data Exchange'!$H$360)*100</f>
        <v>0</v>
      </c>
      <c r="P207" s="243">
        <f>('Pivot Table for Data Exchange'!$H$363)*100</f>
        <v>0</v>
      </c>
      <c r="Q207" s="97">
        <f t="shared" si="52"/>
        <v>100</v>
      </c>
      <c r="R207" s="97">
        <f t="shared" si="53"/>
        <v>100</v>
      </c>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row>
    <row r="208" spans="1:41" ht="15.75" customHeight="1" x14ac:dyDescent="0.2">
      <c r="A208" s="65" t="s">
        <v>150</v>
      </c>
      <c r="B208" s="243">
        <f>('Pivot Table for Data Exchange'!$H$366)*100</f>
        <v>78.631471802554984</v>
      </c>
      <c r="C208" s="243">
        <f>('Pivot Table for Data Exchange'!$H$369)*100</f>
        <v>1.7561215503734118</v>
      </c>
      <c r="D208" s="249">
        <f t="shared" si="54"/>
        <v>19.612406647071609</v>
      </c>
      <c r="E208" s="243">
        <f>('Pivot Table for Data Exchange'!$H$372)*100</f>
        <v>18.052426318377805</v>
      </c>
      <c r="F208" s="243">
        <f>('Pivot Table for Data Exchange'!$H$375)*100</f>
        <v>1.5599803286938023</v>
      </c>
      <c r="G208" s="245">
        <f>('Pivot Table for Data Exchange'!$H$378)*100</f>
        <v>0</v>
      </c>
      <c r="H208" s="243">
        <f>('Pivot Table for Data Exchange'!$H$381)*100</f>
        <v>0</v>
      </c>
      <c r="I208" s="87" t="s">
        <v>150</v>
      </c>
      <c r="J208" s="243">
        <f>('Pivot Table for Data Exchange'!$H$384)*100</f>
        <v>0</v>
      </c>
      <c r="K208" s="243">
        <f>('Pivot Table for Data Exchange'!$H$387)*100</f>
        <v>0</v>
      </c>
      <c r="L208" s="249">
        <f t="shared" si="55"/>
        <v>0</v>
      </c>
      <c r="M208" s="243">
        <f>('Pivot Table for Data Exchange'!$H$390)*100</f>
        <v>0</v>
      </c>
      <c r="N208" s="243">
        <f>('Pivot Table for Data Exchange'!$H$393)*100</f>
        <v>0</v>
      </c>
      <c r="O208" s="245">
        <f>('Pivot Table for Data Exchange'!$H$396)*100</f>
        <v>0</v>
      </c>
      <c r="P208" s="243">
        <f>('Pivot Table for Data Exchange'!$H$399)*100</f>
        <v>0</v>
      </c>
      <c r="Q208" s="97">
        <f t="shared" si="52"/>
        <v>100</v>
      </c>
      <c r="R208" s="97">
        <f t="shared" si="53"/>
        <v>0</v>
      </c>
      <c r="S208" s="63"/>
      <c r="T208" s="74"/>
      <c r="U208" s="63"/>
      <c r="V208" s="63"/>
      <c r="W208" s="63"/>
      <c r="X208" s="63"/>
      <c r="Y208" s="63"/>
      <c r="Z208" s="63"/>
      <c r="AA208" s="63"/>
      <c r="AB208" s="63"/>
      <c r="AC208" s="63"/>
      <c r="AD208" s="63"/>
      <c r="AE208" s="63"/>
      <c r="AF208" s="63"/>
      <c r="AG208" s="63"/>
      <c r="AH208" s="63"/>
      <c r="AI208" s="63"/>
      <c r="AJ208" s="63"/>
      <c r="AK208" s="63"/>
      <c r="AL208" s="63"/>
      <c r="AM208" s="63"/>
      <c r="AN208" s="63"/>
      <c r="AO208" s="63"/>
    </row>
    <row r="209" spans="1:41" ht="15.75" customHeight="1" x14ac:dyDescent="0.2">
      <c r="A209" s="65" t="s">
        <v>151</v>
      </c>
      <c r="B209" s="243">
        <f>('Pivot Table for Data Exchange'!$H$402)*100</f>
        <v>87.677108728693398</v>
      </c>
      <c r="C209" s="243">
        <f>('Pivot Table for Data Exchange'!$H$405)*100</f>
        <v>6.2111737884181863</v>
      </c>
      <c r="D209" s="249">
        <f>SUM(E209:G209)</f>
        <v>6.1117174828884151</v>
      </c>
      <c r="E209" s="243">
        <f>('Pivot Table for Data Exchange'!$H$408)*100</f>
        <v>6.0650495241398303</v>
      </c>
      <c r="F209" s="67">
        <f>('Pivot Table for Data Exchange'!$H$411)*100</f>
        <v>2.3716503626329908E-2</v>
      </c>
      <c r="G209" s="68">
        <f>('Pivot Table for Data Exchange'!$H$414)*100</f>
        <v>2.2951455122254751E-2</v>
      </c>
      <c r="H209" s="243">
        <f>('Pivot Table for Data Exchange'!$H$417)*100</f>
        <v>0</v>
      </c>
      <c r="I209" s="87" t="s">
        <v>151</v>
      </c>
      <c r="J209" s="243">
        <f>('Pivot Table for Data Exchange'!$H$420)*100</f>
        <v>51.422525276275564</v>
      </c>
      <c r="K209" s="243">
        <f>('Pivot Table for Data Exchange'!$H$423)*100</f>
        <v>20.079943569245241</v>
      </c>
      <c r="L209" s="249">
        <f>SUM(M209:O209)</f>
        <v>28.497531154479194</v>
      </c>
      <c r="M209" s="243">
        <f>('Pivot Table for Data Exchange'!$H$426)*100</f>
        <v>28.356454267575831</v>
      </c>
      <c r="N209" s="243">
        <f>('Pivot Table for Data Exchange'!$H$429)*100</f>
        <v>0</v>
      </c>
      <c r="O209" s="245">
        <f>('Pivot Table for Data Exchange'!$H$432)*100</f>
        <v>0.14107688690336231</v>
      </c>
      <c r="P209" s="243">
        <f>('Pivot Table for Data Exchange'!$H$435)*100</f>
        <v>0</v>
      </c>
      <c r="Q209" s="97">
        <f t="shared" si="52"/>
        <v>99.999999999999986</v>
      </c>
      <c r="R209" s="97">
        <f t="shared" si="53"/>
        <v>100</v>
      </c>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row>
    <row r="210" spans="1:41" ht="11.25" customHeight="1" x14ac:dyDescent="0.2">
      <c r="A210" s="65"/>
      <c r="B210" s="243"/>
      <c r="C210" s="243"/>
      <c r="D210" s="249"/>
      <c r="E210" s="243"/>
      <c r="F210" s="243"/>
      <c r="G210" s="245"/>
      <c r="H210" s="243"/>
      <c r="I210" s="87"/>
      <c r="J210" s="243"/>
      <c r="K210" s="243"/>
      <c r="L210" s="249"/>
      <c r="M210" s="243"/>
      <c r="N210" s="243"/>
      <c r="O210" s="245"/>
      <c r="P210" s="243"/>
      <c r="Q210" s="97">
        <f t="shared" si="52"/>
        <v>0</v>
      </c>
      <c r="R210" s="97">
        <f t="shared" si="53"/>
        <v>0</v>
      </c>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row>
    <row r="211" spans="1:41" ht="15.75" customHeight="1" x14ac:dyDescent="0.2">
      <c r="A211" s="65" t="s">
        <v>152</v>
      </c>
      <c r="B211" s="243">
        <f>('Pivot Table for Data Exchange'!$H$438)*100</f>
        <v>0</v>
      </c>
      <c r="C211" s="243">
        <f>('Pivot Table for Data Exchange'!$H$441)*100</f>
        <v>0</v>
      </c>
      <c r="D211" s="249">
        <f>SUM(E211:G211)</f>
        <v>0</v>
      </c>
      <c r="E211" s="243">
        <f>('Pivot Table for Data Exchange'!$H$444)*100</f>
        <v>0</v>
      </c>
      <c r="F211" s="243">
        <f>('Pivot Table for Data Exchange'!$H$447)*100</f>
        <v>0</v>
      </c>
      <c r="G211" s="245">
        <f>('Pivot Table for Data Exchange'!$H$450)*100</f>
        <v>0</v>
      </c>
      <c r="H211" s="243">
        <f>('Pivot Table for Data Exchange'!$H$453)*100</f>
        <v>0</v>
      </c>
      <c r="I211" s="87" t="s">
        <v>152</v>
      </c>
      <c r="J211" s="243">
        <f>('Pivot Table for Data Exchange'!$H$456)*100</f>
        <v>0</v>
      </c>
      <c r="K211" s="243">
        <f>('Pivot Table for Data Exchange'!$H$459)*100</f>
        <v>0</v>
      </c>
      <c r="L211" s="249">
        <f>SUM(M211:O211)</f>
        <v>0</v>
      </c>
      <c r="M211" s="243">
        <f>('Pivot Table for Data Exchange'!$H$462)*100</f>
        <v>0</v>
      </c>
      <c r="N211" s="243">
        <f>('Pivot Table for Data Exchange'!$H$465)*100</f>
        <v>0</v>
      </c>
      <c r="O211" s="245">
        <f>('Pivot Table for Data Exchange'!$H$468)*100</f>
        <v>0</v>
      </c>
      <c r="P211" s="243">
        <f>('Pivot Table for Data Exchange'!$H$471)*100</f>
        <v>0</v>
      </c>
      <c r="Q211" s="97">
        <f t="shared" si="52"/>
        <v>0</v>
      </c>
      <c r="R211" s="97">
        <f t="shared" si="53"/>
        <v>0</v>
      </c>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row>
    <row r="212" spans="1:41" ht="15.75" customHeight="1" x14ac:dyDescent="0.2">
      <c r="A212" s="65" t="s">
        <v>153</v>
      </c>
      <c r="B212" s="243">
        <f>('Pivot Table for Data Exchange'!$H$474)*100</f>
        <v>100</v>
      </c>
      <c r="C212" s="243">
        <f>('Pivot Table for Data Exchange'!$H$477)*100</f>
        <v>0</v>
      </c>
      <c r="D212" s="249">
        <f>SUM(E212:G212)</f>
        <v>0</v>
      </c>
      <c r="E212" s="243">
        <f>('Pivot Table for Data Exchange'!$H$480)*100</f>
        <v>0</v>
      </c>
      <c r="F212" s="243">
        <f>('Pivot Table for Data Exchange'!$H$483)*100</f>
        <v>0</v>
      </c>
      <c r="G212" s="245">
        <f>('Pivot Table for Data Exchange'!$H$486)*100</f>
        <v>0</v>
      </c>
      <c r="H212" s="243">
        <f>('Pivot Table for Data Exchange'!$H$489)*100</f>
        <v>0</v>
      </c>
      <c r="I212" s="87" t="s">
        <v>153</v>
      </c>
      <c r="J212" s="243">
        <f>('Pivot Table for Data Exchange'!$H$492)*100</f>
        <v>91.990090834021458</v>
      </c>
      <c r="K212" s="243">
        <f>('Pivot Table for Data Exchange'!$H$495)*100</f>
        <v>0</v>
      </c>
      <c r="L212" s="249">
        <f>SUM(M212:O212)</f>
        <v>8.0099091659785309</v>
      </c>
      <c r="M212" s="243">
        <f>('Pivot Table for Data Exchange'!$H$498)*100</f>
        <v>8.0099091659785309</v>
      </c>
      <c r="N212" s="243">
        <f>('Pivot Table for Data Exchange'!$H$501)*100</f>
        <v>0</v>
      </c>
      <c r="O212" s="245">
        <f>('Pivot Table for Data Exchange'!$H$504)*100</f>
        <v>0</v>
      </c>
      <c r="P212" s="243">
        <f>('Pivot Table for Data Exchange'!$H$507)*100</f>
        <v>0</v>
      </c>
      <c r="Q212" s="97">
        <f t="shared" si="52"/>
        <v>100</v>
      </c>
      <c r="R212" s="97">
        <f t="shared" si="53"/>
        <v>99.999999999999986</v>
      </c>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row>
    <row r="213" spans="1:41" ht="15.75" customHeight="1" x14ac:dyDescent="0.2">
      <c r="A213" s="65" t="s">
        <v>154</v>
      </c>
      <c r="B213" s="243">
        <f>('Pivot Table for Data Exchange'!$H$510)*100</f>
        <v>94.90195310971076</v>
      </c>
      <c r="C213" s="243">
        <f>('Pivot Table for Data Exchange'!$H$513)*100</f>
        <v>1.7632784061998512</v>
      </c>
      <c r="D213" s="249">
        <f t="shared" ref="D213" si="56">SUM(E213:G213)</f>
        <v>3.334768484089397</v>
      </c>
      <c r="E213" s="243">
        <f>('Pivot Table for Data Exchange'!$H$516)*100</f>
        <v>3.334768484089397</v>
      </c>
      <c r="F213" s="243">
        <f>('Pivot Table for Data Exchange'!$H$519)*100</f>
        <v>0</v>
      </c>
      <c r="G213" s="245">
        <f>('Pivot Table for Data Exchange'!$H$522)*100</f>
        <v>0</v>
      </c>
      <c r="H213" s="243">
        <f>('Pivot Table for Data Exchange'!$H$525)*100</f>
        <v>0</v>
      </c>
      <c r="I213" s="87" t="s">
        <v>154</v>
      </c>
      <c r="J213" s="243">
        <f>('Pivot Table for Data Exchange'!$H$528)*100</f>
        <v>0</v>
      </c>
      <c r="K213" s="243">
        <f>('Pivot Table for Data Exchange'!$H$531)*100</f>
        <v>0</v>
      </c>
      <c r="L213" s="249">
        <f t="shared" ref="L213" si="57">SUM(M213:O213)</f>
        <v>0</v>
      </c>
      <c r="M213" s="243">
        <f>('Pivot Table for Data Exchange'!$H$534)*100</f>
        <v>0</v>
      </c>
      <c r="N213" s="243">
        <f>('Pivot Table for Data Exchange'!$H$537)*100</f>
        <v>0</v>
      </c>
      <c r="O213" s="245">
        <f>('Pivot Table for Data Exchange'!$H$540)*100</f>
        <v>0</v>
      </c>
      <c r="P213" s="243">
        <f>('Pivot Table for Data Exchange'!$H$543)*100</f>
        <v>0</v>
      </c>
      <c r="Q213" s="97">
        <f t="shared" si="52"/>
        <v>100</v>
      </c>
      <c r="R213" s="97">
        <f t="shared" si="53"/>
        <v>0</v>
      </c>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row>
    <row r="214" spans="1:41" ht="15.75" customHeight="1" x14ac:dyDescent="0.2">
      <c r="A214" s="39" t="s">
        <v>155</v>
      </c>
      <c r="B214" s="246">
        <f>('Pivot Table for Data Exchange'!$H$546)*100</f>
        <v>78.865474965944799</v>
      </c>
      <c r="C214" s="246">
        <f>('Pivot Table for Data Exchange'!$H$549)*100</f>
        <v>7.6025131355814404</v>
      </c>
      <c r="D214" s="250">
        <f>SUM(E214:G214)</f>
        <v>13.532011898473769</v>
      </c>
      <c r="E214" s="246">
        <f>('Pivot Table for Data Exchange'!$H$552)*100</f>
        <v>12.332990464540879</v>
      </c>
      <c r="F214" s="246">
        <f>('Pivot Table for Data Exchange'!$H$555)*100</f>
        <v>1.1887353701592951</v>
      </c>
      <c r="G214" s="255">
        <f>('Pivot Table for Data Exchange'!$H$558)*100</f>
        <v>1.0286063773595396E-2</v>
      </c>
      <c r="H214" s="246">
        <f>('Pivot Table for Data Exchange'!$H$561)*100</f>
        <v>0</v>
      </c>
      <c r="I214" s="252" t="s">
        <v>155</v>
      </c>
      <c r="J214" s="246">
        <f>('Pivot Table for Data Exchange'!$H$564)*100</f>
        <v>16.727212681638047</v>
      </c>
      <c r="K214" s="246">
        <f>('Pivot Table for Data Exchange'!$H$567)*100</f>
        <v>28.038309114927344</v>
      </c>
      <c r="L214" s="250">
        <f>SUM(M214:O214)</f>
        <v>55.234478203434612</v>
      </c>
      <c r="M214" s="246">
        <f>('Pivot Table for Data Exchange'!$H$570)*100</f>
        <v>55.234478203434612</v>
      </c>
      <c r="N214" s="246">
        <f>('Pivot Table for Data Exchange'!$H$573)*100</f>
        <v>0</v>
      </c>
      <c r="O214" s="247">
        <f>('Pivot Table for Data Exchange'!$H$576)*100</f>
        <v>0</v>
      </c>
      <c r="P214" s="246">
        <f>('Pivot Table for Data Exchange'!$H$579)*100</f>
        <v>0</v>
      </c>
      <c r="Q214" s="97">
        <f t="shared" si="52"/>
        <v>100.00000000000001</v>
      </c>
      <c r="R214" s="97">
        <f t="shared" si="53"/>
        <v>100</v>
      </c>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row>
    <row r="215" spans="1:41" s="25" customFormat="1" ht="18" customHeight="1" x14ac:dyDescent="0.2">
      <c r="A215" s="24" t="s">
        <v>175</v>
      </c>
      <c r="B215" s="69"/>
      <c r="C215" s="69"/>
      <c r="D215" s="70"/>
      <c r="E215" s="69"/>
      <c r="F215" s="70"/>
      <c r="G215" s="70"/>
      <c r="H215" s="69"/>
      <c r="I215" s="24" t="s">
        <v>175</v>
      </c>
      <c r="J215" s="69"/>
      <c r="K215" s="69"/>
      <c r="L215" s="70"/>
      <c r="M215" s="69"/>
      <c r="N215" s="70"/>
      <c r="O215" s="70"/>
      <c r="P215" s="69"/>
      <c r="Q215" s="97">
        <f t="shared" si="52"/>
        <v>0</v>
      </c>
      <c r="R215" s="97">
        <f t="shared" si="53"/>
        <v>0</v>
      </c>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row>
    <row r="216" spans="1:41" s="25" customFormat="1" ht="26.25" customHeight="1" x14ac:dyDescent="0.2">
      <c r="A216" s="666" t="s">
        <v>176</v>
      </c>
      <c r="B216" s="687"/>
      <c r="C216" s="687"/>
      <c r="D216" s="687"/>
      <c r="E216" s="687"/>
      <c r="F216" s="687"/>
      <c r="G216" s="687"/>
      <c r="H216" s="687"/>
      <c r="I216" s="666" t="s">
        <v>176</v>
      </c>
      <c r="J216" s="687"/>
      <c r="K216" s="687"/>
      <c r="L216" s="687"/>
      <c r="M216" s="687"/>
      <c r="N216" s="687"/>
      <c r="O216" s="687"/>
      <c r="P216" s="687"/>
      <c r="Q216" s="97">
        <f t="shared" si="52"/>
        <v>0</v>
      </c>
      <c r="R216" s="97">
        <f t="shared" si="53"/>
        <v>0</v>
      </c>
    </row>
    <row r="217" spans="1:41" s="25" customFormat="1" ht="10.5" customHeight="1" x14ac:dyDescent="0.2">
      <c r="A217" s="78"/>
      <c r="B217" s="111"/>
      <c r="C217" s="111"/>
      <c r="D217" s="79"/>
      <c r="E217" s="111"/>
      <c r="F217" s="111"/>
      <c r="G217" s="112"/>
      <c r="H217" s="112"/>
      <c r="I217" s="78"/>
      <c r="J217" s="111"/>
      <c r="K217" s="111"/>
      <c r="L217" s="79"/>
      <c r="M217" s="111"/>
      <c r="N217" s="111"/>
      <c r="O217" s="111"/>
      <c r="P217" s="112"/>
      <c r="Q217" s="97"/>
      <c r="R217" s="97"/>
    </row>
    <row r="218" spans="1:41" s="25" customFormat="1" x14ac:dyDescent="0.2">
      <c r="H218" s="27" t="s">
        <v>914</v>
      </c>
      <c r="P218" s="27" t="s">
        <v>914</v>
      </c>
      <c r="Q218" s="97">
        <f t="shared" si="52"/>
        <v>0</v>
      </c>
      <c r="R218" s="97">
        <f t="shared" si="53"/>
        <v>0</v>
      </c>
    </row>
    <row r="219" spans="1:41" ht="18" x14ac:dyDescent="0.25">
      <c r="A219" s="16" t="s">
        <v>208</v>
      </c>
      <c r="B219" s="34"/>
      <c r="C219" s="34"/>
      <c r="D219" s="34"/>
      <c r="E219" s="34"/>
      <c r="F219" s="34"/>
      <c r="G219" s="34"/>
      <c r="H219" s="35"/>
      <c r="I219" s="65"/>
      <c r="J219" s="65"/>
      <c r="K219" s="65"/>
      <c r="L219" s="65"/>
      <c r="M219" s="65"/>
      <c r="N219" s="65"/>
      <c r="O219" s="65"/>
      <c r="P219" s="65"/>
      <c r="Q219" s="97">
        <f t="shared" si="52"/>
        <v>0</v>
      </c>
    </row>
    <row r="220" spans="1:41" x14ac:dyDescent="0.2">
      <c r="A220" s="18"/>
      <c r="B220" s="19"/>
      <c r="C220" s="19"/>
      <c r="D220" s="19"/>
      <c r="E220" s="19"/>
      <c r="F220" s="19"/>
      <c r="G220" s="19"/>
      <c r="H220" s="36"/>
      <c r="I220" s="65"/>
      <c r="J220" s="65"/>
      <c r="K220" s="65"/>
      <c r="L220" s="65"/>
      <c r="M220" s="65"/>
      <c r="N220" s="65"/>
      <c r="O220" s="65"/>
      <c r="P220" s="65"/>
      <c r="Q220" s="97">
        <f t="shared" si="52"/>
        <v>0</v>
      </c>
    </row>
    <row r="221" spans="1:41" ht="15.75" x14ac:dyDescent="0.25">
      <c r="A221" s="37" t="s">
        <v>162</v>
      </c>
      <c r="B221" s="19"/>
      <c r="C221" s="19"/>
      <c r="D221" s="19"/>
      <c r="E221" s="19"/>
      <c r="F221" s="19"/>
      <c r="G221" s="19"/>
      <c r="H221" s="36"/>
      <c r="I221" s="80"/>
      <c r="J221" s="65"/>
      <c r="K221" s="65"/>
      <c r="L221" s="36"/>
      <c r="M221" s="65"/>
      <c r="N221" s="65"/>
      <c r="O221" s="65"/>
      <c r="P221" s="65"/>
      <c r="Q221" s="97">
        <f t="shared" si="52"/>
        <v>0</v>
      </c>
    </row>
    <row r="222" spans="1:41" ht="15.75" x14ac:dyDescent="0.25">
      <c r="A222" s="37" t="s">
        <v>247</v>
      </c>
      <c r="B222" s="19"/>
      <c r="C222" s="19"/>
      <c r="D222" s="19"/>
      <c r="E222" s="19"/>
      <c r="F222" s="19"/>
      <c r="G222" s="19"/>
      <c r="H222" s="36"/>
      <c r="I222" s="80"/>
      <c r="J222" s="65"/>
      <c r="K222" s="65"/>
      <c r="L222" s="65"/>
      <c r="M222" s="65"/>
      <c r="N222" s="65"/>
      <c r="O222" s="65"/>
      <c r="P222" s="65"/>
      <c r="Q222" s="97">
        <f t="shared" si="52"/>
        <v>0</v>
      </c>
    </row>
    <row r="223" spans="1:41" x14ac:dyDescent="0.2">
      <c r="A223" s="39"/>
      <c r="B223" s="40"/>
      <c r="C223" s="40"/>
      <c r="D223" s="40"/>
      <c r="E223" s="40"/>
      <c r="F223" s="40"/>
      <c r="G223" s="40"/>
      <c r="H223" s="40"/>
      <c r="I223" s="80"/>
      <c r="J223" s="65"/>
      <c r="K223" s="65"/>
      <c r="L223" s="65"/>
      <c r="M223" s="65"/>
      <c r="N223" s="65"/>
      <c r="O223" s="65"/>
      <c r="P223" s="65"/>
      <c r="Q223" s="97">
        <f t="shared" si="52"/>
        <v>0</v>
      </c>
    </row>
    <row r="224" spans="1:41" x14ac:dyDescent="0.2">
      <c r="A224" s="43"/>
      <c r="B224" s="44" t="s">
        <v>164</v>
      </c>
      <c r="C224" s="44"/>
      <c r="D224" s="44"/>
      <c r="E224" s="44"/>
      <c r="F224" s="44"/>
      <c r="G224" s="44"/>
      <c r="H224" s="45"/>
      <c r="I224" s="80"/>
      <c r="J224" s="65"/>
      <c r="K224" s="65"/>
      <c r="L224" s="65"/>
      <c r="M224" s="65"/>
      <c r="N224" s="65"/>
      <c r="O224" s="65"/>
      <c r="P224" s="65"/>
      <c r="Q224" s="97">
        <f t="shared" si="52"/>
        <v>0</v>
      </c>
    </row>
    <row r="225" spans="1:41" x14ac:dyDescent="0.2">
      <c r="A225" s="43"/>
      <c r="B225" s="44" t="s">
        <v>165</v>
      </c>
      <c r="C225" s="44"/>
      <c r="D225" s="670" t="s">
        <v>166</v>
      </c>
      <c r="E225" s="668"/>
      <c r="F225" s="668"/>
      <c r="G225" s="668"/>
      <c r="H225" s="49" t="s">
        <v>39</v>
      </c>
      <c r="I225" s="80"/>
      <c r="J225" s="65"/>
      <c r="K225" s="65"/>
      <c r="L225" s="65"/>
      <c r="M225" s="65"/>
      <c r="N225" s="65"/>
      <c r="O225" s="65"/>
      <c r="P225" s="65"/>
      <c r="Q225" s="97">
        <f t="shared" si="52"/>
        <v>0</v>
      </c>
    </row>
    <row r="226" spans="1:41" ht="36" x14ac:dyDescent="0.2">
      <c r="A226" s="43"/>
      <c r="B226" s="50" t="s">
        <v>167</v>
      </c>
      <c r="C226" s="51" t="s">
        <v>168</v>
      </c>
      <c r="D226" s="52" t="s">
        <v>169</v>
      </c>
      <c r="E226" s="53" t="s">
        <v>7</v>
      </c>
      <c r="F226" s="50" t="s">
        <v>170</v>
      </c>
      <c r="G226" s="54" t="s">
        <v>171</v>
      </c>
      <c r="H226" s="55" t="s">
        <v>172</v>
      </c>
      <c r="I226" s="73"/>
      <c r="J226" s="48"/>
      <c r="K226" s="48"/>
      <c r="L226" s="48"/>
      <c r="M226" s="48"/>
      <c r="N226" s="48"/>
      <c r="O226" s="48"/>
      <c r="P226" s="65"/>
      <c r="Q226" s="97">
        <f t="shared" si="52"/>
        <v>0</v>
      </c>
    </row>
    <row r="227" spans="1:41" ht="15.75" customHeight="1" x14ac:dyDescent="0.2">
      <c r="A227" s="62" t="s">
        <v>141</v>
      </c>
      <c r="B227" s="243">
        <f>('Pivot Table for Data Exchange'!$O$6)*100</f>
        <v>64.169665761456855</v>
      </c>
      <c r="C227" s="243">
        <f>('Pivot Table for Data Exchange'!$O$9)*100</f>
        <v>17.995866372596527</v>
      </c>
      <c r="D227" s="249">
        <f>SUM(E227:G227)</f>
        <v>17.834154644558605</v>
      </c>
      <c r="E227" s="243">
        <f>('Pivot Table for Data Exchange'!$O$12)*100</f>
        <v>16.035279467308861</v>
      </c>
      <c r="F227" s="243">
        <f>('Pivot Table for Data Exchange'!$O$15)*100</f>
        <v>0.31362410122241358</v>
      </c>
      <c r="G227" s="60">
        <f>('Pivot Table for Data Exchange'!$O$18)*100</f>
        <v>1.4852510760273325</v>
      </c>
      <c r="H227" s="256">
        <f>('Pivot Table for Data Exchange'!$O$21)*100</f>
        <v>3.1322138800925881E-4</v>
      </c>
      <c r="I227" s="64"/>
      <c r="J227" s="64"/>
      <c r="K227" s="64"/>
      <c r="L227" s="64"/>
      <c r="M227" s="64"/>
      <c r="N227" s="64"/>
      <c r="O227" s="64"/>
      <c r="P227" s="81"/>
      <c r="Q227" s="97">
        <f t="shared" si="52"/>
        <v>100</v>
      </c>
      <c r="R227" s="97"/>
      <c r="Z227" s="63"/>
      <c r="AA227" s="63"/>
      <c r="AB227" s="63"/>
      <c r="AC227" s="63"/>
      <c r="AD227" s="63"/>
      <c r="AE227" s="63"/>
      <c r="AF227" s="63"/>
      <c r="AG227" s="63"/>
      <c r="AH227" s="63"/>
      <c r="AI227" s="63"/>
      <c r="AJ227" s="63"/>
      <c r="AK227" s="63"/>
      <c r="AL227" s="63"/>
      <c r="AM227" s="63"/>
      <c r="AN227" s="63"/>
      <c r="AO227" s="63"/>
    </row>
    <row r="228" spans="1:41" ht="15.75" customHeight="1" x14ac:dyDescent="0.2">
      <c r="A228" s="65" t="s">
        <v>142</v>
      </c>
      <c r="B228" s="243">
        <f>('Pivot Table for Data Exchange'!$O$42)*100</f>
        <v>69.577522520164763</v>
      </c>
      <c r="C228" s="243">
        <f>('Pivot Table for Data Exchange'!$O$45)*100</f>
        <v>8.7452477089109752</v>
      </c>
      <c r="D228" s="249">
        <f t="shared" ref="D228:D230" si="58">SUM(E228:G228)</f>
        <v>21.673469959475131</v>
      </c>
      <c r="E228" s="243">
        <f>('Pivot Table for Data Exchange'!$O$48)*100</f>
        <v>20.811957085069789</v>
      </c>
      <c r="F228" s="243">
        <f>('Pivot Table for Data Exchange'!$O$51)*100</f>
        <v>0.84411453122892022</v>
      </c>
      <c r="G228" s="68">
        <f>('Pivot Table for Data Exchange'!$O$54)*100</f>
        <v>1.7398343176421412E-2</v>
      </c>
      <c r="H228" s="61">
        <f>('Pivot Table for Data Exchange'!$O$57)*100</f>
        <v>3.7598114491419156E-3</v>
      </c>
      <c r="I228" s="64"/>
      <c r="J228" s="64"/>
      <c r="K228" s="64"/>
      <c r="L228" s="64"/>
      <c r="M228" s="64"/>
      <c r="N228" s="64"/>
      <c r="O228" s="64"/>
      <c r="P228" s="81"/>
      <c r="Q228" s="97">
        <f t="shared" si="52"/>
        <v>100.00000000000001</v>
      </c>
      <c r="R228" s="97"/>
      <c r="Z228" s="63"/>
      <c r="AA228" s="63"/>
      <c r="AB228" s="63"/>
      <c r="AC228" s="63"/>
      <c r="AD228" s="63"/>
      <c r="AE228" s="63"/>
      <c r="AF228" s="63"/>
      <c r="AG228" s="63"/>
      <c r="AH228" s="63"/>
      <c r="AI228" s="63"/>
      <c r="AJ228" s="63"/>
      <c r="AK228" s="63"/>
      <c r="AL228" s="63"/>
      <c r="AM228" s="63"/>
      <c r="AN228" s="63"/>
      <c r="AO228" s="63"/>
    </row>
    <row r="229" spans="1:41" ht="15.75" customHeight="1" x14ac:dyDescent="0.2">
      <c r="A229" s="65" t="s">
        <v>143</v>
      </c>
      <c r="B229" s="243">
        <f>('Pivot Table for Data Exchange'!$O$78)*100</f>
        <v>83.65446333055985</v>
      </c>
      <c r="C229" s="243">
        <f>('Pivot Table for Data Exchange'!$O$81)*100</f>
        <v>0</v>
      </c>
      <c r="D229" s="249">
        <f t="shared" si="58"/>
        <v>16.34553666944015</v>
      </c>
      <c r="E229" s="243">
        <f>('Pivot Table for Data Exchange'!$O$84)*100</f>
        <v>11.184179246404375</v>
      </c>
      <c r="F229" s="243">
        <f>('Pivot Table for Data Exchange'!$O$87)*100</f>
        <v>0.23356709853797694</v>
      </c>
      <c r="G229" s="245">
        <f>('Pivot Table for Data Exchange'!$O$90)*100</f>
        <v>4.927790324497801</v>
      </c>
      <c r="H229" s="243">
        <f>('Pivot Table for Data Exchange'!$O$93)*100</f>
        <v>0</v>
      </c>
      <c r="I229" s="64"/>
      <c r="J229" s="64"/>
      <c r="K229" s="64"/>
      <c r="L229" s="64"/>
      <c r="M229" s="64"/>
      <c r="N229" s="64"/>
      <c r="O229" s="64"/>
      <c r="P229" s="81"/>
      <c r="Q229" s="97">
        <f t="shared" si="52"/>
        <v>100</v>
      </c>
      <c r="R229" s="97"/>
      <c r="Z229" s="63"/>
      <c r="AA229" s="63"/>
      <c r="AB229" s="63"/>
      <c r="AC229" s="63"/>
      <c r="AD229" s="63"/>
      <c r="AE229" s="63"/>
      <c r="AF229" s="63"/>
      <c r="AG229" s="63"/>
      <c r="AH229" s="63"/>
      <c r="AI229" s="63"/>
      <c r="AJ229" s="63"/>
      <c r="AK229" s="63"/>
      <c r="AL229" s="63"/>
      <c r="AM229" s="63"/>
      <c r="AN229" s="63"/>
      <c r="AO229" s="63"/>
    </row>
    <row r="230" spans="1:41" ht="15.75" customHeight="1" x14ac:dyDescent="0.2">
      <c r="A230" s="65" t="s">
        <v>174</v>
      </c>
      <c r="B230" s="243">
        <f>('Pivot Table for Data Exchange'!$O$114)*100</f>
        <v>68.621879609088197</v>
      </c>
      <c r="C230" s="243">
        <f>('Pivot Table for Data Exchange'!$O$117)*100</f>
        <v>2.1905841472432823</v>
      </c>
      <c r="D230" s="249">
        <f t="shared" si="58"/>
        <v>28.909177287797021</v>
      </c>
      <c r="E230" s="243">
        <f>('Pivot Table for Data Exchange'!$O$120)*100</f>
        <v>21.034154886497078</v>
      </c>
      <c r="F230" s="243">
        <f>('Pivot Table for Data Exchange'!$O$123)*100</f>
        <v>9.542408847440205E-2</v>
      </c>
      <c r="G230" s="245">
        <f>('Pivot Table for Data Exchange'!$O$126)*100</f>
        <v>7.7795983128255415</v>
      </c>
      <c r="H230" s="243">
        <f>('Pivot Table for Data Exchange'!$O$129)*100</f>
        <v>0.27835895587150034</v>
      </c>
      <c r="I230" s="64"/>
      <c r="J230" s="64"/>
      <c r="K230" s="64"/>
      <c r="L230" s="64"/>
      <c r="M230" s="64"/>
      <c r="N230" s="64"/>
      <c r="O230" s="64"/>
      <c r="P230" s="81"/>
      <c r="Q230" s="97">
        <f t="shared" si="52"/>
        <v>100</v>
      </c>
      <c r="R230" s="97"/>
      <c r="Z230" s="63"/>
      <c r="AA230" s="63"/>
      <c r="AB230" s="63"/>
      <c r="AC230" s="63"/>
      <c r="AD230" s="63"/>
      <c r="AE230" s="63"/>
      <c r="AF230" s="63"/>
      <c r="AG230" s="63"/>
      <c r="AH230" s="63"/>
      <c r="AI230" s="63"/>
      <c r="AJ230" s="63"/>
      <c r="AK230" s="63"/>
      <c r="AL230" s="63"/>
      <c r="AM230" s="63"/>
      <c r="AN230" s="63"/>
      <c r="AO230" s="63"/>
    </row>
    <row r="231" spans="1:41" ht="15.75" customHeight="1" x14ac:dyDescent="0.2">
      <c r="A231" s="65"/>
      <c r="B231" s="243"/>
      <c r="C231" s="243"/>
      <c r="D231" s="249"/>
      <c r="E231" s="243"/>
      <c r="F231" s="243"/>
      <c r="G231" s="245"/>
      <c r="H231" s="243"/>
      <c r="I231" s="64"/>
      <c r="J231" s="64"/>
      <c r="K231" s="64"/>
      <c r="L231" s="64"/>
      <c r="M231" s="64"/>
      <c r="N231" s="64"/>
      <c r="O231" s="64"/>
      <c r="P231" s="81"/>
      <c r="Q231" s="97">
        <f t="shared" si="52"/>
        <v>0</v>
      </c>
      <c r="R231" s="97"/>
      <c r="Z231" s="63"/>
      <c r="AA231" s="63"/>
      <c r="AB231" s="63"/>
      <c r="AC231" s="63"/>
      <c r="AD231" s="63"/>
      <c r="AE231" s="63"/>
      <c r="AF231" s="63"/>
      <c r="AG231" s="63"/>
      <c r="AH231" s="63"/>
      <c r="AI231" s="63"/>
      <c r="AJ231" s="63"/>
      <c r="AK231" s="63"/>
      <c r="AL231" s="63"/>
      <c r="AM231" s="63"/>
      <c r="AN231" s="63"/>
      <c r="AO231" s="63"/>
    </row>
    <row r="232" spans="1:41" ht="15.75" customHeight="1" x14ac:dyDescent="0.2">
      <c r="A232" s="65" t="s">
        <v>145</v>
      </c>
      <c r="B232" s="243">
        <f>('Pivot Table for Data Exchange'!$O$150)*100</f>
        <v>0</v>
      </c>
      <c r="C232" s="243">
        <f>('Pivot Table for Data Exchange'!$O$153)*100</f>
        <v>0</v>
      </c>
      <c r="D232" s="249">
        <f t="shared" ref="D232:D235" si="59">SUM(E232:G232)</f>
        <v>0</v>
      </c>
      <c r="E232" s="243">
        <f>('Pivot Table for Data Exchange'!$O$156)*100</f>
        <v>0</v>
      </c>
      <c r="F232" s="243">
        <f>('Pivot Table for Data Exchange'!$O$159)*100</f>
        <v>0</v>
      </c>
      <c r="G232" s="245">
        <f>('Pivot Table for Data Exchange'!$O$162)*100</f>
        <v>0</v>
      </c>
      <c r="H232" s="243">
        <f>('Pivot Table for Data Exchange'!$O$165)*100</f>
        <v>0</v>
      </c>
      <c r="I232" s="64"/>
      <c r="J232" s="64"/>
      <c r="K232" s="64"/>
      <c r="L232" s="64"/>
      <c r="M232" s="64"/>
      <c r="N232" s="64"/>
      <c r="O232" s="64"/>
      <c r="P232" s="81"/>
      <c r="Q232" s="97">
        <f t="shared" si="52"/>
        <v>0</v>
      </c>
      <c r="R232" s="97"/>
      <c r="Z232" s="63"/>
      <c r="AA232" s="63"/>
      <c r="AB232" s="63"/>
      <c r="AC232" s="63"/>
      <c r="AD232" s="63"/>
      <c r="AE232" s="63"/>
      <c r="AF232" s="63"/>
      <c r="AG232" s="63"/>
      <c r="AH232" s="63"/>
      <c r="AI232" s="63"/>
      <c r="AJ232" s="63"/>
      <c r="AK232" s="63"/>
      <c r="AL232" s="63"/>
      <c r="AM232" s="63"/>
      <c r="AN232" s="63"/>
      <c r="AO232" s="63"/>
    </row>
    <row r="233" spans="1:41" ht="15.75" customHeight="1" x14ac:dyDescent="0.2">
      <c r="A233" s="65" t="s">
        <v>146</v>
      </c>
      <c r="B233" s="243">
        <f>('Pivot Table for Data Exchange'!$O$186)*100</f>
        <v>63.46508956202301</v>
      </c>
      <c r="C233" s="243">
        <f>('Pivot Table for Data Exchange'!$O$189)*100</f>
        <v>7.1202684929129543</v>
      </c>
      <c r="D233" s="249">
        <f t="shared" si="59"/>
        <v>29.414641945064027</v>
      </c>
      <c r="E233" s="243">
        <f>('Pivot Table for Data Exchange'!$O$192)*100</f>
        <v>28.530284200960786</v>
      </c>
      <c r="F233" s="243">
        <f>('Pivot Table for Data Exchange'!$O$195)*100</f>
        <v>0.88435774410324153</v>
      </c>
      <c r="G233" s="245">
        <f>('Pivot Table for Data Exchange'!$O$198)*100</f>
        <v>0</v>
      </c>
      <c r="H233" s="243">
        <f>('Pivot Table for Data Exchange'!$O$201)*100</f>
        <v>0</v>
      </c>
      <c r="I233" s="64"/>
      <c r="J233" s="64"/>
      <c r="K233" s="64"/>
      <c r="L233" s="64"/>
      <c r="M233" s="64"/>
      <c r="N233" s="64"/>
      <c r="O233" s="64"/>
      <c r="P233" s="81"/>
      <c r="Q233" s="97">
        <f t="shared" si="52"/>
        <v>100</v>
      </c>
      <c r="R233" s="97"/>
      <c r="Z233" s="63"/>
      <c r="AA233" s="63"/>
      <c r="AB233" s="63"/>
      <c r="AC233" s="63"/>
      <c r="AD233" s="63"/>
      <c r="AE233" s="63"/>
      <c r="AF233" s="63"/>
      <c r="AG233" s="63"/>
      <c r="AH233" s="63"/>
      <c r="AI233" s="63"/>
      <c r="AJ233" s="63"/>
      <c r="AK233" s="63"/>
      <c r="AL233" s="63"/>
      <c r="AM233" s="63"/>
      <c r="AN233" s="63"/>
      <c r="AO233" s="63"/>
    </row>
    <row r="234" spans="1:41" ht="15.75" customHeight="1" x14ac:dyDescent="0.2">
      <c r="A234" s="65" t="s">
        <v>147</v>
      </c>
      <c r="B234" s="243">
        <f>('Pivot Table for Data Exchange'!$O$222)*100</f>
        <v>0</v>
      </c>
      <c r="C234" s="243">
        <f>('Pivot Table for Data Exchange'!$O$225)*100</f>
        <v>0</v>
      </c>
      <c r="D234" s="249">
        <f t="shared" si="59"/>
        <v>0</v>
      </c>
      <c r="E234" s="243">
        <f>('Pivot Table for Data Exchange'!$O$228)*100</f>
        <v>0</v>
      </c>
      <c r="F234" s="243">
        <f>('Pivot Table for Data Exchange'!$O$231)*100</f>
        <v>0</v>
      </c>
      <c r="G234" s="245">
        <f>('Pivot Table for Data Exchange'!$O$234)*100</f>
        <v>0</v>
      </c>
      <c r="H234" s="243">
        <f>('Pivot Table for Data Exchange'!$O$237)*100</f>
        <v>0</v>
      </c>
      <c r="I234" s="64"/>
      <c r="J234" s="64"/>
      <c r="K234" s="64"/>
      <c r="L234" s="64"/>
      <c r="M234" s="64"/>
      <c r="N234" s="64"/>
      <c r="O234" s="64"/>
      <c r="P234" s="81"/>
      <c r="Q234" s="97">
        <f t="shared" si="52"/>
        <v>0</v>
      </c>
      <c r="R234" s="97"/>
      <c r="Z234" s="63"/>
      <c r="AA234" s="63"/>
      <c r="AB234" s="63"/>
      <c r="AC234" s="63"/>
      <c r="AD234" s="63"/>
      <c r="AE234" s="63"/>
      <c r="AF234" s="63"/>
      <c r="AG234" s="63"/>
      <c r="AH234" s="63"/>
      <c r="AI234" s="63"/>
      <c r="AJ234" s="63"/>
      <c r="AK234" s="63"/>
      <c r="AL234" s="63"/>
      <c r="AM234" s="63"/>
      <c r="AN234" s="63"/>
      <c r="AO234" s="63"/>
    </row>
    <row r="235" spans="1:41" ht="15.75" customHeight="1" x14ac:dyDescent="0.2">
      <c r="A235" s="65" t="s">
        <v>177</v>
      </c>
      <c r="B235" s="243">
        <f>('Pivot Table for Data Exchange'!$O$258)*100</f>
        <v>77.735734006534017</v>
      </c>
      <c r="C235" s="243">
        <f>('Pivot Table for Data Exchange'!$O$261)*100</f>
        <v>7.4141184794780521</v>
      </c>
      <c r="D235" s="249">
        <f t="shared" si="59"/>
        <v>14.846350132517694</v>
      </c>
      <c r="E235" s="243">
        <f>('Pivot Table for Data Exchange'!$O$264)*100</f>
        <v>14.649155137231235</v>
      </c>
      <c r="F235" s="243">
        <f>('Pivot Table for Data Exchange'!$O$267)*100</f>
        <v>0.16429555759296086</v>
      </c>
      <c r="G235" s="68">
        <f>('Pivot Table for Data Exchange'!$O$270)*100</f>
        <v>3.2899437693497381E-2</v>
      </c>
      <c r="H235" s="61">
        <f>('Pivot Table for Data Exchange'!$O$273)*100</f>
        <v>3.7973814702402489E-3</v>
      </c>
      <c r="I235" s="64"/>
      <c r="J235" s="64"/>
      <c r="K235" s="64"/>
      <c r="L235" s="64"/>
      <c r="M235" s="64"/>
      <c r="N235" s="64"/>
      <c r="O235" s="64"/>
      <c r="P235" s="81"/>
      <c r="Q235" s="97">
        <f t="shared" si="52"/>
        <v>100</v>
      </c>
      <c r="R235" s="97"/>
      <c r="Z235" s="63"/>
      <c r="AA235" s="63"/>
      <c r="AB235" s="63"/>
      <c r="AC235" s="63"/>
      <c r="AD235" s="63"/>
      <c r="AE235" s="63"/>
      <c r="AF235" s="63"/>
      <c r="AG235" s="63"/>
      <c r="AH235" s="63"/>
      <c r="AI235" s="63"/>
      <c r="AJ235" s="63"/>
      <c r="AK235" s="63"/>
      <c r="AL235" s="63"/>
      <c r="AM235" s="63"/>
      <c r="AN235" s="63"/>
      <c r="AO235" s="63"/>
    </row>
    <row r="236" spans="1:41" ht="15.75" customHeight="1" x14ac:dyDescent="0.2">
      <c r="A236" s="65"/>
      <c r="B236" s="243"/>
      <c r="C236" s="243"/>
      <c r="D236" s="249"/>
      <c r="E236" s="243"/>
      <c r="F236" s="243"/>
      <c r="G236" s="245"/>
      <c r="H236" s="243"/>
      <c r="I236" s="64"/>
      <c r="J236" s="64"/>
      <c r="K236" s="64"/>
      <c r="L236" s="64"/>
      <c r="M236" s="64"/>
      <c r="N236" s="64"/>
      <c r="O236" s="64"/>
      <c r="P236" s="81"/>
      <c r="Q236" s="97">
        <f t="shared" si="52"/>
        <v>0</v>
      </c>
      <c r="R236" s="97"/>
      <c r="Z236" s="63"/>
      <c r="AA236" s="63"/>
      <c r="AB236" s="63"/>
      <c r="AC236" s="63"/>
      <c r="AD236" s="63"/>
      <c r="AE236" s="63"/>
      <c r="AF236" s="63"/>
      <c r="AG236" s="63"/>
      <c r="AH236" s="63"/>
      <c r="AI236" s="63"/>
      <c r="AJ236" s="63"/>
      <c r="AK236" s="63"/>
      <c r="AL236" s="63"/>
      <c r="AM236" s="63"/>
      <c r="AN236" s="63"/>
      <c r="AO236" s="63"/>
    </row>
    <row r="237" spans="1:41" ht="15.75" customHeight="1" x14ac:dyDescent="0.2">
      <c r="A237" s="65" t="s">
        <v>179</v>
      </c>
      <c r="B237" s="243">
        <f>('Pivot Table for Data Exchange'!$O$294)*100</f>
        <v>80.526885157172785</v>
      </c>
      <c r="C237" s="243">
        <f>('Pivot Table for Data Exchange'!$O$297)*100</f>
        <v>0</v>
      </c>
      <c r="D237" s="249">
        <f t="shared" ref="D237:D239" si="60">SUM(E237:G237)</f>
        <v>19.473114842827208</v>
      </c>
      <c r="E237" s="243">
        <f>('Pivot Table for Data Exchange'!$O$300)*100</f>
        <v>19.473114842827208</v>
      </c>
      <c r="F237" s="243">
        <f>('Pivot Table for Data Exchange'!$O$303)*100</f>
        <v>0</v>
      </c>
      <c r="G237" s="245">
        <f>('Pivot Table for Data Exchange'!$O$306)*100</f>
        <v>0</v>
      </c>
      <c r="H237" s="243">
        <f>('Pivot Table for Data Exchange'!$O$309)*100</f>
        <v>0</v>
      </c>
      <c r="I237" s="64"/>
      <c r="J237" s="64"/>
      <c r="K237" s="64"/>
      <c r="L237" s="64"/>
      <c r="M237" s="64"/>
      <c r="N237" s="64"/>
      <c r="O237" s="64"/>
      <c r="P237" s="81"/>
      <c r="Q237" s="97">
        <f t="shared" si="52"/>
        <v>100</v>
      </c>
      <c r="R237" s="97"/>
      <c r="Z237" s="63"/>
      <c r="AA237" s="63"/>
      <c r="AB237" s="63"/>
      <c r="AC237" s="63"/>
      <c r="AD237" s="63"/>
      <c r="AE237" s="63"/>
      <c r="AF237" s="63"/>
      <c r="AG237" s="63"/>
      <c r="AH237" s="63"/>
      <c r="AI237" s="63"/>
      <c r="AJ237" s="63"/>
      <c r="AK237" s="63"/>
      <c r="AL237" s="63"/>
      <c r="AM237" s="63"/>
      <c r="AN237" s="63"/>
      <c r="AO237" s="63"/>
    </row>
    <row r="238" spans="1:41" ht="15.75" customHeight="1" x14ac:dyDescent="0.2">
      <c r="A238" s="65" t="s">
        <v>149</v>
      </c>
      <c r="B238" s="243">
        <f>('Pivot Table for Data Exchange'!$O$330)*100</f>
        <v>66.312309987555693</v>
      </c>
      <c r="C238" s="243">
        <f>('Pivot Table for Data Exchange'!$O$333)*100</f>
        <v>1.9862430044710506</v>
      </c>
      <c r="D238" s="249">
        <f t="shared" si="60"/>
        <v>31.70144700797325</v>
      </c>
      <c r="E238" s="243">
        <f>('Pivot Table for Data Exchange'!$O$336)*100</f>
        <v>30.890306972032654</v>
      </c>
      <c r="F238" s="243">
        <f>('Pivot Table for Data Exchange'!$O$339)*100</f>
        <v>0.56544209149271996</v>
      </c>
      <c r="G238" s="245">
        <f>('Pivot Table for Data Exchange'!$O$342)*100</f>
        <v>0.24569794444787668</v>
      </c>
      <c r="H238" s="243">
        <f>('Pivot Table for Data Exchange'!$O$345)*100</f>
        <v>0</v>
      </c>
      <c r="I238" s="64"/>
      <c r="J238" s="64"/>
      <c r="K238" s="64"/>
      <c r="L238" s="64"/>
      <c r="M238" s="64"/>
      <c r="N238" s="64"/>
      <c r="O238" s="64"/>
      <c r="P238" s="81"/>
      <c r="Q238" s="97">
        <f t="shared" si="52"/>
        <v>100</v>
      </c>
      <c r="R238" s="97"/>
      <c r="Z238" s="63"/>
      <c r="AA238" s="63"/>
      <c r="AB238" s="63"/>
      <c r="AC238" s="63"/>
      <c r="AD238" s="63"/>
      <c r="AE238" s="63"/>
      <c r="AF238" s="63"/>
      <c r="AG238" s="63"/>
      <c r="AH238" s="63"/>
      <c r="AI238" s="63"/>
      <c r="AJ238" s="63"/>
      <c r="AK238" s="63"/>
      <c r="AL238" s="63"/>
      <c r="AM238" s="63"/>
      <c r="AN238" s="63"/>
      <c r="AO238" s="63"/>
    </row>
    <row r="239" spans="1:41" ht="15.75" customHeight="1" x14ac:dyDescent="0.2">
      <c r="A239" s="65" t="s">
        <v>150</v>
      </c>
      <c r="B239" s="243">
        <f>('Pivot Table for Data Exchange'!$O$366)*100</f>
        <v>65.834110406564719</v>
      </c>
      <c r="C239" s="243">
        <f>('Pivot Table for Data Exchange'!$O$369)*100</f>
        <v>6.2166052778813876</v>
      </c>
      <c r="D239" s="249">
        <f t="shared" si="60"/>
        <v>27.920493752331222</v>
      </c>
      <c r="E239" s="243">
        <f>('Pivot Table for Data Exchange'!$O$372)*100</f>
        <v>20.189003636702722</v>
      </c>
      <c r="F239" s="243">
        <f>('Pivot Table for Data Exchange'!$O$375)*100</f>
        <v>2.5223214285714288</v>
      </c>
      <c r="G239" s="245">
        <f>('Pivot Table for Data Exchange'!$O$378)*100</f>
        <v>5.2091686870570681</v>
      </c>
      <c r="H239" s="67">
        <f>('Pivot Table for Data Exchange'!$O$381)*100</f>
        <v>2.8790563222678103E-2</v>
      </c>
      <c r="I239" s="64"/>
      <c r="J239" s="64"/>
      <c r="K239" s="64"/>
      <c r="L239" s="64"/>
      <c r="M239" s="64"/>
      <c r="N239" s="64"/>
      <c r="O239" s="64"/>
      <c r="P239" s="81"/>
      <c r="Q239" s="97">
        <f t="shared" si="52"/>
        <v>100</v>
      </c>
      <c r="R239" s="97"/>
      <c r="Z239" s="63"/>
      <c r="AA239" s="63"/>
      <c r="AB239" s="63"/>
      <c r="AC239" s="63"/>
      <c r="AD239" s="63"/>
      <c r="AE239" s="63"/>
      <c r="AF239" s="63"/>
      <c r="AG239" s="63"/>
      <c r="AH239" s="63"/>
      <c r="AI239" s="63"/>
      <c r="AJ239" s="63"/>
      <c r="AK239" s="63"/>
      <c r="AL239" s="63"/>
      <c r="AM239" s="63"/>
      <c r="AN239" s="63"/>
      <c r="AO239" s="63"/>
    </row>
    <row r="240" spans="1:41" ht="15.75" customHeight="1" x14ac:dyDescent="0.2">
      <c r="A240" s="65" t="s">
        <v>151</v>
      </c>
      <c r="B240" s="243">
        <f>('Pivot Table for Data Exchange'!$O$402)*100</f>
        <v>76.839233971132202</v>
      </c>
      <c r="C240" s="243">
        <f>('Pivot Table for Data Exchange'!$O$405)*100</f>
        <v>4.986387082612934</v>
      </c>
      <c r="D240" s="249">
        <f>SUM(E240:G240)</f>
        <v>18.174378946254851</v>
      </c>
      <c r="E240" s="243">
        <f>('Pivot Table for Data Exchange'!$O$408)*100</f>
        <v>17.002384842645906</v>
      </c>
      <c r="F240" s="243">
        <f>('Pivot Table for Data Exchange'!$O$411)*100</f>
        <v>1.1717625681105561</v>
      </c>
      <c r="G240" s="257">
        <f>('Pivot Table for Data Exchange'!$O$414)*100</f>
        <v>2.3153549839167913E-4</v>
      </c>
      <c r="H240" s="243">
        <f>('Pivot Table for Data Exchange'!$O$417)*100</f>
        <v>0</v>
      </c>
      <c r="I240" s="64"/>
      <c r="J240" s="64"/>
      <c r="K240" s="64"/>
      <c r="L240" s="64"/>
      <c r="M240" s="64"/>
      <c r="N240" s="64"/>
      <c r="O240" s="64"/>
      <c r="P240" s="81"/>
      <c r="Q240" s="97">
        <f t="shared" si="52"/>
        <v>99.999999999999986</v>
      </c>
      <c r="R240" s="97"/>
      <c r="Z240" s="63"/>
      <c r="AA240" s="63"/>
      <c r="AB240" s="63"/>
      <c r="AC240" s="63"/>
      <c r="AD240" s="63"/>
      <c r="AE240" s="63"/>
      <c r="AF240" s="63"/>
      <c r="AG240" s="63"/>
      <c r="AH240" s="63"/>
      <c r="AI240" s="63"/>
      <c r="AJ240" s="63"/>
      <c r="AK240" s="63"/>
      <c r="AL240" s="63"/>
      <c r="AM240" s="63"/>
      <c r="AN240" s="63"/>
      <c r="AO240" s="63"/>
    </row>
    <row r="241" spans="1:41" ht="10.5" customHeight="1" x14ac:dyDescent="0.2">
      <c r="A241" s="65"/>
      <c r="B241" s="243"/>
      <c r="C241" s="243"/>
      <c r="D241" s="249"/>
      <c r="E241" s="243"/>
      <c r="F241" s="243"/>
      <c r="G241" s="245"/>
      <c r="H241" s="243"/>
      <c r="I241" s="64"/>
      <c r="J241" s="64"/>
      <c r="K241" s="64"/>
      <c r="L241" s="64"/>
      <c r="M241" s="64"/>
      <c r="N241" s="64"/>
      <c r="O241" s="64"/>
      <c r="P241" s="81"/>
      <c r="Q241" s="97">
        <f t="shared" si="52"/>
        <v>0</v>
      </c>
      <c r="R241" s="97"/>
      <c r="Z241" s="63"/>
      <c r="AA241" s="63"/>
      <c r="AB241" s="63"/>
      <c r="AC241" s="63"/>
      <c r="AD241" s="63"/>
      <c r="AE241" s="63"/>
      <c r="AF241" s="63"/>
      <c r="AG241" s="63"/>
      <c r="AH241" s="63"/>
      <c r="AI241" s="63"/>
      <c r="AJ241" s="63"/>
      <c r="AK241" s="63"/>
      <c r="AL241" s="63"/>
      <c r="AM241" s="63"/>
      <c r="AN241" s="63"/>
      <c r="AO241" s="63"/>
    </row>
    <row r="242" spans="1:41" ht="15.75" customHeight="1" x14ac:dyDescent="0.2">
      <c r="A242" s="65" t="s">
        <v>152</v>
      </c>
      <c r="B242" s="243">
        <f>('Pivot Table for Data Exchange'!$O$438)*100</f>
        <v>42.820810267843086</v>
      </c>
      <c r="C242" s="243">
        <f>('Pivot Table for Data Exchange'!$O$441)*100</f>
        <v>33.455484391039569</v>
      </c>
      <c r="D242" s="249">
        <f>SUM(E242:G242)</f>
        <v>23.515627853665602</v>
      </c>
      <c r="E242" s="243">
        <f>('Pivot Table for Data Exchange'!$O$444)*100</f>
        <v>15.819682971527897</v>
      </c>
      <c r="F242" s="243">
        <f>('Pivot Table for Data Exchange'!$O$447)*100</f>
        <v>1.8295200488704995</v>
      </c>
      <c r="G242" s="245">
        <f>('Pivot Table for Data Exchange'!$O$450)*100</f>
        <v>5.8664248332672075</v>
      </c>
      <c r="H242" s="243">
        <f>('Pivot Table for Data Exchange'!$O$453)*100</f>
        <v>0.20807748745174351</v>
      </c>
      <c r="I242" s="64"/>
      <c r="J242" s="64"/>
      <c r="K242" s="64"/>
      <c r="L242" s="64"/>
      <c r="M242" s="64"/>
      <c r="N242" s="64"/>
      <c r="O242" s="64"/>
      <c r="P242" s="81"/>
      <c r="Q242" s="97">
        <f t="shared" si="52"/>
        <v>100</v>
      </c>
      <c r="R242" s="97"/>
      <c r="Z242" s="63"/>
      <c r="AA242" s="63"/>
      <c r="AB242" s="63"/>
      <c r="AC242" s="63"/>
      <c r="AD242" s="63"/>
      <c r="AE242" s="63"/>
      <c r="AF242" s="63"/>
      <c r="AG242" s="63"/>
      <c r="AH242" s="63"/>
      <c r="AI242" s="63"/>
      <c r="AJ242" s="63"/>
      <c r="AK242" s="63"/>
      <c r="AL242" s="63"/>
      <c r="AM242" s="63"/>
      <c r="AN242" s="63"/>
      <c r="AO242" s="63"/>
    </row>
    <row r="243" spans="1:41" ht="15.75" customHeight="1" x14ac:dyDescent="0.2">
      <c r="A243" s="65" t="s">
        <v>153</v>
      </c>
      <c r="B243" s="243">
        <f>('Pivot Table for Data Exchange'!$O$474)*100</f>
        <v>71.005035314294815</v>
      </c>
      <c r="C243" s="243">
        <f>('Pivot Table for Data Exchange'!$O$477)*100</f>
        <v>10.392984134095416</v>
      </c>
      <c r="D243" s="249">
        <f>SUM(E243:G243)</f>
        <v>18.601980551609763</v>
      </c>
      <c r="E243" s="243">
        <f>('Pivot Table for Data Exchange'!$O$480)*100</f>
        <v>17.632521495715824</v>
      </c>
      <c r="F243" s="243">
        <f>('Pivot Table for Data Exchange'!$O$483)*100</f>
        <v>0.49920101107250564</v>
      </c>
      <c r="G243" s="245">
        <f>('Pivot Table for Data Exchange'!$O$486)*100</f>
        <v>0.47025804482143435</v>
      </c>
      <c r="H243" s="243">
        <f>('Pivot Table for Data Exchange'!$O$489)*100</f>
        <v>0</v>
      </c>
      <c r="I243" s="64"/>
      <c r="J243" s="64"/>
      <c r="K243" s="64"/>
      <c r="L243" s="64"/>
      <c r="M243" s="64"/>
      <c r="N243" s="64"/>
      <c r="O243" s="64"/>
      <c r="P243" s="81"/>
      <c r="Q243" s="97">
        <f t="shared" si="52"/>
        <v>100</v>
      </c>
      <c r="R243" s="97"/>
      <c r="Z243" s="63"/>
      <c r="AA243" s="63"/>
      <c r="AB243" s="63"/>
      <c r="AC243" s="63"/>
      <c r="AD243" s="63"/>
      <c r="AE243" s="63"/>
      <c r="AF243" s="63"/>
      <c r="AG243" s="63"/>
      <c r="AH243" s="63"/>
      <c r="AI243" s="63"/>
      <c r="AJ243" s="63"/>
      <c r="AK243" s="63"/>
      <c r="AL243" s="63"/>
      <c r="AM243" s="63"/>
      <c r="AN243" s="63"/>
      <c r="AO243" s="63"/>
    </row>
    <row r="244" spans="1:41" ht="15.75" customHeight="1" x14ac:dyDescent="0.2">
      <c r="A244" s="65" t="s">
        <v>154</v>
      </c>
      <c r="B244" s="243">
        <f>('Pivot Table for Data Exchange'!$O$510)*100</f>
        <v>62.462392402171638</v>
      </c>
      <c r="C244" s="243">
        <f>('Pivot Table for Data Exchange'!$O$513)*100</f>
        <v>12.005678008614222</v>
      </c>
      <c r="D244" s="249">
        <f t="shared" ref="D244" si="61">SUM(E244:G244)</f>
        <v>25.531929589214137</v>
      </c>
      <c r="E244" s="243">
        <f>('Pivot Table for Data Exchange'!$O$516)*100</f>
        <v>23.336676799389735</v>
      </c>
      <c r="F244" s="243">
        <f>('Pivot Table for Data Exchange'!$O$519)*100</f>
        <v>2.1952527898244028</v>
      </c>
      <c r="G244" s="245">
        <f>('Pivot Table for Data Exchange'!$O$522)*100</f>
        <v>0</v>
      </c>
      <c r="H244" s="243">
        <f>('Pivot Table for Data Exchange'!$O$525)*100</f>
        <v>0</v>
      </c>
      <c r="I244" s="64"/>
      <c r="J244" s="64"/>
      <c r="K244" s="64"/>
      <c r="L244" s="64"/>
      <c r="M244" s="64"/>
      <c r="N244" s="64"/>
      <c r="O244" s="64"/>
      <c r="P244" s="81"/>
      <c r="Q244" s="97">
        <f t="shared" si="52"/>
        <v>100</v>
      </c>
      <c r="R244" s="97"/>
      <c r="Z244" s="63"/>
      <c r="AA244" s="63"/>
      <c r="AB244" s="63"/>
      <c r="AC244" s="63"/>
      <c r="AD244" s="63"/>
      <c r="AE244" s="63"/>
      <c r="AF244" s="63"/>
      <c r="AG244" s="63"/>
      <c r="AH244" s="63"/>
      <c r="AI244" s="63"/>
      <c r="AJ244" s="63"/>
      <c r="AK244" s="63"/>
      <c r="AL244" s="63"/>
      <c r="AM244" s="63"/>
      <c r="AN244" s="63"/>
      <c r="AO244" s="63"/>
    </row>
    <row r="245" spans="1:41" ht="15.75" customHeight="1" x14ac:dyDescent="0.2">
      <c r="A245" s="39" t="s">
        <v>155</v>
      </c>
      <c r="B245" s="246">
        <f>('Pivot Table for Data Exchange'!$O$546)*100</f>
        <v>64.76686414778645</v>
      </c>
      <c r="C245" s="246">
        <f>('Pivot Table for Data Exchange'!$O$549)*100</f>
        <v>15.268306841269572</v>
      </c>
      <c r="D245" s="250">
        <f>SUM(E245:G245)</f>
        <v>19.96482901094398</v>
      </c>
      <c r="E245" s="246">
        <f>('Pivot Table for Data Exchange'!$O$552)*100</f>
        <v>18.215840603711733</v>
      </c>
      <c r="F245" s="246">
        <f>('Pivot Table for Data Exchange'!$O$555)*100</f>
        <v>1.5203769783681345</v>
      </c>
      <c r="G245" s="247">
        <f>('Pivot Table for Data Exchange'!$O$558)*100</f>
        <v>0.22861142886411362</v>
      </c>
      <c r="H245" s="246">
        <f>('Pivot Table for Data Exchange'!$O$561)*100</f>
        <v>0</v>
      </c>
      <c r="I245" s="64"/>
      <c r="J245" s="64"/>
      <c r="K245" s="64"/>
      <c r="L245" s="64"/>
      <c r="M245" s="64"/>
      <c r="N245" s="64"/>
      <c r="O245" s="64"/>
      <c r="P245" s="81"/>
      <c r="Q245" s="97">
        <f t="shared" si="52"/>
        <v>100</v>
      </c>
      <c r="R245" s="97"/>
      <c r="Z245" s="63"/>
      <c r="AA245" s="63"/>
      <c r="AB245" s="63"/>
      <c r="AC245" s="63"/>
      <c r="AD245" s="63"/>
      <c r="AE245" s="63"/>
      <c r="AF245" s="63"/>
      <c r="AG245" s="63"/>
      <c r="AH245" s="63"/>
      <c r="AI245" s="63"/>
      <c r="AJ245" s="63"/>
      <c r="AK245" s="63"/>
      <c r="AL245" s="63"/>
      <c r="AM245" s="63"/>
      <c r="AN245" s="63"/>
      <c r="AO245" s="63"/>
    </row>
    <row r="246" spans="1:41" s="25" customFormat="1" ht="18" customHeight="1" x14ac:dyDescent="0.2">
      <c r="A246" s="24" t="s">
        <v>175</v>
      </c>
      <c r="B246" s="69"/>
      <c r="C246" s="69"/>
      <c r="D246" s="70"/>
      <c r="E246" s="69"/>
      <c r="F246" s="70"/>
      <c r="G246" s="70"/>
      <c r="H246" s="69"/>
      <c r="I246" s="24"/>
      <c r="J246" s="69"/>
      <c r="K246" s="69"/>
      <c r="L246" s="70"/>
      <c r="M246" s="69"/>
      <c r="N246" s="70"/>
      <c r="O246" s="70"/>
      <c r="P246" s="69"/>
      <c r="Q246" s="97">
        <f t="shared" si="52"/>
        <v>0</v>
      </c>
      <c r="R246" s="101"/>
      <c r="S246" s="71"/>
      <c r="T246" s="71"/>
      <c r="U246" s="71"/>
      <c r="V246" s="71"/>
      <c r="W246" s="71"/>
      <c r="X246" s="71"/>
      <c r="Y246" s="71"/>
      <c r="Z246" s="71"/>
      <c r="AA246" s="71"/>
      <c r="AB246" s="71"/>
      <c r="AC246" s="71"/>
      <c r="AD246" s="71"/>
      <c r="AE246" s="71"/>
      <c r="AF246" s="71"/>
      <c r="AG246" s="71"/>
      <c r="AH246" s="71"/>
      <c r="AI246" s="71"/>
      <c r="AJ246" s="71"/>
      <c r="AK246" s="71"/>
      <c r="AL246" s="71"/>
      <c r="AM246" s="71"/>
      <c r="AN246" s="71"/>
      <c r="AO246" s="71"/>
    </row>
    <row r="247" spans="1:41" s="25" customFormat="1" ht="28.5" customHeight="1" x14ac:dyDescent="0.25">
      <c r="A247" s="680" t="s">
        <v>180</v>
      </c>
      <c r="B247" s="686"/>
      <c r="C247" s="686"/>
      <c r="D247" s="686"/>
      <c r="E247" s="686"/>
      <c r="F247" s="686"/>
      <c r="G247" s="686"/>
      <c r="H247" s="686"/>
      <c r="I247" s="24"/>
      <c r="P247" s="77"/>
      <c r="Q247" s="97">
        <f t="shared" si="52"/>
        <v>0</v>
      </c>
      <c r="R247" s="106"/>
    </row>
    <row r="248" spans="1:41" ht="12" customHeight="1" x14ac:dyDescent="0.2">
      <c r="A248" s="65"/>
      <c r="B248" s="83"/>
      <c r="C248" s="83"/>
      <c r="D248" s="84"/>
      <c r="E248" s="83"/>
      <c r="F248" s="84"/>
      <c r="G248" s="84"/>
      <c r="H248" s="83"/>
      <c r="I248" s="65"/>
      <c r="J248" s="83"/>
      <c r="K248" s="83"/>
      <c r="L248" s="84"/>
      <c r="M248" s="83"/>
      <c r="N248" s="84"/>
      <c r="O248" s="84"/>
      <c r="P248" s="83"/>
      <c r="Q248" s="97">
        <f t="shared" si="52"/>
        <v>0</v>
      </c>
      <c r="R248" s="97"/>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row>
    <row r="249" spans="1:41" s="25" customFormat="1" x14ac:dyDescent="0.2">
      <c r="H249" s="27" t="s">
        <v>914</v>
      </c>
      <c r="I249" s="26"/>
      <c r="J249" s="26"/>
      <c r="K249" s="26"/>
      <c r="L249" s="26"/>
      <c r="M249" s="26"/>
      <c r="N249" s="26"/>
      <c r="O249" s="26"/>
      <c r="P249" s="26"/>
      <c r="Q249" s="97">
        <f t="shared" si="52"/>
        <v>0</v>
      </c>
      <c r="R249" s="105"/>
    </row>
    <row r="250" spans="1:41" ht="18" x14ac:dyDescent="0.25">
      <c r="A250" s="16" t="s">
        <v>209</v>
      </c>
      <c r="B250" s="34"/>
      <c r="C250" s="34"/>
      <c r="D250" s="34"/>
      <c r="E250" s="34"/>
      <c r="F250" s="34"/>
      <c r="G250" s="34"/>
      <c r="H250" s="35"/>
      <c r="I250" s="80"/>
      <c r="J250" s="65"/>
      <c r="K250" s="65"/>
      <c r="L250" s="65"/>
      <c r="M250" s="65"/>
      <c r="N250" s="65"/>
      <c r="O250" s="65"/>
      <c r="P250" s="65"/>
      <c r="Q250" s="97">
        <f t="shared" si="52"/>
        <v>0</v>
      </c>
    </row>
    <row r="251" spans="1:41" x14ac:dyDescent="0.2">
      <c r="A251" s="18"/>
      <c r="B251" s="19"/>
      <c r="C251" s="19"/>
      <c r="D251" s="19"/>
      <c r="E251" s="19"/>
      <c r="F251" s="19"/>
      <c r="G251" s="19"/>
      <c r="H251" s="36"/>
      <c r="I251" s="80"/>
      <c r="J251" s="65"/>
      <c r="K251" s="65"/>
      <c r="L251" s="65"/>
      <c r="M251" s="65"/>
      <c r="N251" s="65"/>
      <c r="O251" s="65"/>
      <c r="P251" s="65"/>
      <c r="Q251" s="97">
        <f t="shared" si="52"/>
        <v>0</v>
      </c>
    </row>
    <row r="252" spans="1:41" ht="15.75" x14ac:dyDescent="0.25">
      <c r="A252" s="37" t="s">
        <v>162</v>
      </c>
      <c r="B252" s="19"/>
      <c r="C252" s="19"/>
      <c r="D252" s="19"/>
      <c r="E252" s="19"/>
      <c r="F252" s="19"/>
      <c r="G252" s="19"/>
      <c r="H252" s="36"/>
      <c r="I252" s="80"/>
      <c r="J252" s="65"/>
      <c r="K252" s="65"/>
      <c r="L252" s="65"/>
      <c r="M252" s="65"/>
      <c r="N252" s="65"/>
      <c r="O252" s="65"/>
      <c r="P252" s="65"/>
      <c r="Q252" s="97">
        <f t="shared" si="52"/>
        <v>0</v>
      </c>
    </row>
    <row r="253" spans="1:41" ht="15.75" x14ac:dyDescent="0.25">
      <c r="A253" s="37" t="s">
        <v>248</v>
      </c>
      <c r="B253" s="19"/>
      <c r="C253" s="19"/>
      <c r="D253" s="19"/>
      <c r="E253" s="19"/>
      <c r="F253" s="19"/>
      <c r="G253" s="19"/>
      <c r="H253" s="36"/>
      <c r="I253" s="80"/>
      <c r="J253" s="65"/>
      <c r="K253" s="65"/>
      <c r="L253" s="65"/>
      <c r="M253" s="65"/>
      <c r="N253" s="65"/>
      <c r="O253" s="65"/>
      <c r="P253" s="65"/>
      <c r="Q253" s="97">
        <f t="shared" si="52"/>
        <v>0</v>
      </c>
    </row>
    <row r="254" spans="1:41" x14ac:dyDescent="0.2">
      <c r="A254" s="39"/>
      <c r="B254" s="40"/>
      <c r="C254" s="40"/>
      <c r="D254" s="40"/>
      <c r="E254" s="40"/>
      <c r="F254" s="40"/>
      <c r="G254" s="40"/>
      <c r="H254" s="40"/>
      <c r="I254" s="80"/>
      <c r="J254" s="65"/>
      <c r="K254" s="65"/>
      <c r="L254" s="65"/>
      <c r="M254" s="65"/>
      <c r="N254" s="65"/>
      <c r="O254" s="65"/>
      <c r="P254" s="65"/>
      <c r="Q254" s="97">
        <f t="shared" si="52"/>
        <v>0</v>
      </c>
    </row>
    <row r="255" spans="1:41" x14ac:dyDescent="0.2">
      <c r="A255" s="43"/>
      <c r="B255" s="44" t="s">
        <v>164</v>
      </c>
      <c r="C255" s="44"/>
      <c r="D255" s="44"/>
      <c r="E255" s="44"/>
      <c r="F255" s="44"/>
      <c r="G255" s="44"/>
      <c r="H255" s="45"/>
      <c r="I255" s="80"/>
      <c r="J255" s="65"/>
      <c r="K255" s="65"/>
      <c r="L255" s="65"/>
      <c r="M255" s="65"/>
      <c r="N255" s="65"/>
      <c r="O255" s="65"/>
      <c r="P255" s="65"/>
      <c r="Q255" s="97">
        <f t="shared" si="52"/>
        <v>0</v>
      </c>
    </row>
    <row r="256" spans="1:41" x14ac:dyDescent="0.2">
      <c r="A256" s="43"/>
      <c r="B256" s="44" t="s">
        <v>165</v>
      </c>
      <c r="C256" s="44"/>
      <c r="D256" s="670" t="s">
        <v>166</v>
      </c>
      <c r="E256" s="668"/>
      <c r="F256" s="668"/>
      <c r="G256" s="668"/>
      <c r="H256" s="49" t="s">
        <v>39</v>
      </c>
      <c r="I256" s="80"/>
      <c r="J256" s="65"/>
      <c r="K256" s="65"/>
      <c r="L256" s="65"/>
      <c r="M256" s="65"/>
      <c r="N256" s="65"/>
      <c r="O256" s="65"/>
      <c r="P256" s="65"/>
      <c r="Q256" s="97">
        <f t="shared" si="52"/>
        <v>0</v>
      </c>
    </row>
    <row r="257" spans="1:41" ht="36" x14ac:dyDescent="0.2">
      <c r="A257" s="43"/>
      <c r="B257" s="50" t="s">
        <v>167</v>
      </c>
      <c r="C257" s="51" t="s">
        <v>168</v>
      </c>
      <c r="D257" s="52" t="s">
        <v>169</v>
      </c>
      <c r="E257" s="53" t="s">
        <v>7</v>
      </c>
      <c r="F257" s="50" t="s">
        <v>170</v>
      </c>
      <c r="G257" s="54" t="s">
        <v>171</v>
      </c>
      <c r="H257" s="55" t="s">
        <v>172</v>
      </c>
      <c r="I257" s="80"/>
      <c r="J257" s="65"/>
      <c r="K257" s="65"/>
      <c r="L257" s="65"/>
      <c r="M257" s="65"/>
      <c r="N257" s="65"/>
      <c r="O257" s="65"/>
      <c r="P257" s="65"/>
      <c r="Q257" s="97">
        <f t="shared" si="52"/>
        <v>0</v>
      </c>
    </row>
    <row r="258" spans="1:41" ht="15.75" customHeight="1" x14ac:dyDescent="0.2">
      <c r="A258" s="62" t="s">
        <v>141</v>
      </c>
      <c r="B258" s="243">
        <f>('Pivot Table for Data Exchange'!$K$6)*100</f>
        <v>0</v>
      </c>
      <c r="C258" s="243">
        <f>('Pivot Table for Data Exchange'!$K$9)*100</f>
        <v>0</v>
      </c>
      <c r="D258" s="249">
        <f>SUM(E258:G258)</f>
        <v>0</v>
      </c>
      <c r="E258" s="243">
        <f>('Pivot Table for Data Exchange'!$K$12)*100</f>
        <v>0</v>
      </c>
      <c r="F258" s="243">
        <f>('Pivot Table for Data Exchange'!$K$15)*100</f>
        <v>0</v>
      </c>
      <c r="G258" s="60">
        <f>('Pivot Table for Data Exchange'!$K$18)*100</f>
        <v>0</v>
      </c>
      <c r="H258" s="243">
        <f>('Pivot Table for Data Exchange'!$K$21)*100</f>
        <v>0</v>
      </c>
      <c r="I258" s="65"/>
      <c r="J258" s="81"/>
      <c r="K258" s="81"/>
      <c r="L258" s="81"/>
      <c r="M258" s="81"/>
      <c r="N258" s="81"/>
      <c r="O258" s="81"/>
      <c r="P258" s="81"/>
      <c r="Q258" s="97">
        <f t="shared" si="52"/>
        <v>0</v>
      </c>
      <c r="R258" s="97"/>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row>
    <row r="259" spans="1:41" ht="15.75" customHeight="1" x14ac:dyDescent="0.2">
      <c r="A259" s="65" t="s">
        <v>142</v>
      </c>
      <c r="B259" s="243">
        <f>('Pivot Table for Data Exchange'!$K$42)*100</f>
        <v>0</v>
      </c>
      <c r="C259" s="243">
        <f>('Pivot Table for Data Exchange'!$K$45)*100</f>
        <v>0</v>
      </c>
      <c r="D259" s="249">
        <f t="shared" ref="D259:D261" si="62">SUM(E259:G259)</f>
        <v>0</v>
      </c>
      <c r="E259" s="243">
        <f>('Pivot Table for Data Exchange'!$K$48)*100</f>
        <v>0</v>
      </c>
      <c r="F259" s="243">
        <f>('Pivot Table for Data Exchange'!$K$51)*100</f>
        <v>0</v>
      </c>
      <c r="G259" s="245">
        <f>('Pivot Table for Data Exchange'!$K$54)*100</f>
        <v>0</v>
      </c>
      <c r="H259" s="243">
        <f>('Pivot Table for Data Exchange'!$K$57)*100</f>
        <v>0</v>
      </c>
      <c r="I259" s="65"/>
      <c r="J259" s="81"/>
      <c r="K259" s="81"/>
      <c r="L259" s="81"/>
      <c r="M259" s="81"/>
      <c r="N259" s="81"/>
      <c r="O259" s="81"/>
      <c r="P259" s="81"/>
      <c r="Q259" s="97">
        <f t="shared" si="52"/>
        <v>0</v>
      </c>
      <c r="R259" s="97"/>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row>
    <row r="260" spans="1:41" ht="15.75" customHeight="1" x14ac:dyDescent="0.2">
      <c r="A260" s="65" t="s">
        <v>143</v>
      </c>
      <c r="B260" s="243">
        <f>('Pivot Table for Data Exchange'!$K$78)*100</f>
        <v>0</v>
      </c>
      <c r="C260" s="243">
        <f>('Pivot Table for Data Exchange'!$K$81)*100</f>
        <v>0</v>
      </c>
      <c r="D260" s="249">
        <f t="shared" si="62"/>
        <v>0</v>
      </c>
      <c r="E260" s="243">
        <f>('Pivot Table for Data Exchange'!$K$84)*100</f>
        <v>0</v>
      </c>
      <c r="F260" s="243">
        <f>('Pivot Table for Data Exchange'!$K$87)*100</f>
        <v>0</v>
      </c>
      <c r="G260" s="245">
        <f>('Pivot Table for Data Exchange'!$K$90)*100</f>
        <v>0</v>
      </c>
      <c r="H260" s="243">
        <f>('Pivot Table for Data Exchange'!$K$93)*100</f>
        <v>0</v>
      </c>
      <c r="I260" s="65"/>
      <c r="J260" s="81"/>
      <c r="K260" s="81"/>
      <c r="L260" s="81"/>
      <c r="M260" s="81"/>
      <c r="N260" s="81"/>
      <c r="O260" s="81"/>
      <c r="P260" s="81"/>
      <c r="Q260" s="97">
        <f t="shared" si="52"/>
        <v>0</v>
      </c>
      <c r="R260" s="97"/>
      <c r="S260" s="63"/>
      <c r="T260" s="74"/>
      <c r="U260" s="63"/>
      <c r="V260" s="63"/>
      <c r="W260" s="63"/>
      <c r="X260" s="63"/>
      <c r="Y260" s="63"/>
      <c r="Z260" s="63"/>
      <c r="AA260" s="63"/>
      <c r="AB260" s="63"/>
      <c r="AC260" s="63"/>
      <c r="AD260" s="63"/>
      <c r="AE260" s="63"/>
      <c r="AF260" s="63"/>
      <c r="AG260" s="63"/>
      <c r="AH260" s="63"/>
      <c r="AI260" s="63"/>
      <c r="AJ260" s="63"/>
      <c r="AK260" s="63"/>
      <c r="AL260" s="63"/>
      <c r="AM260" s="63"/>
      <c r="AN260" s="63"/>
      <c r="AO260" s="63"/>
    </row>
    <row r="261" spans="1:41" ht="15.75" customHeight="1" x14ac:dyDescent="0.2">
      <c r="A261" s="65" t="s">
        <v>174</v>
      </c>
      <c r="B261" s="243">
        <f>('Pivot Table for Data Exchange'!$K$114)*100</f>
        <v>66.501466060626882</v>
      </c>
      <c r="C261" s="243">
        <f>('Pivot Table for Data Exchange'!$K$117)*100</f>
        <v>1.4747855207601424</v>
      </c>
      <c r="D261" s="249">
        <f t="shared" si="62"/>
        <v>31.517704573236667</v>
      </c>
      <c r="E261" s="243">
        <f>('Pivot Table for Data Exchange'!$K$120)*100</f>
        <v>27.655221895399663</v>
      </c>
      <c r="F261" s="67">
        <f>('Pivot Table for Data Exchange'!$K$123)*100</f>
        <v>1.2391205678235196E-2</v>
      </c>
      <c r="G261" s="245">
        <f>('Pivot Table for Data Exchange'!$K$126)*100</f>
        <v>3.8500914721587711</v>
      </c>
      <c r="H261" s="243">
        <f>('Pivot Table for Data Exchange'!$K$129)*100</f>
        <v>0.50604384537631675</v>
      </c>
      <c r="I261" s="65"/>
      <c r="J261" s="81"/>
      <c r="K261" s="81"/>
      <c r="L261" s="81"/>
      <c r="M261" s="81"/>
      <c r="N261" s="81"/>
      <c r="O261" s="81"/>
      <c r="P261" s="81"/>
      <c r="Q261" s="97">
        <f t="shared" si="52"/>
        <v>100</v>
      </c>
      <c r="R261" s="97"/>
      <c r="S261" s="63"/>
      <c r="U261" s="63"/>
      <c r="V261" s="63"/>
      <c r="W261" s="63"/>
      <c r="X261" s="63"/>
      <c r="Y261" s="63"/>
      <c r="Z261" s="63"/>
      <c r="AA261" s="63"/>
      <c r="AB261" s="63"/>
      <c r="AC261" s="63"/>
      <c r="AD261" s="63"/>
      <c r="AE261" s="63"/>
      <c r="AF261" s="63"/>
      <c r="AG261" s="63"/>
      <c r="AH261" s="63"/>
      <c r="AI261" s="63"/>
      <c r="AJ261" s="63"/>
      <c r="AK261" s="63"/>
      <c r="AL261" s="63"/>
      <c r="AM261" s="63"/>
      <c r="AN261" s="63"/>
      <c r="AO261" s="63"/>
    </row>
    <row r="262" spans="1:41" ht="15.75" customHeight="1" x14ac:dyDescent="0.2">
      <c r="A262" s="65"/>
      <c r="B262" s="243"/>
      <c r="C262" s="243"/>
      <c r="D262" s="249"/>
      <c r="E262" s="243"/>
      <c r="F262" s="243"/>
      <c r="G262" s="245"/>
      <c r="H262" s="243"/>
      <c r="I262" s="65"/>
      <c r="J262" s="81"/>
      <c r="K262" s="81"/>
      <c r="L262" s="81"/>
      <c r="M262" s="81"/>
      <c r="N262" s="81"/>
      <c r="O262" s="81"/>
      <c r="P262" s="81"/>
      <c r="Q262" s="97">
        <f t="shared" si="52"/>
        <v>0</v>
      </c>
      <c r="R262" s="97"/>
      <c r="S262" s="63"/>
      <c r="U262" s="63"/>
      <c r="V262" s="63"/>
      <c r="W262" s="63"/>
      <c r="X262" s="63"/>
      <c r="Y262" s="63"/>
      <c r="Z262" s="63"/>
      <c r="AA262" s="63"/>
      <c r="AB262" s="63"/>
      <c r="AC262" s="63"/>
      <c r="AD262" s="63"/>
      <c r="AE262" s="63"/>
      <c r="AF262" s="63"/>
      <c r="AG262" s="63"/>
      <c r="AH262" s="63"/>
      <c r="AI262" s="63"/>
      <c r="AJ262" s="63"/>
      <c r="AK262" s="63"/>
      <c r="AL262" s="63"/>
      <c r="AM262" s="63"/>
      <c r="AN262" s="63"/>
      <c r="AO262" s="63"/>
    </row>
    <row r="263" spans="1:41" ht="15.75" customHeight="1" x14ac:dyDescent="0.2">
      <c r="A263" s="65" t="s">
        <v>145</v>
      </c>
      <c r="B263" s="243">
        <f>('Pivot Table for Data Exchange'!$K$150)*100</f>
        <v>0</v>
      </c>
      <c r="C263" s="243">
        <f>('Pivot Table for Data Exchange'!$K$153)*100</f>
        <v>0</v>
      </c>
      <c r="D263" s="249">
        <f t="shared" ref="D263:D266" si="63">SUM(E263:G263)</f>
        <v>0</v>
      </c>
      <c r="E263" s="243">
        <f>('Pivot Table for Data Exchange'!$K$156)*100</f>
        <v>0</v>
      </c>
      <c r="F263" s="243">
        <f>('Pivot Table for Data Exchange'!$K$159)*100</f>
        <v>0</v>
      </c>
      <c r="G263" s="245">
        <f>('Pivot Table for Data Exchange'!$K$162)*100</f>
        <v>0</v>
      </c>
      <c r="H263" s="243">
        <f>('Pivot Table for Data Exchange'!$K$165)*100</f>
        <v>0</v>
      </c>
      <c r="I263" s="65"/>
      <c r="J263" s="81"/>
      <c r="K263" s="81"/>
      <c r="L263" s="81"/>
      <c r="M263" s="81"/>
      <c r="N263" s="81"/>
      <c r="O263" s="81"/>
      <c r="P263" s="81"/>
      <c r="Q263" s="97">
        <f t="shared" si="52"/>
        <v>0</v>
      </c>
      <c r="R263" s="97"/>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row>
    <row r="264" spans="1:41" ht="15.75" customHeight="1" x14ac:dyDescent="0.2">
      <c r="A264" s="65" t="s">
        <v>146</v>
      </c>
      <c r="B264" s="243">
        <f>('Pivot Table for Data Exchange'!$K$186)*100</f>
        <v>0</v>
      </c>
      <c r="C264" s="243">
        <f>('Pivot Table for Data Exchange'!$K$189)*100</f>
        <v>0</v>
      </c>
      <c r="D264" s="249">
        <f t="shared" si="63"/>
        <v>0</v>
      </c>
      <c r="E264" s="243">
        <f>('Pivot Table for Data Exchange'!$K$192)*100</f>
        <v>0</v>
      </c>
      <c r="F264" s="243">
        <f>('Pivot Table for Data Exchange'!$K$195)*100</f>
        <v>0</v>
      </c>
      <c r="G264" s="245">
        <f>('Pivot Table for Data Exchange'!$K$198)*100</f>
        <v>0</v>
      </c>
      <c r="H264" s="243">
        <f>('Pivot Table for Data Exchange'!$K$201)*100</f>
        <v>0</v>
      </c>
      <c r="I264" s="65"/>
      <c r="J264" s="81"/>
      <c r="K264" s="81"/>
      <c r="L264" s="81"/>
      <c r="M264" s="81"/>
      <c r="N264" s="81"/>
      <c r="O264" s="81"/>
      <c r="P264" s="81"/>
      <c r="Q264" s="97">
        <f t="shared" si="52"/>
        <v>0</v>
      </c>
      <c r="R264" s="97"/>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row>
    <row r="265" spans="1:41" ht="15.75" customHeight="1" x14ac:dyDescent="0.2">
      <c r="A265" s="65" t="s">
        <v>147</v>
      </c>
      <c r="B265" s="243">
        <f>('Pivot Table for Data Exchange'!$K$222)*100</f>
        <v>0</v>
      </c>
      <c r="C265" s="243">
        <f>('Pivot Table for Data Exchange'!$K$225)*100</f>
        <v>0</v>
      </c>
      <c r="D265" s="249">
        <f t="shared" si="63"/>
        <v>0</v>
      </c>
      <c r="E265" s="243">
        <f>('Pivot Table for Data Exchange'!$K$228)*100</f>
        <v>0</v>
      </c>
      <c r="F265" s="243">
        <f>('Pivot Table for Data Exchange'!$K$231)*100</f>
        <v>0</v>
      </c>
      <c r="G265" s="245">
        <f>('Pivot Table for Data Exchange'!$K$234)*100</f>
        <v>0</v>
      </c>
      <c r="H265" s="243">
        <f>('Pivot Table for Data Exchange'!$K$237)*100</f>
        <v>0</v>
      </c>
      <c r="I265" s="65"/>
      <c r="J265" s="81"/>
      <c r="K265" s="81"/>
      <c r="L265" s="81"/>
      <c r="M265" s="81"/>
      <c r="N265" s="81"/>
      <c r="O265" s="81"/>
      <c r="P265" s="81"/>
      <c r="Q265" s="97">
        <f t="shared" si="52"/>
        <v>0</v>
      </c>
      <c r="R265" s="97"/>
      <c r="S265" s="63"/>
      <c r="T265" s="74"/>
      <c r="U265" s="63"/>
      <c r="V265" s="63"/>
      <c r="W265" s="63"/>
      <c r="X265" s="63"/>
      <c r="Y265" s="63"/>
      <c r="Z265" s="63"/>
      <c r="AA265" s="63"/>
      <c r="AB265" s="63"/>
      <c r="AC265" s="63"/>
      <c r="AD265" s="63"/>
      <c r="AE265" s="63"/>
      <c r="AF265" s="63"/>
      <c r="AG265" s="63"/>
      <c r="AH265" s="63"/>
      <c r="AI265" s="63"/>
      <c r="AJ265" s="63"/>
      <c r="AK265" s="63"/>
      <c r="AL265" s="63"/>
      <c r="AM265" s="63"/>
      <c r="AN265" s="63"/>
      <c r="AO265" s="63"/>
    </row>
    <row r="266" spans="1:41" ht="15.75" customHeight="1" x14ac:dyDescent="0.2">
      <c r="A266" s="65" t="s">
        <v>177</v>
      </c>
      <c r="B266" s="243">
        <f>('Pivot Table for Data Exchange'!$K$258)*100</f>
        <v>0</v>
      </c>
      <c r="C266" s="243">
        <f>('Pivot Table for Data Exchange'!$K$261)*100</f>
        <v>0</v>
      </c>
      <c r="D266" s="249">
        <f t="shared" si="63"/>
        <v>0</v>
      </c>
      <c r="E266" s="243">
        <f>('Pivot Table for Data Exchange'!$K$264)*100</f>
        <v>0</v>
      </c>
      <c r="F266" s="243">
        <f>('Pivot Table for Data Exchange'!$K$267)*100</f>
        <v>0</v>
      </c>
      <c r="G266" s="245">
        <f>('Pivot Table for Data Exchange'!$K$270)*100</f>
        <v>0</v>
      </c>
      <c r="H266" s="243">
        <f>('Pivot Table for Data Exchange'!$K$273)*100</f>
        <v>0</v>
      </c>
      <c r="I266" s="65"/>
      <c r="J266" s="81"/>
      <c r="K266" s="81"/>
      <c r="L266" s="81"/>
      <c r="M266" s="81"/>
      <c r="N266" s="81"/>
      <c r="O266" s="81"/>
      <c r="P266" s="81"/>
      <c r="Q266" s="97">
        <f t="shared" si="52"/>
        <v>0</v>
      </c>
      <c r="R266" s="97"/>
      <c r="S266" s="63"/>
      <c r="U266" s="63"/>
      <c r="V266" s="63"/>
      <c r="W266" s="63"/>
      <c r="X266" s="63"/>
      <c r="Y266" s="63"/>
      <c r="Z266" s="63"/>
      <c r="AA266" s="63"/>
      <c r="AB266" s="63"/>
      <c r="AC266" s="63"/>
      <c r="AD266" s="63"/>
      <c r="AE266" s="63"/>
      <c r="AF266" s="63"/>
      <c r="AG266" s="63"/>
      <c r="AH266" s="63"/>
      <c r="AI266" s="63"/>
      <c r="AJ266" s="63"/>
      <c r="AK266" s="63"/>
      <c r="AL266" s="63"/>
      <c r="AM266" s="63"/>
      <c r="AN266" s="63"/>
      <c r="AO266" s="63"/>
    </row>
    <row r="267" spans="1:41" ht="15.75" customHeight="1" x14ac:dyDescent="0.2">
      <c r="A267" s="65"/>
      <c r="B267" s="243"/>
      <c r="C267" s="243"/>
      <c r="D267" s="249"/>
      <c r="E267" s="243"/>
      <c r="F267" s="243"/>
      <c r="G267" s="245"/>
      <c r="H267" s="243"/>
      <c r="I267" s="65"/>
      <c r="J267" s="81"/>
      <c r="K267" s="81"/>
      <c r="L267" s="81"/>
      <c r="M267" s="81"/>
      <c r="N267" s="81"/>
      <c r="O267" s="81"/>
      <c r="P267" s="81"/>
      <c r="Q267" s="97">
        <f t="shared" si="52"/>
        <v>0</v>
      </c>
      <c r="R267" s="97"/>
      <c r="S267" s="63"/>
      <c r="U267" s="63"/>
      <c r="V267" s="63"/>
      <c r="W267" s="63"/>
      <c r="X267" s="63"/>
      <c r="Y267" s="63"/>
      <c r="Z267" s="63"/>
      <c r="AA267" s="63"/>
      <c r="AB267" s="63"/>
      <c r="AC267" s="63"/>
      <c r="AD267" s="63"/>
      <c r="AE267" s="63"/>
      <c r="AF267" s="63"/>
      <c r="AG267" s="63"/>
      <c r="AH267" s="63"/>
      <c r="AI267" s="63"/>
      <c r="AJ267" s="63"/>
      <c r="AK267" s="63"/>
      <c r="AL267" s="63"/>
      <c r="AM267" s="63"/>
      <c r="AN267" s="63"/>
      <c r="AO267" s="63"/>
    </row>
    <row r="268" spans="1:41" ht="15.75" customHeight="1" x14ac:dyDescent="0.2">
      <c r="A268" s="65" t="s">
        <v>179</v>
      </c>
      <c r="B268" s="243">
        <f>('Pivot Table for Data Exchange'!$K$294)*100</f>
        <v>0</v>
      </c>
      <c r="C268" s="243">
        <f>('Pivot Table for Data Exchange'!$K$297)*100</f>
        <v>0</v>
      </c>
      <c r="D268" s="249">
        <f t="shared" ref="D268:D270" si="64">SUM(E268:G268)</f>
        <v>0</v>
      </c>
      <c r="E268" s="243">
        <f>('Pivot Table for Data Exchange'!$K$300)*100</f>
        <v>0</v>
      </c>
      <c r="F268" s="243">
        <f>('Pivot Table for Data Exchange'!$K$303)*100</f>
        <v>0</v>
      </c>
      <c r="G268" s="245">
        <f>('Pivot Table for Data Exchange'!$K$306)*100</f>
        <v>0</v>
      </c>
      <c r="H268" s="243">
        <f>('Pivot Table for Data Exchange'!$K$309)*100</f>
        <v>0</v>
      </c>
      <c r="I268" s="65"/>
      <c r="J268" s="81"/>
      <c r="K268" s="81"/>
      <c r="L268" s="81"/>
      <c r="M268" s="81"/>
      <c r="N268" s="81"/>
      <c r="O268" s="81"/>
      <c r="P268" s="81"/>
      <c r="Q268" s="97">
        <f t="shared" ref="Q268:Q331" si="65">SUM(B268,C268,D268,H268)</f>
        <v>0</v>
      </c>
      <c r="R268" s="97"/>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row>
    <row r="269" spans="1:41" ht="15.75" customHeight="1" x14ac:dyDescent="0.2">
      <c r="A269" s="65" t="s">
        <v>149</v>
      </c>
      <c r="B269" s="243">
        <f>('Pivot Table for Data Exchange'!$K$330)*100</f>
        <v>0</v>
      </c>
      <c r="C269" s="243">
        <f>('Pivot Table for Data Exchange'!$K$333)*100</f>
        <v>0</v>
      </c>
      <c r="D269" s="249">
        <f t="shared" si="64"/>
        <v>0</v>
      </c>
      <c r="E269" s="243">
        <f>('Pivot Table for Data Exchange'!$K$336)*100</f>
        <v>0</v>
      </c>
      <c r="F269" s="243">
        <f>('Pivot Table for Data Exchange'!$K$339)*100</f>
        <v>0</v>
      </c>
      <c r="G269" s="245">
        <f>('Pivot Table for Data Exchange'!$K$342)*100</f>
        <v>0</v>
      </c>
      <c r="H269" s="243">
        <f>('Pivot Table for Data Exchange'!$K$345)*100</f>
        <v>0</v>
      </c>
      <c r="I269" s="65"/>
      <c r="J269" s="81"/>
      <c r="K269" s="81"/>
      <c r="L269" s="81"/>
      <c r="M269" s="81"/>
      <c r="N269" s="81"/>
      <c r="O269" s="81"/>
      <c r="P269" s="81"/>
      <c r="Q269" s="97">
        <f t="shared" si="65"/>
        <v>0</v>
      </c>
      <c r="R269" s="97"/>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row>
    <row r="270" spans="1:41" ht="15.75" customHeight="1" x14ac:dyDescent="0.2">
      <c r="A270" s="65" t="s">
        <v>150</v>
      </c>
      <c r="B270" s="243">
        <f>('Pivot Table for Data Exchange'!$K$366)*100</f>
        <v>70.503485845355229</v>
      </c>
      <c r="C270" s="243">
        <f>('Pivot Table for Data Exchange'!$K$369)*100</f>
        <v>5.7591899559364998</v>
      </c>
      <c r="D270" s="249">
        <f t="shared" si="64"/>
        <v>23.709784511378043</v>
      </c>
      <c r="E270" s="243">
        <f>('Pivot Table for Data Exchange'!$K$372)*100</f>
        <v>21.759371038812098</v>
      </c>
      <c r="F270" s="243">
        <f>('Pivot Table for Data Exchange'!$K$375)*100</f>
        <v>1.9504134725659446</v>
      </c>
      <c r="G270" s="245">
        <f>('Pivot Table for Data Exchange'!$K$378)*100</f>
        <v>0</v>
      </c>
      <c r="H270" s="67">
        <f>('Pivot Table for Data Exchange'!$K$381)*100</f>
        <v>2.7539687330234805E-2</v>
      </c>
      <c r="I270" s="65"/>
      <c r="J270" s="81"/>
      <c r="K270" s="81"/>
      <c r="L270" s="81"/>
      <c r="M270" s="81"/>
      <c r="N270" s="81"/>
      <c r="O270" s="81"/>
      <c r="P270" s="81"/>
      <c r="Q270" s="97">
        <f t="shared" si="65"/>
        <v>100.00000000000001</v>
      </c>
      <c r="R270" s="97"/>
      <c r="S270" s="63"/>
      <c r="T270" s="74"/>
      <c r="U270" s="63"/>
      <c r="V270" s="63"/>
      <c r="W270" s="63"/>
      <c r="X270" s="63"/>
      <c r="Y270" s="63"/>
      <c r="Z270" s="63"/>
      <c r="AA270" s="63"/>
      <c r="AB270" s="63"/>
      <c r="AC270" s="63"/>
      <c r="AD270" s="63"/>
      <c r="AE270" s="63"/>
      <c r="AF270" s="63"/>
      <c r="AG270" s="63"/>
      <c r="AH270" s="63"/>
      <c r="AI270" s="63"/>
      <c r="AJ270" s="63"/>
      <c r="AK270" s="63"/>
      <c r="AL270" s="63"/>
      <c r="AM270" s="63"/>
      <c r="AN270" s="63"/>
      <c r="AO270" s="63"/>
    </row>
    <row r="271" spans="1:41" ht="15.75" customHeight="1" x14ac:dyDescent="0.2">
      <c r="A271" s="65" t="s">
        <v>151</v>
      </c>
      <c r="B271" s="243">
        <f>('Pivot Table for Data Exchange'!$K$402)*100</f>
        <v>0</v>
      </c>
      <c r="C271" s="243">
        <f>('Pivot Table for Data Exchange'!$K$405)*100</f>
        <v>0</v>
      </c>
      <c r="D271" s="249">
        <f>SUM(E271:G271)</f>
        <v>0</v>
      </c>
      <c r="E271" s="243">
        <f>('Pivot Table for Data Exchange'!$K$408)*100</f>
        <v>0</v>
      </c>
      <c r="F271" s="243">
        <f>('Pivot Table for Data Exchange'!$K$411)*100</f>
        <v>0</v>
      </c>
      <c r="G271" s="245">
        <f>('Pivot Table for Data Exchange'!$K$414)*100</f>
        <v>0</v>
      </c>
      <c r="H271" s="243">
        <f>('Pivot Table for Data Exchange'!$K$417)*100</f>
        <v>0</v>
      </c>
      <c r="I271" s="65"/>
      <c r="J271" s="81"/>
      <c r="K271" s="81"/>
      <c r="L271" s="81"/>
      <c r="M271" s="81"/>
      <c r="N271" s="81"/>
      <c r="O271" s="81"/>
      <c r="P271" s="81"/>
      <c r="Q271" s="97">
        <f t="shared" si="65"/>
        <v>0</v>
      </c>
      <c r="R271" s="97"/>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row>
    <row r="272" spans="1:41" ht="15.75" customHeight="1" x14ac:dyDescent="0.2">
      <c r="A272" s="65"/>
      <c r="B272" s="243"/>
      <c r="C272" s="243"/>
      <c r="D272" s="249"/>
      <c r="E272" s="243"/>
      <c r="F272" s="243"/>
      <c r="G272" s="245"/>
      <c r="H272" s="243"/>
      <c r="I272" s="65"/>
      <c r="J272" s="81"/>
      <c r="K272" s="81"/>
      <c r="L272" s="81"/>
      <c r="M272" s="81"/>
      <c r="N272" s="81"/>
      <c r="O272" s="81"/>
      <c r="P272" s="81"/>
      <c r="Q272" s="97">
        <f t="shared" si="65"/>
        <v>0</v>
      </c>
      <c r="R272" s="97"/>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row>
    <row r="273" spans="1:41" ht="15.75" customHeight="1" x14ac:dyDescent="0.2">
      <c r="A273" s="65" t="s">
        <v>152</v>
      </c>
      <c r="B273" s="243">
        <f>('Pivot Table for Data Exchange'!$K$438)*100</f>
        <v>0</v>
      </c>
      <c r="C273" s="243">
        <f>('Pivot Table for Data Exchange'!$K$441)*100</f>
        <v>0</v>
      </c>
      <c r="D273" s="249">
        <f>SUM(E273:G273)</f>
        <v>0</v>
      </c>
      <c r="E273" s="243">
        <f>('Pivot Table for Data Exchange'!$K$444)*100</f>
        <v>0</v>
      </c>
      <c r="F273" s="243">
        <f>('Pivot Table for Data Exchange'!$K$447)*100</f>
        <v>0</v>
      </c>
      <c r="G273" s="245">
        <f>('Pivot Table for Data Exchange'!$K$450)*100</f>
        <v>0</v>
      </c>
      <c r="H273" s="243">
        <f>('Pivot Table for Data Exchange'!$K$453)*100</f>
        <v>0</v>
      </c>
      <c r="I273" s="65"/>
      <c r="J273" s="81"/>
      <c r="K273" s="81"/>
      <c r="L273" s="81"/>
      <c r="M273" s="81"/>
      <c r="N273" s="81"/>
      <c r="O273" s="81"/>
      <c r="P273" s="81"/>
      <c r="Q273" s="97">
        <f t="shared" si="65"/>
        <v>0</v>
      </c>
      <c r="R273" s="97"/>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row>
    <row r="274" spans="1:41" ht="15.75" customHeight="1" x14ac:dyDescent="0.2">
      <c r="A274" s="65" t="s">
        <v>153</v>
      </c>
      <c r="B274" s="243">
        <f>('Pivot Table for Data Exchange'!$K$474)*100</f>
        <v>79.60020368800312</v>
      </c>
      <c r="C274" s="243">
        <f>('Pivot Table for Data Exchange'!$K$477)*100</f>
        <v>1.0819948400775681</v>
      </c>
      <c r="D274" s="249">
        <f>SUM(E274:G274)</f>
        <v>19.317801471919314</v>
      </c>
      <c r="E274" s="243">
        <f>('Pivot Table for Data Exchange'!$K$480)*100</f>
        <v>19.166207587247879</v>
      </c>
      <c r="F274" s="243">
        <f>('Pivot Table for Data Exchange'!$K$483)*100</f>
        <v>0.14182623746322481</v>
      </c>
      <c r="G274" s="68">
        <f>('Pivot Table for Data Exchange'!$K$486)*100</f>
        <v>9.7676472082110759E-3</v>
      </c>
      <c r="H274" s="243">
        <f>('Pivot Table for Data Exchange'!$K$489)*100</f>
        <v>0</v>
      </c>
      <c r="I274" s="65"/>
      <c r="J274" s="81"/>
      <c r="K274" s="81"/>
      <c r="L274" s="81"/>
      <c r="M274" s="81"/>
      <c r="N274" s="81"/>
      <c r="O274" s="81"/>
      <c r="P274" s="81"/>
      <c r="Q274" s="97">
        <f t="shared" si="65"/>
        <v>100</v>
      </c>
      <c r="R274" s="97"/>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row>
    <row r="275" spans="1:41" ht="15.75" customHeight="1" x14ac:dyDescent="0.2">
      <c r="A275" s="65" t="s">
        <v>154</v>
      </c>
      <c r="B275" s="243">
        <f>('Pivot Table for Data Exchange'!$K$510)*100</f>
        <v>0</v>
      </c>
      <c r="C275" s="243">
        <f>('Pivot Table for Data Exchange'!$K$513)*100</f>
        <v>0</v>
      </c>
      <c r="D275" s="249">
        <f t="shared" ref="D275" si="66">SUM(E275:G275)</f>
        <v>0</v>
      </c>
      <c r="E275" s="243">
        <f>('Pivot Table for Data Exchange'!$K$516)*100</f>
        <v>0</v>
      </c>
      <c r="F275" s="243">
        <f>('Pivot Table for Data Exchange'!$K$519)*100</f>
        <v>0</v>
      </c>
      <c r="G275" s="245">
        <f>('Pivot Table for Data Exchange'!$K$522)*100</f>
        <v>0</v>
      </c>
      <c r="H275" s="243">
        <f>('Pivot Table for Data Exchange'!$K$525)*100</f>
        <v>0</v>
      </c>
      <c r="I275" s="65"/>
      <c r="J275" s="81"/>
      <c r="K275" s="81"/>
      <c r="L275" s="81"/>
      <c r="M275" s="81"/>
      <c r="N275" s="81"/>
      <c r="O275" s="81"/>
      <c r="P275" s="81"/>
      <c r="Q275" s="97">
        <f t="shared" si="65"/>
        <v>0</v>
      </c>
      <c r="R275" s="97"/>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row>
    <row r="276" spans="1:41" ht="15.75" customHeight="1" x14ac:dyDescent="0.2">
      <c r="A276" s="39" t="s">
        <v>155</v>
      </c>
      <c r="B276" s="246">
        <f>('Pivot Table for Data Exchange'!$K$546)*100</f>
        <v>66.072991128522006</v>
      </c>
      <c r="C276" s="246">
        <f>('Pivot Table for Data Exchange'!$K$549)*100</f>
        <v>12.799025349003138</v>
      </c>
      <c r="D276" s="250">
        <f>SUM(E276:G276)</f>
        <v>21.12798352247486</v>
      </c>
      <c r="E276" s="246">
        <f>('Pivot Table for Data Exchange'!$K$552)*100</f>
        <v>20.351897473176905</v>
      </c>
      <c r="F276" s="246">
        <f>('Pivot Table for Data Exchange'!$K$555)*100</f>
        <v>0</v>
      </c>
      <c r="G276" s="247">
        <f>('Pivot Table for Data Exchange'!$K$558)*100</f>
        <v>0.77608604929795511</v>
      </c>
      <c r="H276" s="246">
        <f>('Pivot Table for Data Exchange'!$K$561)*100</f>
        <v>0</v>
      </c>
      <c r="I276" s="65"/>
      <c r="J276" s="81"/>
      <c r="K276" s="81"/>
      <c r="L276" s="81"/>
      <c r="M276" s="81"/>
      <c r="N276" s="81"/>
      <c r="O276" s="81"/>
      <c r="P276" s="81"/>
      <c r="Q276" s="97">
        <f t="shared" si="65"/>
        <v>100</v>
      </c>
      <c r="R276" s="97"/>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row>
    <row r="277" spans="1:41" s="25" customFormat="1" ht="18" customHeight="1" x14ac:dyDescent="0.2">
      <c r="A277" s="24" t="s">
        <v>175</v>
      </c>
      <c r="B277" s="69"/>
      <c r="C277" s="69"/>
      <c r="D277" s="70"/>
      <c r="E277" s="69"/>
      <c r="F277" s="70"/>
      <c r="G277" s="70"/>
      <c r="H277" s="69"/>
      <c r="I277" s="24"/>
      <c r="J277" s="69"/>
      <c r="K277" s="69"/>
      <c r="L277" s="70"/>
      <c r="M277" s="69"/>
      <c r="N277" s="70"/>
      <c r="O277" s="70"/>
      <c r="P277" s="69"/>
      <c r="Q277" s="97">
        <f t="shared" si="65"/>
        <v>0</v>
      </c>
      <c r="R277" s="10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row>
    <row r="278" spans="1:41" s="25" customFormat="1" ht="27" customHeight="1" x14ac:dyDescent="0.25">
      <c r="A278" s="680" t="s">
        <v>180</v>
      </c>
      <c r="B278" s="686"/>
      <c r="C278" s="686"/>
      <c r="D278" s="686"/>
      <c r="E278" s="686"/>
      <c r="F278" s="686"/>
      <c r="G278" s="686"/>
      <c r="H278" s="686"/>
      <c r="I278" s="24"/>
      <c r="P278" s="77"/>
      <c r="Q278" s="97">
        <f t="shared" si="65"/>
        <v>0</v>
      </c>
      <c r="R278" s="106"/>
    </row>
    <row r="279" spans="1:41" s="25" customFormat="1" ht="13.5" customHeight="1" x14ac:dyDescent="0.2">
      <c r="H279" s="26"/>
      <c r="I279" s="75"/>
      <c r="Q279" s="97">
        <f t="shared" si="65"/>
        <v>0</v>
      </c>
      <c r="R279" s="106"/>
    </row>
    <row r="280" spans="1:41" s="25" customFormat="1" x14ac:dyDescent="0.2">
      <c r="A280" s="26"/>
      <c r="B280" s="69"/>
      <c r="C280" s="69"/>
      <c r="D280" s="70"/>
      <c r="E280" s="69"/>
      <c r="F280" s="70"/>
      <c r="G280" s="70"/>
      <c r="H280" s="27" t="s">
        <v>914</v>
      </c>
      <c r="I280" s="85"/>
      <c r="J280" s="26"/>
      <c r="K280" s="26"/>
      <c r="L280" s="26"/>
      <c r="M280" s="26"/>
      <c r="N280" s="26"/>
      <c r="O280" s="26"/>
      <c r="P280" s="26"/>
      <c r="Q280" s="97">
        <f t="shared" si="65"/>
        <v>0</v>
      </c>
      <c r="R280" s="106"/>
    </row>
    <row r="281" spans="1:41" ht="18" x14ac:dyDescent="0.25">
      <c r="A281" s="16" t="s">
        <v>210</v>
      </c>
      <c r="B281" s="34"/>
      <c r="C281" s="34"/>
      <c r="D281" s="34"/>
      <c r="E281" s="34"/>
      <c r="F281" s="34"/>
      <c r="G281" s="34"/>
      <c r="H281" s="35"/>
      <c r="I281" s="80"/>
      <c r="J281" s="65"/>
      <c r="K281" s="65"/>
      <c r="L281" s="65"/>
      <c r="M281" s="65"/>
      <c r="N281" s="65"/>
      <c r="O281" s="65"/>
      <c r="P281" s="65"/>
      <c r="Q281" s="97">
        <f t="shared" si="65"/>
        <v>0</v>
      </c>
    </row>
    <row r="282" spans="1:41" x14ac:dyDescent="0.2">
      <c r="A282" s="18"/>
      <c r="B282" s="19"/>
      <c r="C282" s="19"/>
      <c r="D282" s="19"/>
      <c r="E282" s="19"/>
      <c r="F282" s="19"/>
      <c r="G282" s="19"/>
      <c r="H282" s="36"/>
      <c r="I282" s="80"/>
      <c r="J282" s="65"/>
      <c r="K282" s="65"/>
      <c r="L282" s="65"/>
      <c r="M282" s="65"/>
      <c r="N282" s="65"/>
      <c r="O282" s="65"/>
      <c r="P282" s="65"/>
      <c r="Q282" s="97">
        <f t="shared" si="65"/>
        <v>0</v>
      </c>
    </row>
    <row r="283" spans="1:41" ht="15.75" x14ac:dyDescent="0.25">
      <c r="A283" s="37" t="s">
        <v>162</v>
      </c>
      <c r="B283" s="19"/>
      <c r="C283" s="19"/>
      <c r="D283" s="19"/>
      <c r="E283" s="19"/>
      <c r="F283" s="19"/>
      <c r="G283" s="19"/>
      <c r="H283" s="36"/>
      <c r="I283" s="80"/>
      <c r="J283" s="65"/>
      <c r="K283" s="65"/>
      <c r="L283" s="65"/>
      <c r="M283" s="65"/>
      <c r="N283" s="65"/>
      <c r="O283" s="65"/>
      <c r="P283" s="65"/>
      <c r="Q283" s="97">
        <f t="shared" si="65"/>
        <v>0</v>
      </c>
    </row>
    <row r="284" spans="1:41" ht="15.75" x14ac:dyDescent="0.25">
      <c r="A284" s="37" t="s">
        <v>249</v>
      </c>
      <c r="B284" s="19"/>
      <c r="C284" s="19"/>
      <c r="D284" s="19"/>
      <c r="E284" s="19"/>
      <c r="F284" s="19"/>
      <c r="G284" s="19"/>
      <c r="H284" s="36"/>
      <c r="I284" s="80"/>
      <c r="J284" s="65"/>
      <c r="K284" s="65"/>
      <c r="L284" s="65"/>
      <c r="M284" s="65"/>
      <c r="N284" s="65"/>
      <c r="O284" s="65"/>
      <c r="P284" s="65"/>
      <c r="Q284" s="97">
        <f t="shared" si="65"/>
        <v>0</v>
      </c>
    </row>
    <row r="285" spans="1:41" x14ac:dyDescent="0.2">
      <c r="A285" s="39"/>
      <c r="B285" s="40"/>
      <c r="C285" s="40"/>
      <c r="D285" s="40"/>
      <c r="E285" s="40"/>
      <c r="F285" s="40"/>
      <c r="G285" s="40"/>
      <c r="H285" s="40"/>
      <c r="I285" s="80"/>
      <c r="J285" s="65"/>
      <c r="K285" s="65"/>
      <c r="L285" s="65"/>
      <c r="M285" s="65"/>
      <c r="N285" s="65"/>
      <c r="O285" s="65"/>
      <c r="P285" s="65"/>
      <c r="Q285" s="97">
        <f t="shared" si="65"/>
        <v>0</v>
      </c>
    </row>
    <row r="286" spans="1:41" x14ac:dyDescent="0.2">
      <c r="A286" s="43"/>
      <c r="B286" s="44" t="s">
        <v>164</v>
      </c>
      <c r="C286" s="44"/>
      <c r="D286" s="44"/>
      <c r="E286" s="44"/>
      <c r="F286" s="44"/>
      <c r="G286" s="44"/>
      <c r="H286" s="45"/>
      <c r="I286" s="80"/>
      <c r="J286" s="65"/>
      <c r="K286" s="65"/>
      <c r="L286" s="65"/>
      <c r="M286" s="65"/>
      <c r="N286" s="65"/>
      <c r="O286" s="65"/>
      <c r="P286" s="65"/>
      <c r="Q286" s="97">
        <f t="shared" si="65"/>
        <v>0</v>
      </c>
    </row>
    <row r="287" spans="1:41" x14ac:dyDescent="0.2">
      <c r="A287" s="43"/>
      <c r="B287" s="44" t="s">
        <v>165</v>
      </c>
      <c r="C287" s="44"/>
      <c r="D287" s="670" t="s">
        <v>166</v>
      </c>
      <c r="E287" s="668"/>
      <c r="F287" s="668"/>
      <c r="G287" s="668"/>
      <c r="H287" s="49" t="s">
        <v>39</v>
      </c>
      <c r="I287" s="80"/>
      <c r="J287" s="65"/>
      <c r="K287" s="65"/>
      <c r="L287" s="65"/>
      <c r="M287" s="65"/>
      <c r="N287" s="65"/>
      <c r="O287" s="65"/>
      <c r="P287" s="65"/>
      <c r="Q287" s="97">
        <f t="shared" si="65"/>
        <v>0</v>
      </c>
    </row>
    <row r="288" spans="1:41" ht="36" x14ac:dyDescent="0.2">
      <c r="A288" s="43"/>
      <c r="B288" s="50" t="s">
        <v>167</v>
      </c>
      <c r="C288" s="51" t="s">
        <v>168</v>
      </c>
      <c r="D288" s="52" t="s">
        <v>169</v>
      </c>
      <c r="E288" s="53" t="s">
        <v>7</v>
      </c>
      <c r="F288" s="50" t="s">
        <v>170</v>
      </c>
      <c r="G288" s="54" t="s">
        <v>171</v>
      </c>
      <c r="H288" s="55" t="s">
        <v>172</v>
      </c>
      <c r="I288" s="80"/>
      <c r="J288" s="65"/>
      <c r="K288" s="65"/>
      <c r="L288" s="65"/>
      <c r="M288" s="65"/>
      <c r="N288" s="65"/>
      <c r="O288" s="65"/>
      <c r="P288" s="65"/>
      <c r="Q288" s="97">
        <f t="shared" si="65"/>
        <v>0</v>
      </c>
    </row>
    <row r="289" spans="1:41" ht="15.75" customHeight="1" x14ac:dyDescent="0.2">
      <c r="A289" s="62" t="s">
        <v>141</v>
      </c>
      <c r="B289" s="243">
        <f>('Pivot Table for Data Exchange'!$L$6)*100</f>
        <v>64.651501764579621</v>
      </c>
      <c r="C289" s="243">
        <f>('Pivot Table for Data Exchange'!$L$9)*100</f>
        <v>14.994808591780604</v>
      </c>
      <c r="D289" s="249">
        <f>SUM(E289:G289)</f>
        <v>20.353689643639775</v>
      </c>
      <c r="E289" s="243">
        <f>('Pivot Table for Data Exchange'!$L$12)*100</f>
        <v>17.339553039719267</v>
      </c>
      <c r="F289" s="243">
        <f>('Pivot Table for Data Exchange'!$L$15)*100</f>
        <v>0.21015219811212443</v>
      </c>
      <c r="G289" s="60">
        <f>('Pivot Table for Data Exchange'!$L$18)*100</f>
        <v>2.8039844058083871</v>
      </c>
      <c r="H289" s="243">
        <f>('Pivot Table for Data Exchange'!$L$21)*100</f>
        <v>0</v>
      </c>
      <c r="I289" s="65"/>
      <c r="J289" s="81"/>
      <c r="K289" s="81"/>
      <c r="L289" s="81"/>
      <c r="M289" s="81"/>
      <c r="N289" s="81"/>
      <c r="O289" s="81"/>
      <c r="P289" s="81"/>
      <c r="Q289" s="97">
        <f t="shared" si="65"/>
        <v>100</v>
      </c>
      <c r="R289" s="97"/>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row>
    <row r="290" spans="1:41" ht="15.75" customHeight="1" x14ac:dyDescent="0.2">
      <c r="A290" s="65" t="s">
        <v>142</v>
      </c>
      <c r="B290" s="243">
        <f>('Pivot Table for Data Exchange'!$L$42)*100</f>
        <v>67.070803040317244</v>
      </c>
      <c r="C290" s="243">
        <f>('Pivot Table for Data Exchange'!$L$45)*100</f>
        <v>5.0788995373430268</v>
      </c>
      <c r="D290" s="249">
        <f t="shared" ref="D290:D292" si="67">SUM(E290:G290)</f>
        <v>27.850297422339722</v>
      </c>
      <c r="E290" s="243">
        <f>('Pivot Table for Data Exchange'!$L$48)*100</f>
        <v>27.825512227362854</v>
      </c>
      <c r="F290" s="67">
        <f>('Pivot Table for Data Exchange'!$L$51)*100</f>
        <v>2.4785194976867153E-2</v>
      </c>
      <c r="G290" s="245">
        <f>('Pivot Table for Data Exchange'!$L$54)*100</f>
        <v>0</v>
      </c>
      <c r="H290" s="243">
        <f>('Pivot Table for Data Exchange'!$L$57)*100</f>
        <v>0</v>
      </c>
      <c r="I290" s="65"/>
      <c r="J290" s="81"/>
      <c r="K290" s="81"/>
      <c r="L290" s="81"/>
      <c r="M290" s="81"/>
      <c r="N290" s="81"/>
      <c r="O290" s="81"/>
      <c r="P290" s="81"/>
      <c r="Q290" s="97">
        <f t="shared" si="65"/>
        <v>99.999999999999986</v>
      </c>
      <c r="R290" s="97"/>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row>
    <row r="291" spans="1:41" ht="15.75" customHeight="1" x14ac:dyDescent="0.2">
      <c r="A291" s="65" t="s">
        <v>143</v>
      </c>
      <c r="B291" s="243">
        <f>('Pivot Table for Data Exchange'!$L$78)*100</f>
        <v>86.705081393579803</v>
      </c>
      <c r="C291" s="243">
        <f>('Pivot Table for Data Exchange'!$L$81)*100</f>
        <v>0</v>
      </c>
      <c r="D291" s="249">
        <f t="shared" si="67"/>
        <v>13.294918606420204</v>
      </c>
      <c r="E291" s="243">
        <f>('Pivot Table for Data Exchange'!$L$84)*100</f>
        <v>8.5894315127541958</v>
      </c>
      <c r="F291" s="243">
        <f>('Pivot Table for Data Exchange'!$L$87)*100</f>
        <v>0.17495816217860946</v>
      </c>
      <c r="G291" s="245">
        <f>('Pivot Table for Data Exchange'!$L$90)*100</f>
        <v>4.5305289314873978</v>
      </c>
      <c r="H291" s="243">
        <f>('Pivot Table for Data Exchange'!$L$93)*100</f>
        <v>0</v>
      </c>
      <c r="I291" s="65"/>
      <c r="J291" s="81"/>
      <c r="K291" s="81"/>
      <c r="L291" s="81"/>
      <c r="M291" s="81"/>
      <c r="N291" s="81"/>
      <c r="O291" s="81"/>
      <c r="P291" s="81"/>
      <c r="Q291" s="97">
        <f t="shared" si="65"/>
        <v>100</v>
      </c>
      <c r="R291" s="97"/>
      <c r="S291" s="63"/>
      <c r="T291" s="74"/>
      <c r="U291" s="63"/>
      <c r="V291" s="63"/>
      <c r="W291" s="63"/>
      <c r="X291" s="63"/>
      <c r="Y291" s="63"/>
      <c r="Z291" s="63"/>
      <c r="AA291" s="63"/>
      <c r="AB291" s="63"/>
      <c r="AC291" s="63"/>
      <c r="AD291" s="63"/>
      <c r="AE291" s="63"/>
      <c r="AF291" s="63"/>
      <c r="AG291" s="63"/>
      <c r="AH291" s="63"/>
      <c r="AI291" s="63"/>
      <c r="AJ291" s="63"/>
      <c r="AK291" s="63"/>
      <c r="AL291" s="63"/>
      <c r="AM291" s="63"/>
      <c r="AN291" s="63"/>
      <c r="AO291" s="63"/>
    </row>
    <row r="292" spans="1:41" ht="15.75" customHeight="1" x14ac:dyDescent="0.2">
      <c r="A292" s="65" t="s">
        <v>174</v>
      </c>
      <c r="B292" s="243">
        <f>('Pivot Table for Data Exchange'!$L$114)*100</f>
        <v>71.075768652302457</v>
      </c>
      <c r="C292" s="243">
        <f>('Pivot Table for Data Exchange'!$L$117)*100</f>
        <v>2.453188738538187</v>
      </c>
      <c r="D292" s="249">
        <f t="shared" si="67"/>
        <v>26.446370263001597</v>
      </c>
      <c r="E292" s="243">
        <f>('Pivot Table for Data Exchange'!$L$120)*100</f>
        <v>16.128542397419064</v>
      </c>
      <c r="F292" s="243">
        <f>('Pivot Table for Data Exchange'!$L$123)*100</f>
        <v>7.7120809098642218E-2</v>
      </c>
      <c r="G292" s="245">
        <f>('Pivot Table for Data Exchange'!$L$126)*100</f>
        <v>10.240707056483892</v>
      </c>
      <c r="H292" s="67">
        <f>('Pivot Table for Data Exchange'!$L$129)*100</f>
        <v>2.4672346157751157E-2</v>
      </c>
      <c r="I292" s="65"/>
      <c r="J292" s="81"/>
      <c r="K292" s="81"/>
      <c r="L292" s="81"/>
      <c r="M292" s="81"/>
      <c r="N292" s="81"/>
      <c r="O292" s="81"/>
      <c r="P292" s="81"/>
      <c r="Q292" s="97">
        <f t="shared" si="65"/>
        <v>100</v>
      </c>
      <c r="R292" s="97"/>
      <c r="S292" s="63"/>
      <c r="U292" s="63"/>
      <c r="V292" s="63"/>
      <c r="W292" s="63"/>
      <c r="X292" s="63"/>
      <c r="Y292" s="63"/>
      <c r="Z292" s="63"/>
      <c r="AA292" s="63"/>
      <c r="AB292" s="63"/>
      <c r="AC292" s="63"/>
      <c r="AD292" s="63"/>
      <c r="AE292" s="63"/>
      <c r="AF292" s="63"/>
      <c r="AG292" s="63"/>
      <c r="AH292" s="63"/>
      <c r="AI292" s="63"/>
      <c r="AJ292" s="63"/>
      <c r="AK292" s="63"/>
      <c r="AL292" s="63"/>
      <c r="AM292" s="63"/>
      <c r="AN292" s="63"/>
      <c r="AO292" s="63"/>
    </row>
    <row r="293" spans="1:41" ht="15.75" customHeight="1" x14ac:dyDescent="0.2">
      <c r="A293" s="65"/>
      <c r="B293" s="243"/>
      <c r="C293" s="243"/>
      <c r="D293" s="249"/>
      <c r="E293" s="243"/>
      <c r="F293" s="243"/>
      <c r="G293" s="245"/>
      <c r="H293" s="243"/>
      <c r="I293" s="65"/>
      <c r="J293" s="81"/>
      <c r="K293" s="81"/>
      <c r="L293" s="81"/>
      <c r="M293" s="81"/>
      <c r="N293" s="81"/>
      <c r="O293" s="81"/>
      <c r="P293" s="81"/>
      <c r="Q293" s="97">
        <f t="shared" si="65"/>
        <v>0</v>
      </c>
      <c r="R293" s="97"/>
      <c r="S293" s="63"/>
      <c r="U293" s="63"/>
      <c r="V293" s="63"/>
      <c r="W293" s="63"/>
      <c r="X293" s="63"/>
      <c r="Y293" s="63"/>
      <c r="Z293" s="63"/>
      <c r="AA293" s="63"/>
      <c r="AB293" s="63"/>
      <c r="AC293" s="63"/>
      <c r="AD293" s="63"/>
      <c r="AE293" s="63"/>
      <c r="AF293" s="63"/>
      <c r="AG293" s="63"/>
      <c r="AH293" s="63"/>
      <c r="AI293" s="63"/>
      <c r="AJ293" s="63"/>
      <c r="AK293" s="63"/>
      <c r="AL293" s="63"/>
      <c r="AM293" s="63"/>
      <c r="AN293" s="63"/>
      <c r="AO293" s="63"/>
    </row>
    <row r="294" spans="1:41" ht="15.75" customHeight="1" x14ac:dyDescent="0.2">
      <c r="A294" s="65" t="s">
        <v>145</v>
      </c>
      <c r="B294" s="243">
        <f>('Pivot Table for Data Exchange'!$L$150)*100</f>
        <v>0</v>
      </c>
      <c r="C294" s="243">
        <f>('Pivot Table for Data Exchange'!$L$153)*100</f>
        <v>0</v>
      </c>
      <c r="D294" s="249">
        <f t="shared" ref="D294:D297" si="68">SUM(E294:G294)</f>
        <v>0</v>
      </c>
      <c r="E294" s="243">
        <f>('Pivot Table for Data Exchange'!$L$156)*100</f>
        <v>0</v>
      </c>
      <c r="F294" s="243">
        <f>('Pivot Table for Data Exchange'!$L$159)*100</f>
        <v>0</v>
      </c>
      <c r="G294" s="245">
        <f>('Pivot Table for Data Exchange'!$L$162)*100</f>
        <v>0</v>
      </c>
      <c r="H294" s="243">
        <f>('Pivot Table for Data Exchange'!$L$165)*100</f>
        <v>0</v>
      </c>
      <c r="I294" s="65"/>
      <c r="J294" s="81"/>
      <c r="K294" s="81"/>
      <c r="L294" s="81"/>
      <c r="M294" s="81"/>
      <c r="N294" s="81"/>
      <c r="O294" s="81"/>
      <c r="P294" s="81"/>
      <c r="Q294" s="97">
        <f t="shared" si="65"/>
        <v>0</v>
      </c>
      <c r="R294" s="97"/>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row>
    <row r="295" spans="1:41" ht="15.75" customHeight="1" x14ac:dyDescent="0.2">
      <c r="A295" s="65" t="s">
        <v>146</v>
      </c>
      <c r="B295" s="243">
        <f>('Pivot Table for Data Exchange'!$L$186)*100</f>
        <v>68.217773773208705</v>
      </c>
      <c r="C295" s="243">
        <f>('Pivot Table for Data Exchange'!$L$189)*100</f>
        <v>7.7553546033848262</v>
      </c>
      <c r="D295" s="249">
        <f t="shared" si="68"/>
        <v>24.026871623406464</v>
      </c>
      <c r="E295" s="243">
        <f>('Pivot Table for Data Exchange'!$L$192)*100</f>
        <v>23.866387311788269</v>
      </c>
      <c r="F295" s="243">
        <f>('Pivot Table for Data Exchange'!$L$195)*100</f>
        <v>0.16048431161819571</v>
      </c>
      <c r="G295" s="245">
        <f>('Pivot Table for Data Exchange'!$L$198)*100</f>
        <v>0</v>
      </c>
      <c r="H295" s="243">
        <f>('Pivot Table for Data Exchange'!$L$201)*100</f>
        <v>0</v>
      </c>
      <c r="I295" s="65"/>
      <c r="J295" s="81"/>
      <c r="K295" s="81"/>
      <c r="L295" s="81"/>
      <c r="M295" s="81"/>
      <c r="N295" s="81"/>
      <c r="O295" s="81"/>
      <c r="P295" s="81"/>
      <c r="Q295" s="97">
        <f t="shared" si="65"/>
        <v>100</v>
      </c>
      <c r="R295" s="97"/>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row>
    <row r="296" spans="1:41" ht="15.75" customHeight="1" x14ac:dyDescent="0.2">
      <c r="A296" s="65" t="s">
        <v>147</v>
      </c>
      <c r="B296" s="243">
        <f>('Pivot Table for Data Exchange'!$L$222)*100</f>
        <v>0</v>
      </c>
      <c r="C296" s="243">
        <f>('Pivot Table for Data Exchange'!$L$225)*100</f>
        <v>0</v>
      </c>
      <c r="D296" s="249">
        <f t="shared" si="68"/>
        <v>0</v>
      </c>
      <c r="E296" s="243">
        <f>('Pivot Table for Data Exchange'!$L$228)*100</f>
        <v>0</v>
      </c>
      <c r="F296" s="243">
        <f>('Pivot Table for Data Exchange'!$L$231)*100</f>
        <v>0</v>
      </c>
      <c r="G296" s="245">
        <f>('Pivot Table for Data Exchange'!$L$234)*100</f>
        <v>0</v>
      </c>
      <c r="H296" s="243">
        <f>('Pivot Table for Data Exchange'!$L$237)*100</f>
        <v>0</v>
      </c>
      <c r="I296" s="65"/>
      <c r="J296" s="81"/>
      <c r="K296" s="81"/>
      <c r="L296" s="81"/>
      <c r="M296" s="81"/>
      <c r="N296" s="81"/>
      <c r="O296" s="81"/>
      <c r="P296" s="81"/>
      <c r="Q296" s="97">
        <f t="shared" si="65"/>
        <v>0</v>
      </c>
      <c r="R296" s="97"/>
      <c r="S296" s="63"/>
      <c r="T296" s="74"/>
      <c r="U296" s="63"/>
      <c r="V296" s="63"/>
      <c r="W296" s="63"/>
      <c r="X296" s="63"/>
      <c r="Y296" s="63"/>
      <c r="Z296" s="63"/>
      <c r="AA296" s="63"/>
      <c r="AB296" s="63"/>
      <c r="AC296" s="63"/>
      <c r="AD296" s="63"/>
      <c r="AE296" s="63"/>
      <c r="AF296" s="63"/>
      <c r="AG296" s="63"/>
      <c r="AH296" s="63"/>
      <c r="AI296" s="63"/>
      <c r="AJ296" s="63"/>
      <c r="AK296" s="63"/>
      <c r="AL296" s="63"/>
      <c r="AM296" s="63"/>
      <c r="AN296" s="63"/>
      <c r="AO296" s="63"/>
    </row>
    <row r="297" spans="1:41" ht="15.75" customHeight="1" x14ac:dyDescent="0.2">
      <c r="A297" s="65" t="s">
        <v>177</v>
      </c>
      <c r="B297" s="243">
        <f>('Pivot Table for Data Exchange'!$L$258)*100</f>
        <v>77.085088798334795</v>
      </c>
      <c r="C297" s="243">
        <f>('Pivot Table for Data Exchange'!$L$261)*100</f>
        <v>8.5737919729752772</v>
      </c>
      <c r="D297" s="249">
        <f t="shared" si="68"/>
        <v>14.34111922868993</v>
      </c>
      <c r="E297" s="243">
        <f>('Pivot Table for Data Exchange'!$L$264)*100</f>
        <v>14.224875689928906</v>
      </c>
      <c r="F297" s="243">
        <f>('Pivot Table for Data Exchange'!$L$267)*100</f>
        <v>6.9755620277754629E-2</v>
      </c>
      <c r="G297" s="68">
        <f>('Pivot Table for Data Exchange'!$L$270)*100</f>
        <v>4.6487918483268741E-2</v>
      </c>
      <c r="H297" s="243">
        <f>('Pivot Table for Data Exchange'!$L$273)*100</f>
        <v>0</v>
      </c>
      <c r="I297" s="65"/>
      <c r="J297" s="81"/>
      <c r="K297" s="81"/>
      <c r="L297" s="81"/>
      <c r="M297" s="81"/>
      <c r="N297" s="81"/>
      <c r="O297" s="81"/>
      <c r="P297" s="81"/>
      <c r="Q297" s="97">
        <f t="shared" si="65"/>
        <v>100</v>
      </c>
      <c r="R297" s="97"/>
      <c r="S297" s="63"/>
      <c r="U297" s="63"/>
      <c r="V297" s="63"/>
      <c r="W297" s="63"/>
      <c r="X297" s="63"/>
      <c r="Y297" s="63"/>
      <c r="Z297" s="63"/>
      <c r="AA297" s="63"/>
      <c r="AB297" s="63"/>
      <c r="AC297" s="63"/>
      <c r="AD297" s="63"/>
      <c r="AE297" s="63"/>
      <c r="AF297" s="63"/>
      <c r="AG297" s="63"/>
      <c r="AH297" s="63"/>
      <c r="AI297" s="63"/>
      <c r="AJ297" s="63"/>
      <c r="AK297" s="63"/>
      <c r="AL297" s="63"/>
      <c r="AM297" s="63"/>
      <c r="AN297" s="63"/>
      <c r="AO297" s="63"/>
    </row>
    <row r="298" spans="1:41" ht="9.75" customHeight="1" x14ac:dyDescent="0.2">
      <c r="A298" s="65"/>
      <c r="B298" s="243"/>
      <c r="C298" s="243"/>
      <c r="D298" s="249"/>
      <c r="E298" s="243"/>
      <c r="F298" s="243"/>
      <c r="G298" s="245"/>
      <c r="H298" s="243"/>
      <c r="I298" s="65"/>
      <c r="J298" s="81"/>
      <c r="K298" s="81"/>
      <c r="L298" s="81"/>
      <c r="M298" s="81"/>
      <c r="N298" s="81"/>
      <c r="O298" s="81"/>
      <c r="P298" s="81"/>
      <c r="Q298" s="97">
        <f t="shared" si="65"/>
        <v>0</v>
      </c>
      <c r="R298" s="97"/>
      <c r="S298" s="63"/>
      <c r="U298" s="63"/>
      <c r="V298" s="63"/>
      <c r="W298" s="63"/>
      <c r="X298" s="63"/>
      <c r="Y298" s="63"/>
      <c r="Z298" s="63"/>
      <c r="AA298" s="63"/>
      <c r="AB298" s="63"/>
      <c r="AC298" s="63"/>
      <c r="AD298" s="63"/>
      <c r="AE298" s="63"/>
      <c r="AF298" s="63"/>
      <c r="AG298" s="63"/>
      <c r="AH298" s="63"/>
      <c r="AI298" s="63"/>
      <c r="AJ298" s="63"/>
      <c r="AK298" s="63"/>
      <c r="AL298" s="63"/>
      <c r="AM298" s="63"/>
      <c r="AN298" s="63"/>
      <c r="AO298" s="63"/>
    </row>
    <row r="299" spans="1:41" ht="15.75" customHeight="1" x14ac:dyDescent="0.2">
      <c r="A299" s="65" t="s">
        <v>179</v>
      </c>
      <c r="B299" s="243">
        <f>('Pivot Table for Data Exchange'!$L$294)*100</f>
        <v>78.568459219513258</v>
      </c>
      <c r="C299" s="243">
        <f>('Pivot Table for Data Exchange'!$L$297)*100</f>
        <v>0</v>
      </c>
      <c r="D299" s="249">
        <f t="shared" ref="D299:D301" si="69">SUM(E299:G299)</f>
        <v>21.431540780486745</v>
      </c>
      <c r="E299" s="243">
        <f>('Pivot Table for Data Exchange'!$L$300)*100</f>
        <v>21.431540780486745</v>
      </c>
      <c r="F299" s="243">
        <f>('Pivot Table for Data Exchange'!$L$303)*100</f>
        <v>0</v>
      </c>
      <c r="G299" s="245">
        <f>('Pivot Table for Data Exchange'!$L$306)*100</f>
        <v>0</v>
      </c>
      <c r="H299" s="243">
        <f>('Pivot Table for Data Exchange'!$L$309)*100</f>
        <v>0</v>
      </c>
      <c r="I299" s="86"/>
      <c r="J299" s="81"/>
      <c r="K299" s="81"/>
      <c r="L299" s="81"/>
      <c r="M299" s="81"/>
      <c r="N299" s="81"/>
      <c r="O299" s="81"/>
      <c r="P299" s="81"/>
      <c r="Q299" s="97">
        <f t="shared" si="65"/>
        <v>100</v>
      </c>
      <c r="R299" s="97"/>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row>
    <row r="300" spans="1:41" ht="15.75" customHeight="1" x14ac:dyDescent="0.2">
      <c r="A300" s="65" t="s">
        <v>149</v>
      </c>
      <c r="B300" s="243">
        <f>('Pivot Table for Data Exchange'!$L$330)*100</f>
        <v>69.491435591518893</v>
      </c>
      <c r="C300" s="243">
        <f>('Pivot Table for Data Exchange'!$L$333)*100</f>
        <v>1.4475602530441956</v>
      </c>
      <c r="D300" s="249">
        <f t="shared" si="69"/>
        <v>29.061004155436915</v>
      </c>
      <c r="E300" s="243">
        <f>('Pivot Table for Data Exchange'!$L$336)*100</f>
        <v>28.690629976260297</v>
      </c>
      <c r="F300" s="243">
        <f>('Pivot Table for Data Exchange'!$L$339)*100</f>
        <v>0.14270718052853865</v>
      </c>
      <c r="G300" s="245">
        <f>('Pivot Table for Data Exchange'!$L$342)*100</f>
        <v>0.22766699864807888</v>
      </c>
      <c r="H300" s="243">
        <f>('Pivot Table for Data Exchange'!$L$345)*100</f>
        <v>0</v>
      </c>
      <c r="I300" s="65"/>
      <c r="J300" s="81"/>
      <c r="K300" s="81"/>
      <c r="L300" s="81"/>
      <c r="M300" s="81"/>
      <c r="N300" s="81"/>
      <c r="O300" s="81"/>
      <c r="P300" s="81"/>
      <c r="Q300" s="97">
        <f t="shared" si="65"/>
        <v>100.00000000000001</v>
      </c>
      <c r="R300" s="97"/>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row>
    <row r="301" spans="1:41" ht="15.75" customHeight="1" x14ac:dyDescent="0.2">
      <c r="A301" s="65" t="s">
        <v>150</v>
      </c>
      <c r="B301" s="243">
        <f>('Pivot Table for Data Exchange'!$L$366)*100</f>
        <v>68.168706749266974</v>
      </c>
      <c r="C301" s="243">
        <f>('Pivot Table for Data Exchange'!$L$369)*100</f>
        <v>5.0636496707619383</v>
      </c>
      <c r="D301" s="249">
        <f t="shared" si="69"/>
        <v>26.7199459804859</v>
      </c>
      <c r="E301" s="243">
        <f>('Pivot Table for Data Exchange'!$L$372)*100</f>
        <v>19.492116867049454</v>
      </c>
      <c r="F301" s="67">
        <f>('Pivot Table for Data Exchange'!$L$375)*100</f>
        <v>1.9147017370536704E-2</v>
      </c>
      <c r="G301" s="245">
        <f>('Pivot Table for Data Exchange'!$L$378)*100</f>
        <v>7.2086820960659104</v>
      </c>
      <c r="H301" s="67">
        <f>('Pivot Table for Data Exchange'!$L$381)*100</f>
        <v>4.7697599485183151E-2</v>
      </c>
      <c r="I301" s="65"/>
      <c r="J301" s="81"/>
      <c r="K301" s="81"/>
      <c r="L301" s="81"/>
      <c r="M301" s="81"/>
      <c r="N301" s="81"/>
      <c r="O301" s="81"/>
      <c r="P301" s="81"/>
      <c r="Q301" s="97">
        <f t="shared" si="65"/>
        <v>100</v>
      </c>
      <c r="R301" s="97"/>
      <c r="S301" s="63"/>
      <c r="T301" s="74"/>
      <c r="U301" s="63"/>
      <c r="V301" s="63"/>
      <c r="W301" s="63"/>
      <c r="X301" s="63"/>
      <c r="Y301" s="63"/>
      <c r="Z301" s="63"/>
      <c r="AA301" s="63"/>
      <c r="AB301" s="63"/>
      <c r="AC301" s="63"/>
      <c r="AD301" s="63"/>
      <c r="AE301" s="63"/>
      <c r="AF301" s="63"/>
      <c r="AG301" s="63"/>
      <c r="AH301" s="63"/>
      <c r="AI301" s="63"/>
      <c r="AJ301" s="63"/>
      <c r="AK301" s="63"/>
      <c r="AL301" s="63"/>
      <c r="AM301" s="63"/>
      <c r="AN301" s="63"/>
      <c r="AO301" s="63"/>
    </row>
    <row r="302" spans="1:41" ht="15.75" customHeight="1" x14ac:dyDescent="0.2">
      <c r="A302" s="65" t="s">
        <v>151</v>
      </c>
      <c r="B302" s="243">
        <f>('Pivot Table for Data Exchange'!$L$402)*100</f>
        <v>75.340309623718284</v>
      </c>
      <c r="C302" s="243">
        <f>('Pivot Table for Data Exchange'!$L$405)*100</f>
        <v>4.628829392882591</v>
      </c>
      <c r="D302" s="249">
        <f>SUM(E302:G302)</f>
        <v>20.03086098339913</v>
      </c>
      <c r="E302" s="243">
        <f>('Pivot Table for Data Exchange'!$L$408)*100</f>
        <v>18.997548840444264</v>
      </c>
      <c r="F302" s="243">
        <f>('Pivot Table for Data Exchange'!$L$411)*100</f>
        <v>1.0333121429548664</v>
      </c>
      <c r="G302" s="245">
        <f>('Pivot Table for Data Exchange'!$L$414)*100</f>
        <v>0</v>
      </c>
      <c r="H302" s="243">
        <f>('Pivot Table for Data Exchange'!$L$417)*100</f>
        <v>0</v>
      </c>
      <c r="I302" s="65"/>
      <c r="J302" s="81"/>
      <c r="K302" s="81"/>
      <c r="L302" s="81"/>
      <c r="M302" s="81"/>
      <c r="N302" s="81"/>
      <c r="O302" s="81"/>
      <c r="P302" s="81"/>
      <c r="Q302" s="97">
        <f t="shared" si="65"/>
        <v>100</v>
      </c>
      <c r="R302" s="97"/>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row>
    <row r="303" spans="1:41" ht="11.25" customHeight="1" x14ac:dyDescent="0.2">
      <c r="A303" s="65"/>
      <c r="B303" s="243"/>
      <c r="C303" s="243"/>
      <c r="D303" s="249"/>
      <c r="E303" s="243"/>
      <c r="F303" s="243"/>
      <c r="G303" s="245"/>
      <c r="H303" s="243"/>
      <c r="I303" s="65"/>
      <c r="J303" s="81"/>
      <c r="K303" s="81"/>
      <c r="L303" s="81"/>
      <c r="M303" s="81"/>
      <c r="N303" s="81"/>
      <c r="O303" s="81"/>
      <c r="P303" s="81"/>
      <c r="Q303" s="97">
        <f t="shared" si="65"/>
        <v>0</v>
      </c>
      <c r="R303" s="97"/>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row>
    <row r="304" spans="1:41" ht="15.75" customHeight="1" x14ac:dyDescent="0.2">
      <c r="A304" s="65" t="s">
        <v>152</v>
      </c>
      <c r="B304" s="243">
        <f>('Pivot Table for Data Exchange'!$L$438)*100</f>
        <v>43.373632668624076</v>
      </c>
      <c r="C304" s="243">
        <f>('Pivot Table for Data Exchange'!$L$441)*100</f>
        <v>34.105786551387908</v>
      </c>
      <c r="D304" s="249">
        <f>SUM(E304:G304)</f>
        <v>22.370976834593453</v>
      </c>
      <c r="E304" s="243">
        <f>('Pivot Table for Data Exchange'!$L$444)*100</f>
        <v>16.710232900764989</v>
      </c>
      <c r="F304" s="243">
        <f>('Pivot Table for Data Exchange'!$L$447)*100</f>
        <v>0.30439488889586558</v>
      </c>
      <c r="G304" s="245">
        <f>('Pivot Table for Data Exchange'!$L$450)*100</f>
        <v>5.3563490449325988</v>
      </c>
      <c r="H304" s="243">
        <f>('Pivot Table for Data Exchange'!$L$453)*100</f>
        <v>0.14960394539455993</v>
      </c>
      <c r="I304" s="65"/>
      <c r="J304" s="81"/>
      <c r="K304" s="81"/>
      <c r="L304" s="81"/>
      <c r="M304" s="81"/>
      <c r="N304" s="81"/>
      <c r="O304" s="81"/>
      <c r="P304" s="81"/>
      <c r="Q304" s="97">
        <f t="shared" si="65"/>
        <v>99.999999999999986</v>
      </c>
      <c r="R304" s="97"/>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row>
    <row r="305" spans="1:41" ht="15.75" customHeight="1" x14ac:dyDescent="0.2">
      <c r="A305" s="65" t="s">
        <v>153</v>
      </c>
      <c r="B305" s="243">
        <f>('Pivot Table for Data Exchange'!$L$474)*100</f>
        <v>73.671171509986848</v>
      </c>
      <c r="C305" s="243">
        <f>('Pivot Table for Data Exchange'!$L$477)*100</f>
        <v>8.73976728803013</v>
      </c>
      <c r="D305" s="249">
        <f>SUM(E305:G305)</f>
        <v>17.589061201983021</v>
      </c>
      <c r="E305" s="243">
        <f>('Pivot Table for Data Exchange'!$L$480)*100</f>
        <v>16.988635358942506</v>
      </c>
      <c r="F305" s="243">
        <f>('Pivot Table for Data Exchange'!$L$483)*100</f>
        <v>5.7050615992699637E-2</v>
      </c>
      <c r="G305" s="245">
        <f>('Pivot Table for Data Exchange'!$L$486)*100</f>
        <v>0.54337522704781582</v>
      </c>
      <c r="H305" s="243">
        <f>('Pivot Table for Data Exchange'!$L$489)*100</f>
        <v>0</v>
      </c>
      <c r="I305" s="65"/>
      <c r="J305" s="81"/>
      <c r="K305" s="81"/>
      <c r="L305" s="81"/>
      <c r="M305" s="81"/>
      <c r="N305" s="81"/>
      <c r="O305" s="81"/>
      <c r="P305" s="81"/>
      <c r="Q305" s="97">
        <f t="shared" si="65"/>
        <v>100</v>
      </c>
      <c r="R305" s="97"/>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row>
    <row r="306" spans="1:41" ht="15.75" customHeight="1" x14ac:dyDescent="0.2">
      <c r="A306" s="65" t="s">
        <v>154</v>
      </c>
      <c r="B306" s="243">
        <f>('Pivot Table for Data Exchange'!$L$510)*100</f>
        <v>69.934961638374801</v>
      </c>
      <c r="C306" s="243">
        <f>('Pivot Table for Data Exchange'!$L$513)*100</f>
        <v>6.4030934727940592</v>
      </c>
      <c r="D306" s="249">
        <f t="shared" ref="D306" si="70">SUM(E306:G306)</f>
        <v>23.66194488883114</v>
      </c>
      <c r="E306" s="243">
        <f>('Pivot Table for Data Exchange'!$L$516)*100</f>
        <v>23.40844145239107</v>
      </c>
      <c r="F306" s="243">
        <f>('Pivot Table for Data Exchange'!$L$519)*100</f>
        <v>0.25350343644007006</v>
      </c>
      <c r="G306" s="245">
        <f>('Pivot Table for Data Exchange'!$L$522)*100</f>
        <v>0</v>
      </c>
      <c r="H306" s="243">
        <f>('Pivot Table for Data Exchange'!$L$525)*100</f>
        <v>0</v>
      </c>
      <c r="I306" s="65"/>
      <c r="J306" s="81"/>
      <c r="K306" s="81"/>
      <c r="L306" s="81"/>
      <c r="M306" s="81"/>
      <c r="N306" s="81"/>
      <c r="O306" s="81"/>
      <c r="P306" s="81"/>
      <c r="Q306" s="97">
        <f t="shared" si="65"/>
        <v>100</v>
      </c>
      <c r="R306" s="97"/>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row>
    <row r="307" spans="1:41" ht="15.75" customHeight="1" x14ac:dyDescent="0.2">
      <c r="A307" s="39" t="s">
        <v>155</v>
      </c>
      <c r="B307" s="246">
        <f>('Pivot Table for Data Exchange'!$L$546)*100</f>
        <v>0</v>
      </c>
      <c r="C307" s="246">
        <f>('Pivot Table for Data Exchange'!$L$549)*100</f>
        <v>0</v>
      </c>
      <c r="D307" s="250">
        <f>SUM(E307:G307)</f>
        <v>0</v>
      </c>
      <c r="E307" s="246">
        <f>('Pivot Table for Data Exchange'!$L$552)*100</f>
        <v>0</v>
      </c>
      <c r="F307" s="246">
        <f>('Pivot Table for Data Exchange'!$L$555)*100</f>
        <v>0</v>
      </c>
      <c r="G307" s="247">
        <f>('Pivot Table for Data Exchange'!$L$558)*100</f>
        <v>0</v>
      </c>
      <c r="H307" s="246">
        <f>('Pivot Table for Data Exchange'!$L$561)*100</f>
        <v>0</v>
      </c>
      <c r="I307" s="65"/>
      <c r="J307" s="81"/>
      <c r="K307" s="81"/>
      <c r="L307" s="81"/>
      <c r="M307" s="81"/>
      <c r="N307" s="81"/>
      <c r="O307" s="81"/>
      <c r="P307" s="81"/>
      <c r="Q307" s="97">
        <f t="shared" si="65"/>
        <v>0</v>
      </c>
      <c r="R307" s="97"/>
      <c r="S307" s="63"/>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row>
    <row r="308" spans="1:41" s="25" customFormat="1" ht="18" customHeight="1" x14ac:dyDescent="0.2">
      <c r="A308" s="24" t="s">
        <v>175</v>
      </c>
      <c r="B308" s="69"/>
      <c r="C308" s="69"/>
      <c r="D308" s="70"/>
      <c r="E308" s="69"/>
      <c r="F308" s="70"/>
      <c r="G308" s="70"/>
      <c r="H308" s="69"/>
      <c r="I308" s="24"/>
      <c r="J308" s="69"/>
      <c r="K308" s="69"/>
      <c r="L308" s="70"/>
      <c r="M308" s="69"/>
      <c r="N308" s="70"/>
      <c r="O308" s="70"/>
      <c r="P308" s="69"/>
      <c r="Q308" s="97">
        <f t="shared" si="65"/>
        <v>0</v>
      </c>
      <c r="R308" s="101"/>
      <c r="S308" s="71"/>
      <c r="T308" s="71"/>
      <c r="U308" s="71"/>
      <c r="V308" s="71"/>
      <c r="W308" s="71"/>
      <c r="X308" s="71"/>
      <c r="Y308" s="71"/>
      <c r="Z308" s="71"/>
      <c r="AA308" s="71"/>
      <c r="AB308" s="71"/>
      <c r="AC308" s="71"/>
      <c r="AD308" s="71"/>
      <c r="AE308" s="71"/>
      <c r="AF308" s="71"/>
      <c r="AG308" s="71"/>
      <c r="AH308" s="71"/>
      <c r="AI308" s="71"/>
      <c r="AJ308" s="71"/>
      <c r="AK308" s="71"/>
      <c r="AL308" s="71"/>
      <c r="AM308" s="71"/>
      <c r="AN308" s="71"/>
      <c r="AO308" s="71"/>
    </row>
    <row r="309" spans="1:41" s="25" customFormat="1" ht="30" customHeight="1" x14ac:dyDescent="0.25">
      <c r="A309" s="680" t="s">
        <v>180</v>
      </c>
      <c r="B309" s="686"/>
      <c r="C309" s="686"/>
      <c r="D309" s="686"/>
      <c r="E309" s="686"/>
      <c r="F309" s="686"/>
      <c r="G309" s="686"/>
      <c r="H309" s="686"/>
      <c r="I309" s="24"/>
      <c r="P309" s="77"/>
      <c r="Q309" s="97">
        <f t="shared" si="65"/>
        <v>0</v>
      </c>
      <c r="R309" s="106"/>
    </row>
    <row r="310" spans="1:41" s="25" customFormat="1" ht="13.5" customHeight="1" x14ac:dyDescent="0.2">
      <c r="A310" s="75"/>
      <c r="H310" s="26"/>
      <c r="I310" s="75"/>
      <c r="Q310" s="97">
        <f t="shared" si="65"/>
        <v>0</v>
      </c>
      <c r="R310" s="106"/>
    </row>
    <row r="311" spans="1:41" s="25" customFormat="1" x14ac:dyDescent="0.2">
      <c r="A311" s="26"/>
      <c r="H311" s="27" t="s">
        <v>914</v>
      </c>
      <c r="I311" s="85"/>
      <c r="J311" s="26"/>
      <c r="K311" s="26"/>
      <c r="L311" s="26"/>
      <c r="M311" s="26"/>
      <c r="N311" s="26"/>
      <c r="O311" s="26"/>
      <c r="P311" s="26"/>
      <c r="Q311" s="97">
        <f t="shared" si="65"/>
        <v>0</v>
      </c>
      <c r="R311" s="106"/>
    </row>
    <row r="312" spans="1:41" ht="18" x14ac:dyDescent="0.25">
      <c r="A312" s="16" t="s">
        <v>211</v>
      </c>
      <c r="B312" s="34"/>
      <c r="C312" s="34"/>
      <c r="D312" s="34"/>
      <c r="E312" s="34"/>
      <c r="F312" s="34"/>
      <c r="G312" s="34"/>
      <c r="H312" s="35"/>
      <c r="I312" s="80"/>
      <c r="J312" s="65"/>
      <c r="K312" s="65"/>
      <c r="L312" s="65"/>
      <c r="M312" s="65"/>
      <c r="N312" s="65"/>
      <c r="O312" s="65"/>
      <c r="P312" s="65"/>
      <c r="Q312" s="97">
        <f t="shared" si="65"/>
        <v>0</v>
      </c>
    </row>
    <row r="313" spans="1:41" x14ac:dyDescent="0.2">
      <c r="A313" s="18"/>
      <c r="B313" s="19"/>
      <c r="C313" s="19"/>
      <c r="D313" s="19"/>
      <c r="E313" s="19"/>
      <c r="F313" s="19"/>
      <c r="G313" s="19"/>
      <c r="H313" s="36"/>
      <c r="I313" s="80"/>
      <c r="J313" s="65"/>
      <c r="K313" s="65"/>
      <c r="L313" s="65"/>
      <c r="M313" s="65"/>
      <c r="N313" s="65"/>
      <c r="O313" s="65"/>
      <c r="P313" s="65"/>
      <c r="Q313" s="97">
        <f t="shared" si="65"/>
        <v>0</v>
      </c>
    </row>
    <row r="314" spans="1:41" ht="15.75" x14ac:dyDescent="0.25">
      <c r="A314" s="37" t="s">
        <v>162</v>
      </c>
      <c r="B314" s="19"/>
      <c r="C314" s="19"/>
      <c r="D314" s="19"/>
      <c r="E314" s="19"/>
      <c r="F314" s="19"/>
      <c r="G314" s="19"/>
      <c r="H314" s="36"/>
      <c r="I314" s="80"/>
      <c r="J314" s="65"/>
      <c r="K314" s="65"/>
      <c r="L314" s="65"/>
      <c r="M314" s="65"/>
      <c r="N314" s="65"/>
      <c r="O314" s="65"/>
      <c r="P314" s="65"/>
      <c r="Q314" s="97">
        <f t="shared" si="65"/>
        <v>0</v>
      </c>
    </row>
    <row r="315" spans="1:41" ht="15.75" x14ac:dyDescent="0.25">
      <c r="A315" s="37" t="s">
        <v>250</v>
      </c>
      <c r="B315" s="19"/>
      <c r="C315" s="19"/>
      <c r="D315" s="19"/>
      <c r="E315" s="19"/>
      <c r="F315" s="19"/>
      <c r="G315" s="19"/>
      <c r="H315" s="36"/>
      <c r="I315" s="80"/>
      <c r="J315" s="65"/>
      <c r="K315" s="65"/>
      <c r="L315" s="65"/>
      <c r="M315" s="65"/>
      <c r="N315" s="65"/>
      <c r="O315" s="65"/>
      <c r="P315" s="65"/>
      <c r="Q315" s="97">
        <f t="shared" si="65"/>
        <v>0</v>
      </c>
    </row>
    <row r="316" spans="1:41" x14ac:dyDescent="0.2">
      <c r="A316" s="39"/>
      <c r="B316" s="40"/>
      <c r="C316" s="40"/>
      <c r="D316" s="40"/>
      <c r="E316" s="40"/>
      <c r="F316" s="40"/>
      <c r="G316" s="40"/>
      <c r="H316" s="40"/>
      <c r="I316" s="80"/>
      <c r="J316" s="65"/>
      <c r="K316" s="65"/>
      <c r="L316" s="65"/>
      <c r="M316" s="65"/>
      <c r="N316" s="65"/>
      <c r="O316" s="65"/>
      <c r="P316" s="65"/>
      <c r="Q316" s="97">
        <f t="shared" si="65"/>
        <v>0</v>
      </c>
    </row>
    <row r="317" spans="1:41" x14ac:dyDescent="0.2">
      <c r="A317" s="43"/>
      <c r="B317" s="44" t="s">
        <v>164</v>
      </c>
      <c r="C317" s="44"/>
      <c r="D317" s="44"/>
      <c r="E317" s="44"/>
      <c r="F317" s="44"/>
      <c r="G317" s="44"/>
      <c r="H317" s="45"/>
      <c r="I317" s="80"/>
      <c r="J317" s="65"/>
      <c r="K317" s="65"/>
      <c r="L317" s="65"/>
      <c r="M317" s="65"/>
      <c r="N317" s="65"/>
      <c r="O317" s="65"/>
      <c r="P317" s="65"/>
      <c r="Q317" s="97">
        <f t="shared" si="65"/>
        <v>0</v>
      </c>
    </row>
    <row r="318" spans="1:41" x14ac:dyDescent="0.2">
      <c r="A318" s="43"/>
      <c r="B318" s="44" t="s">
        <v>165</v>
      </c>
      <c r="C318" s="44"/>
      <c r="D318" s="670" t="s">
        <v>166</v>
      </c>
      <c r="E318" s="668"/>
      <c r="F318" s="668"/>
      <c r="G318" s="668"/>
      <c r="H318" s="49" t="s">
        <v>39</v>
      </c>
      <c r="I318" s="80"/>
      <c r="J318" s="65"/>
      <c r="K318" s="65"/>
      <c r="L318" s="65"/>
      <c r="M318" s="65"/>
      <c r="N318" s="65"/>
      <c r="O318" s="65"/>
      <c r="P318" s="65"/>
      <c r="Q318" s="97">
        <f t="shared" si="65"/>
        <v>0</v>
      </c>
    </row>
    <row r="319" spans="1:41" ht="36" x14ac:dyDescent="0.2">
      <c r="A319" s="43"/>
      <c r="B319" s="50" t="s">
        <v>167</v>
      </c>
      <c r="C319" s="51" t="s">
        <v>168</v>
      </c>
      <c r="D319" s="52" t="s">
        <v>169</v>
      </c>
      <c r="E319" s="53" t="s">
        <v>7</v>
      </c>
      <c r="F319" s="50" t="s">
        <v>170</v>
      </c>
      <c r="G319" s="54" t="s">
        <v>171</v>
      </c>
      <c r="H319" s="55" t="s">
        <v>172</v>
      </c>
      <c r="I319" s="80"/>
      <c r="J319" s="65"/>
      <c r="K319" s="65"/>
      <c r="L319" s="65"/>
      <c r="M319" s="65"/>
      <c r="N319" s="65"/>
      <c r="O319" s="65"/>
      <c r="P319" s="65"/>
      <c r="Q319" s="97">
        <f t="shared" si="65"/>
        <v>0</v>
      </c>
    </row>
    <row r="320" spans="1:41" ht="15.75" customHeight="1" x14ac:dyDescent="0.2">
      <c r="A320" s="62" t="s">
        <v>141</v>
      </c>
      <c r="B320" s="243">
        <f>('Pivot Table for Data Exchange'!$M$6)*100</f>
        <v>64.48819356246419</v>
      </c>
      <c r="C320" s="243">
        <f>('Pivot Table for Data Exchange'!$M$9)*100</f>
        <v>20.64698738728401</v>
      </c>
      <c r="D320" s="249">
        <f>SUM(E320:G320)</f>
        <v>14.864210538211513</v>
      </c>
      <c r="E320" s="243">
        <f>('Pivot Table for Data Exchange'!$M$12)*100</f>
        <v>13.507141758095601</v>
      </c>
      <c r="F320" s="243">
        <f>('Pivot Table for Data Exchange'!$M$15)*100</f>
        <v>0.43760708725280284</v>
      </c>
      <c r="G320" s="60">
        <f>('Pivot Table for Data Exchange'!$M$18)*100</f>
        <v>0.91946169286310997</v>
      </c>
      <c r="H320" s="61">
        <f>('Pivot Table for Data Exchange'!$M$21)*100</f>
        <v>6.0851204028001984E-4</v>
      </c>
      <c r="I320" s="65"/>
      <c r="J320" s="81"/>
      <c r="K320" s="81"/>
      <c r="L320" s="81"/>
      <c r="M320" s="81"/>
      <c r="N320" s="81"/>
      <c r="O320" s="81"/>
      <c r="P320" s="81"/>
      <c r="Q320" s="97">
        <f t="shared" si="65"/>
        <v>99.999999999999986</v>
      </c>
      <c r="R320" s="97"/>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row>
    <row r="321" spans="1:41" ht="15.75" customHeight="1" x14ac:dyDescent="0.2">
      <c r="A321" s="65" t="s">
        <v>142</v>
      </c>
      <c r="B321" s="243">
        <f>('Pivot Table for Data Exchange'!$M$42)*100</f>
        <v>77.386413705517981</v>
      </c>
      <c r="C321" s="243">
        <f>('Pivot Table for Data Exchange'!$M$45)*100</f>
        <v>4.7186584765311146</v>
      </c>
      <c r="D321" s="249">
        <f t="shared" ref="D321:D323" si="71">SUM(E321:G321)</f>
        <v>17.894927817950911</v>
      </c>
      <c r="E321" s="243">
        <f>('Pivot Table for Data Exchange'!$M$48)*100</f>
        <v>17.894927817950911</v>
      </c>
      <c r="F321" s="243">
        <f>('Pivot Table for Data Exchange'!$M$51)*100</f>
        <v>0</v>
      </c>
      <c r="G321" s="245">
        <f>('Pivot Table for Data Exchange'!$M$54)*100</f>
        <v>0</v>
      </c>
      <c r="H321" s="243">
        <f>('Pivot Table for Data Exchange'!$M$57)*100</f>
        <v>0</v>
      </c>
      <c r="I321" s="65"/>
      <c r="J321" s="81"/>
      <c r="K321" s="81"/>
      <c r="L321" s="81"/>
      <c r="M321" s="81"/>
      <c r="N321" s="81"/>
      <c r="O321" s="81"/>
      <c r="P321" s="81"/>
      <c r="Q321" s="97">
        <f t="shared" si="65"/>
        <v>100.00000000000001</v>
      </c>
      <c r="R321" s="97"/>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row>
    <row r="322" spans="1:41" ht="15.75" customHeight="1" x14ac:dyDescent="0.2">
      <c r="A322" s="65" t="s">
        <v>143</v>
      </c>
      <c r="B322" s="243">
        <f>('Pivot Table for Data Exchange'!$M$78)*100</f>
        <v>80.962476505862341</v>
      </c>
      <c r="C322" s="243">
        <f>('Pivot Table for Data Exchange'!$M$81)*100</f>
        <v>0</v>
      </c>
      <c r="D322" s="249">
        <f t="shared" si="71"/>
        <v>19.037523494137652</v>
      </c>
      <c r="E322" s="243">
        <f>('Pivot Table for Data Exchange'!$M$84)*100</f>
        <v>13.473887944151079</v>
      </c>
      <c r="F322" s="243">
        <f>('Pivot Table for Data Exchange'!$M$87)*100</f>
        <v>0.28528595721829408</v>
      </c>
      <c r="G322" s="245">
        <f>('Pivot Table for Data Exchange'!$M$90)*100</f>
        <v>5.2783495927682802</v>
      </c>
      <c r="H322" s="243">
        <f>('Pivot Table for Data Exchange'!$M$93)*100</f>
        <v>0</v>
      </c>
      <c r="I322" s="65"/>
      <c r="J322" s="81"/>
      <c r="K322" s="81"/>
      <c r="L322" s="81"/>
      <c r="M322" s="81"/>
      <c r="N322" s="81"/>
      <c r="O322" s="81"/>
      <c r="P322" s="81"/>
      <c r="Q322" s="97">
        <f t="shared" si="65"/>
        <v>100</v>
      </c>
      <c r="R322" s="97"/>
      <c r="S322" s="63"/>
      <c r="T322" s="74"/>
      <c r="U322" s="63"/>
      <c r="V322" s="63"/>
      <c r="W322" s="63"/>
      <c r="X322" s="63"/>
      <c r="Y322" s="63"/>
      <c r="Z322" s="63"/>
      <c r="AA322" s="63"/>
      <c r="AB322" s="63"/>
      <c r="AC322" s="63"/>
      <c r="AD322" s="63"/>
      <c r="AE322" s="63"/>
      <c r="AF322" s="63"/>
      <c r="AG322" s="63"/>
      <c r="AH322" s="63"/>
      <c r="AI322" s="63"/>
      <c r="AJ322" s="63"/>
      <c r="AK322" s="63"/>
      <c r="AL322" s="63"/>
      <c r="AM322" s="63"/>
      <c r="AN322" s="63"/>
      <c r="AO322" s="63"/>
    </row>
    <row r="323" spans="1:41" ht="15.75" customHeight="1" x14ac:dyDescent="0.2">
      <c r="A323" s="65" t="s">
        <v>174</v>
      </c>
      <c r="B323" s="243">
        <f>('Pivot Table for Data Exchange'!$M$114)*100</f>
        <v>61.820933009428913</v>
      </c>
      <c r="C323" s="243">
        <f>('Pivot Table for Data Exchange'!$M$117)*100</f>
        <v>5.4094783217359081</v>
      </c>
      <c r="D323" s="249">
        <f t="shared" si="71"/>
        <v>31.502038127393256</v>
      </c>
      <c r="E323" s="243">
        <f>('Pivot Table for Data Exchange'!$M$120)*100</f>
        <v>20.319718367851113</v>
      </c>
      <c r="F323" s="243">
        <f>('Pivot Table for Data Exchange'!$M$123)*100</f>
        <v>1.0575616585004324</v>
      </c>
      <c r="G323" s="245">
        <f>('Pivot Table for Data Exchange'!$M$126)*100</f>
        <v>10.12475810104171</v>
      </c>
      <c r="H323" s="243">
        <f>('Pivot Table for Data Exchange'!$M$129)*100</f>
        <v>1.2675505414419237</v>
      </c>
      <c r="I323" s="65"/>
      <c r="J323" s="81"/>
      <c r="K323" s="81"/>
      <c r="L323" s="81"/>
      <c r="M323" s="81"/>
      <c r="N323" s="81"/>
      <c r="O323" s="81"/>
      <c r="P323" s="81"/>
      <c r="Q323" s="97">
        <f t="shared" si="65"/>
        <v>100</v>
      </c>
      <c r="R323" s="97"/>
      <c r="S323" s="63"/>
      <c r="U323" s="63"/>
      <c r="V323" s="63"/>
      <c r="W323" s="63"/>
      <c r="X323" s="63"/>
      <c r="Y323" s="63"/>
      <c r="Z323" s="63"/>
      <c r="AA323" s="63"/>
      <c r="AB323" s="63"/>
      <c r="AC323" s="63"/>
      <c r="AD323" s="63"/>
      <c r="AE323" s="63"/>
      <c r="AF323" s="63"/>
      <c r="AG323" s="63"/>
      <c r="AH323" s="63"/>
      <c r="AI323" s="63"/>
      <c r="AJ323" s="63"/>
      <c r="AK323" s="63"/>
      <c r="AL323" s="63"/>
      <c r="AM323" s="63"/>
      <c r="AN323" s="63"/>
      <c r="AO323" s="63"/>
    </row>
    <row r="324" spans="1:41" ht="15.75" customHeight="1" x14ac:dyDescent="0.2">
      <c r="A324" s="65"/>
      <c r="B324" s="243"/>
      <c r="C324" s="243"/>
      <c r="D324" s="249"/>
      <c r="E324" s="243"/>
      <c r="F324" s="243"/>
      <c r="G324" s="245"/>
      <c r="H324" s="243"/>
      <c r="I324" s="65"/>
      <c r="J324" s="81"/>
      <c r="K324" s="81"/>
      <c r="L324" s="81"/>
      <c r="M324" s="81"/>
      <c r="N324" s="81"/>
      <c r="O324" s="81"/>
      <c r="P324" s="81"/>
      <c r="Q324" s="97">
        <f t="shared" si="65"/>
        <v>0</v>
      </c>
      <c r="R324" s="97"/>
      <c r="S324" s="63"/>
      <c r="U324" s="63"/>
      <c r="V324" s="63"/>
      <c r="W324" s="63"/>
      <c r="X324" s="63"/>
      <c r="Y324" s="63"/>
      <c r="Z324" s="63"/>
      <c r="AA324" s="63"/>
      <c r="AB324" s="63"/>
      <c r="AC324" s="63"/>
      <c r="AD324" s="63"/>
      <c r="AE324" s="63"/>
      <c r="AF324" s="63"/>
      <c r="AG324" s="63"/>
      <c r="AH324" s="63"/>
      <c r="AI324" s="63"/>
      <c r="AJ324" s="63"/>
      <c r="AK324" s="63"/>
      <c r="AL324" s="63"/>
      <c r="AM324" s="63"/>
      <c r="AN324" s="63"/>
      <c r="AO324" s="63"/>
    </row>
    <row r="325" spans="1:41" ht="15.75" customHeight="1" x14ac:dyDescent="0.2">
      <c r="A325" s="65" t="s">
        <v>145</v>
      </c>
      <c r="B325" s="243">
        <f>('Pivot Table for Data Exchange'!$M$150)*100</f>
        <v>0</v>
      </c>
      <c r="C325" s="243">
        <f>('Pivot Table for Data Exchange'!$M$153)*100</f>
        <v>0</v>
      </c>
      <c r="D325" s="249">
        <f t="shared" ref="D325:D328" si="72">SUM(E325:G325)</f>
        <v>0</v>
      </c>
      <c r="E325" s="243">
        <f>('Pivot Table for Data Exchange'!$M$156)*100</f>
        <v>0</v>
      </c>
      <c r="F325" s="243">
        <f>('Pivot Table for Data Exchange'!$M$159)*100</f>
        <v>0</v>
      </c>
      <c r="G325" s="245">
        <f>('Pivot Table for Data Exchange'!$M$162)*100</f>
        <v>0</v>
      </c>
      <c r="H325" s="243">
        <f>('Pivot Table for Data Exchange'!$M$165)*100</f>
        <v>0</v>
      </c>
      <c r="I325" s="65"/>
      <c r="J325" s="81"/>
      <c r="K325" s="81"/>
      <c r="L325" s="81"/>
      <c r="M325" s="81"/>
      <c r="N325" s="81"/>
      <c r="O325" s="81"/>
      <c r="P325" s="81"/>
      <c r="Q325" s="97">
        <f t="shared" si="65"/>
        <v>0</v>
      </c>
      <c r="R325" s="97"/>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row>
    <row r="326" spans="1:41" ht="15.75" customHeight="1" x14ac:dyDescent="0.2">
      <c r="A326" s="65" t="s">
        <v>146</v>
      </c>
      <c r="B326" s="243">
        <f>('Pivot Table for Data Exchange'!$M$186)*100</f>
        <v>61.318064232923717</v>
      </c>
      <c r="C326" s="243">
        <f>('Pivot Table for Data Exchange'!$M$189)*100</f>
        <v>7.0366515466498063</v>
      </c>
      <c r="D326" s="249">
        <f t="shared" si="72"/>
        <v>31.645284220426468</v>
      </c>
      <c r="E326" s="243">
        <f>('Pivot Table for Data Exchange'!$M$192)*100</f>
        <v>30.390773752828675</v>
      </c>
      <c r="F326" s="243">
        <f>('Pivot Table for Data Exchange'!$M$195)*100</f>
        <v>1.2545104675977947</v>
      </c>
      <c r="G326" s="245">
        <f>('Pivot Table for Data Exchange'!$M$198)*100</f>
        <v>0</v>
      </c>
      <c r="H326" s="243">
        <f>('Pivot Table for Data Exchange'!$M$201)*100</f>
        <v>0</v>
      </c>
      <c r="I326" s="65"/>
      <c r="J326" s="81"/>
      <c r="K326" s="81"/>
      <c r="L326" s="81"/>
      <c r="M326" s="81"/>
      <c r="N326" s="81"/>
      <c r="O326" s="81"/>
      <c r="P326" s="81"/>
      <c r="Q326" s="97">
        <f t="shared" si="65"/>
        <v>100</v>
      </c>
      <c r="R326" s="97"/>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row>
    <row r="327" spans="1:41" ht="15.75" customHeight="1" x14ac:dyDescent="0.2">
      <c r="A327" s="65" t="s">
        <v>147</v>
      </c>
      <c r="B327" s="243">
        <f>('Pivot Table for Data Exchange'!$M$222)*100</f>
        <v>0</v>
      </c>
      <c r="C327" s="243">
        <f>('Pivot Table for Data Exchange'!$M$225)*100</f>
        <v>0</v>
      </c>
      <c r="D327" s="249">
        <f t="shared" si="72"/>
        <v>0</v>
      </c>
      <c r="E327" s="243">
        <f>('Pivot Table for Data Exchange'!$M$228)*100</f>
        <v>0</v>
      </c>
      <c r="F327" s="243">
        <f>('Pivot Table for Data Exchange'!$M$231)*100</f>
        <v>0</v>
      </c>
      <c r="G327" s="245">
        <f>('Pivot Table for Data Exchange'!$M$234)*100</f>
        <v>0</v>
      </c>
      <c r="H327" s="243">
        <f>('Pivot Table for Data Exchange'!$M$237)*100</f>
        <v>0</v>
      </c>
      <c r="I327" s="65"/>
      <c r="J327" s="81"/>
      <c r="K327" s="81"/>
      <c r="L327" s="81"/>
      <c r="M327" s="81"/>
      <c r="N327" s="81"/>
      <c r="O327" s="81"/>
      <c r="P327" s="81"/>
      <c r="Q327" s="97">
        <f t="shared" si="65"/>
        <v>0</v>
      </c>
      <c r="R327" s="97"/>
      <c r="S327" s="63"/>
      <c r="T327" s="74"/>
      <c r="U327" s="63"/>
      <c r="V327" s="63"/>
      <c r="W327" s="63"/>
      <c r="X327" s="63"/>
      <c r="Y327" s="63"/>
      <c r="Z327" s="63"/>
      <c r="AA327" s="63"/>
      <c r="AB327" s="63"/>
      <c r="AC327" s="63"/>
      <c r="AD327" s="63"/>
      <c r="AE327" s="63"/>
      <c r="AF327" s="63"/>
      <c r="AG327" s="63"/>
      <c r="AH327" s="63"/>
      <c r="AI327" s="63"/>
      <c r="AJ327" s="63"/>
      <c r="AK327" s="63"/>
      <c r="AL327" s="63"/>
      <c r="AM327" s="63"/>
      <c r="AN327" s="63"/>
      <c r="AO327" s="63"/>
    </row>
    <row r="328" spans="1:41" ht="15.75" customHeight="1" x14ac:dyDescent="0.2">
      <c r="A328" s="65" t="s">
        <v>177</v>
      </c>
      <c r="B328" s="243">
        <f>('Pivot Table for Data Exchange'!$M$258)*100</f>
        <v>80.206658086715748</v>
      </c>
      <c r="C328" s="243">
        <f>('Pivot Table for Data Exchange'!$M$261)*100</f>
        <v>3.9771096766388991</v>
      </c>
      <c r="D328" s="249">
        <f t="shared" si="72"/>
        <v>15.801043707345267</v>
      </c>
      <c r="E328" s="243">
        <f>('Pivot Table for Data Exchange'!$M$264)*100</f>
        <v>15.496601062524991</v>
      </c>
      <c r="F328" s="243">
        <f>('Pivot Table for Data Exchange'!$M$267)*100</f>
        <v>0.30444264482027467</v>
      </c>
      <c r="G328" s="245">
        <f>('Pivot Table for Data Exchange'!$M$270)*100</f>
        <v>0</v>
      </c>
      <c r="H328" s="67">
        <f>('Pivot Table for Data Exchange'!$M$273)*100</f>
        <v>1.5188529300084344E-2</v>
      </c>
      <c r="I328" s="65"/>
      <c r="J328" s="81"/>
      <c r="K328" s="81"/>
      <c r="L328" s="81"/>
      <c r="M328" s="81"/>
      <c r="N328" s="81"/>
      <c r="O328" s="81"/>
      <c r="P328" s="81"/>
      <c r="Q328" s="97">
        <f t="shared" si="65"/>
        <v>100.00000000000001</v>
      </c>
      <c r="R328" s="97"/>
      <c r="S328" s="63"/>
      <c r="U328" s="63"/>
      <c r="V328" s="63"/>
      <c r="W328" s="63"/>
      <c r="X328" s="63"/>
      <c r="Y328" s="63"/>
      <c r="Z328" s="63"/>
      <c r="AA328" s="63"/>
      <c r="AB328" s="63"/>
      <c r="AC328" s="63"/>
      <c r="AD328" s="63"/>
      <c r="AE328" s="63"/>
      <c r="AF328" s="63"/>
      <c r="AG328" s="63"/>
      <c r="AH328" s="63"/>
      <c r="AI328" s="63"/>
      <c r="AJ328" s="63"/>
      <c r="AK328" s="63"/>
      <c r="AL328" s="63"/>
      <c r="AM328" s="63"/>
      <c r="AN328" s="63"/>
      <c r="AO328" s="63"/>
    </row>
    <row r="329" spans="1:41" ht="12" customHeight="1" x14ac:dyDescent="0.2">
      <c r="A329" s="65"/>
      <c r="B329" s="243"/>
      <c r="C329" s="243"/>
      <c r="D329" s="249"/>
      <c r="E329" s="243"/>
      <c r="F329" s="243"/>
      <c r="G329" s="245"/>
      <c r="H329" s="243"/>
      <c r="I329" s="65"/>
      <c r="J329" s="81"/>
      <c r="K329" s="81"/>
      <c r="L329" s="81"/>
      <c r="M329" s="81"/>
      <c r="N329" s="81"/>
      <c r="O329" s="81"/>
      <c r="P329" s="81"/>
      <c r="Q329" s="97">
        <f t="shared" si="65"/>
        <v>0</v>
      </c>
      <c r="R329" s="97"/>
      <c r="S329" s="63"/>
      <c r="U329" s="63"/>
      <c r="V329" s="63"/>
      <c r="W329" s="63"/>
      <c r="X329" s="63"/>
      <c r="Y329" s="63"/>
      <c r="Z329" s="63"/>
      <c r="AA329" s="63"/>
      <c r="AB329" s="63"/>
      <c r="AC329" s="63"/>
      <c r="AD329" s="63"/>
      <c r="AE329" s="63"/>
      <c r="AF329" s="63"/>
      <c r="AG329" s="63"/>
      <c r="AH329" s="63"/>
      <c r="AI329" s="63"/>
      <c r="AJ329" s="63"/>
      <c r="AK329" s="63"/>
      <c r="AL329" s="63"/>
      <c r="AM329" s="63"/>
      <c r="AN329" s="63"/>
      <c r="AO329" s="63"/>
    </row>
    <row r="330" spans="1:41" ht="15.75" customHeight="1" x14ac:dyDescent="0.2">
      <c r="A330" s="65" t="s">
        <v>179</v>
      </c>
      <c r="B330" s="243">
        <f>('Pivot Table for Data Exchange'!$M$294)*100</f>
        <v>81.53904148318226</v>
      </c>
      <c r="C330" s="243">
        <f>('Pivot Table for Data Exchange'!$M$297)*100</f>
        <v>0</v>
      </c>
      <c r="D330" s="249">
        <f t="shared" ref="D330:D332" si="73">SUM(E330:G330)</f>
        <v>18.460958516817737</v>
      </c>
      <c r="E330" s="243">
        <f>('Pivot Table for Data Exchange'!$M$300)*100</f>
        <v>18.460958516817737</v>
      </c>
      <c r="F330" s="243">
        <f>('Pivot Table for Data Exchange'!$M$303)*100</f>
        <v>0</v>
      </c>
      <c r="G330" s="245">
        <f>('Pivot Table for Data Exchange'!$M$306)*100</f>
        <v>0</v>
      </c>
      <c r="H330" s="243">
        <f>('Pivot Table for Data Exchange'!$M$309)*100</f>
        <v>0</v>
      </c>
      <c r="I330" s="86"/>
      <c r="J330" s="81"/>
      <c r="K330" s="81"/>
      <c r="L330" s="81"/>
      <c r="M330" s="81"/>
      <c r="N330" s="81"/>
      <c r="O330" s="81"/>
      <c r="P330" s="81"/>
      <c r="Q330" s="97">
        <f t="shared" si="65"/>
        <v>100</v>
      </c>
      <c r="R330" s="97"/>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row>
    <row r="331" spans="1:41" ht="15.75" customHeight="1" x14ac:dyDescent="0.2">
      <c r="A331" s="65" t="s">
        <v>149</v>
      </c>
      <c r="B331" s="243">
        <f>('Pivot Table for Data Exchange'!$M$330)*100</f>
        <v>64.197297574832007</v>
      </c>
      <c r="C331" s="243">
        <f>('Pivot Table for Data Exchange'!$M$333)*100</f>
        <v>2.176232031385906</v>
      </c>
      <c r="D331" s="249">
        <f t="shared" si="73"/>
        <v>33.626470393782085</v>
      </c>
      <c r="E331" s="243">
        <f>('Pivot Table for Data Exchange'!$M$336)*100</f>
        <v>32.790807046730471</v>
      </c>
      <c r="F331" s="243">
        <f>('Pivot Table for Data Exchange'!$M$339)*100</f>
        <v>0.75801445788555888</v>
      </c>
      <c r="G331" s="245">
        <f>('Pivot Table for Data Exchange'!$M$342)*100</f>
        <v>7.76488891660575E-2</v>
      </c>
      <c r="H331" s="243">
        <f>('Pivot Table for Data Exchange'!$M$345)*100</f>
        <v>0</v>
      </c>
      <c r="I331" s="65"/>
      <c r="J331" s="81"/>
      <c r="K331" s="81"/>
      <c r="L331" s="81"/>
      <c r="M331" s="81"/>
      <c r="N331" s="81"/>
      <c r="O331" s="81"/>
      <c r="P331" s="81"/>
      <c r="Q331" s="97">
        <f t="shared" si="65"/>
        <v>100</v>
      </c>
      <c r="R331" s="97"/>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row>
    <row r="332" spans="1:41" ht="15.75" customHeight="1" x14ac:dyDescent="0.2">
      <c r="A332" s="65" t="s">
        <v>150</v>
      </c>
      <c r="B332" s="243">
        <f>('Pivot Table for Data Exchange'!$M$366)*100</f>
        <v>57.749454187106295</v>
      </c>
      <c r="C332" s="243">
        <f>('Pivot Table for Data Exchange'!$M$369)*100</f>
        <v>5.3290938689286822</v>
      </c>
      <c r="D332" s="249">
        <f t="shared" si="73"/>
        <v>36.921451943965025</v>
      </c>
      <c r="E332" s="243">
        <f>('Pivot Table for Data Exchange'!$M$372)*100</f>
        <v>14.485139189093543</v>
      </c>
      <c r="F332" s="243">
        <f>('Pivot Table for Data Exchange'!$M$375)*100</f>
        <v>8.6301049158549805</v>
      </c>
      <c r="G332" s="245">
        <f>('Pivot Table for Data Exchange'!$M$378)*100</f>
        <v>13.806207839016501</v>
      </c>
      <c r="H332" s="243">
        <f>('Pivot Table for Data Exchange'!$M$381)*100</f>
        <v>0</v>
      </c>
      <c r="I332" s="65"/>
      <c r="J332" s="81"/>
      <c r="K332" s="81"/>
      <c r="L332" s="81"/>
      <c r="M332" s="81"/>
      <c r="N332" s="81"/>
      <c r="O332" s="81"/>
      <c r="P332" s="81"/>
      <c r="Q332" s="97">
        <f t="shared" ref="Q332:Q396" si="74">SUM(B332,C332,D332,H332)</f>
        <v>100</v>
      </c>
      <c r="R332" s="97"/>
      <c r="S332" s="63"/>
      <c r="T332" s="74"/>
      <c r="U332" s="63"/>
      <c r="V332" s="63"/>
      <c r="W332" s="63"/>
      <c r="X332" s="63"/>
      <c r="Y332" s="63"/>
      <c r="Z332" s="63"/>
      <c r="AA332" s="63"/>
      <c r="AB332" s="63"/>
      <c r="AC332" s="63"/>
      <c r="AD332" s="63"/>
      <c r="AE332" s="63"/>
      <c r="AF332" s="63"/>
      <c r="AG332" s="63"/>
      <c r="AH332" s="63"/>
      <c r="AI332" s="63"/>
      <c r="AJ332" s="63"/>
      <c r="AK332" s="63"/>
      <c r="AL332" s="63"/>
      <c r="AM332" s="63"/>
      <c r="AN332" s="63"/>
      <c r="AO332" s="63"/>
    </row>
    <row r="333" spans="1:41" ht="15.75" customHeight="1" x14ac:dyDescent="0.2">
      <c r="A333" s="65" t="s">
        <v>151</v>
      </c>
      <c r="B333" s="243">
        <f>('Pivot Table for Data Exchange'!$M$402)*100</f>
        <v>77.230911877166648</v>
      </c>
      <c r="C333" s="243">
        <f>('Pivot Table for Data Exchange'!$M$405)*100</f>
        <v>6.6203213871148234</v>
      </c>
      <c r="D333" s="249">
        <f>SUM(E333:G333)</f>
        <v>16.148766735718514</v>
      </c>
      <c r="E333" s="243">
        <f>('Pivot Table for Data Exchange'!$M$408)*100</f>
        <v>14.897558506089537</v>
      </c>
      <c r="F333" s="243">
        <f>('Pivot Table for Data Exchange'!$M$411)*100</f>
        <v>1.2501594381540166</v>
      </c>
      <c r="G333" s="254">
        <f>('Pivot Table for Data Exchange'!$M$414)*100</f>
        <v>1.0487914749614234E-3</v>
      </c>
      <c r="H333" s="243">
        <f>('Pivot Table for Data Exchange'!$M$417)*100</f>
        <v>0</v>
      </c>
      <c r="I333" s="65"/>
      <c r="J333" s="81"/>
      <c r="K333" s="81"/>
      <c r="L333" s="81"/>
      <c r="M333" s="81"/>
      <c r="N333" s="81"/>
      <c r="O333" s="81"/>
      <c r="P333" s="81"/>
      <c r="Q333" s="97">
        <f t="shared" si="74"/>
        <v>99.999999999999986</v>
      </c>
      <c r="R333" s="97"/>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row>
    <row r="334" spans="1:41" ht="12.75" customHeight="1" x14ac:dyDescent="0.2">
      <c r="A334" s="65"/>
      <c r="B334" s="243"/>
      <c r="C334" s="243"/>
      <c r="D334" s="249"/>
      <c r="E334" s="243"/>
      <c r="F334" s="243"/>
      <c r="G334" s="245"/>
      <c r="H334" s="243"/>
      <c r="I334" s="65"/>
      <c r="J334" s="81"/>
      <c r="K334" s="81"/>
      <c r="L334" s="81"/>
      <c r="M334" s="81"/>
      <c r="N334" s="81"/>
      <c r="O334" s="81"/>
      <c r="P334" s="81"/>
      <c r="Q334" s="97">
        <f t="shared" si="74"/>
        <v>0</v>
      </c>
      <c r="R334" s="97"/>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row>
    <row r="335" spans="1:41" ht="15.75" customHeight="1" x14ac:dyDescent="0.2">
      <c r="A335" s="65" t="s">
        <v>152</v>
      </c>
      <c r="B335" s="243">
        <f>('Pivot Table for Data Exchange'!$M$438)*100</f>
        <v>42.135097794874568</v>
      </c>
      <c r="C335" s="243">
        <f>('Pivot Table for Data Exchange'!$M$441)*100</f>
        <v>32.648859511296529</v>
      </c>
      <c r="D335" s="249">
        <f>SUM(E335:G335)</f>
        <v>24.935435516786765</v>
      </c>
      <c r="E335" s="243">
        <f>('Pivot Table for Data Exchange'!$M$444)*100</f>
        <v>14.715058424084809</v>
      </c>
      <c r="F335" s="243">
        <f>('Pivot Table for Data Exchange'!$M$447)*100</f>
        <v>3.7212620324718717</v>
      </c>
      <c r="G335" s="245">
        <f>('Pivot Table for Data Exchange'!$M$450)*100</f>
        <v>6.4991150602300847</v>
      </c>
      <c r="H335" s="243">
        <f>('Pivot Table for Data Exchange'!$M$453)*100</f>
        <v>0.280607177042134</v>
      </c>
      <c r="I335" s="65"/>
      <c r="J335" s="81"/>
      <c r="K335" s="81"/>
      <c r="L335" s="81"/>
      <c r="M335" s="81"/>
      <c r="N335" s="81"/>
      <c r="O335" s="81"/>
      <c r="P335" s="81"/>
      <c r="Q335" s="97">
        <f t="shared" si="74"/>
        <v>99.999999999999986</v>
      </c>
      <c r="R335" s="97"/>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row>
    <row r="336" spans="1:41" ht="15.75" customHeight="1" x14ac:dyDescent="0.2">
      <c r="A336" s="65" t="s">
        <v>153</v>
      </c>
      <c r="B336" s="243">
        <f>('Pivot Table for Data Exchange'!$M$474)*100</f>
        <v>57.643367881662769</v>
      </c>
      <c r="C336" s="243">
        <f>('Pivot Table for Data Exchange'!$M$477)*100</f>
        <v>20.21152104470977</v>
      </c>
      <c r="D336" s="249">
        <f>SUM(E336:G336)</f>
        <v>22.145111073627458</v>
      </c>
      <c r="E336" s="243">
        <f>('Pivot Table for Data Exchange'!$M$480)*100</f>
        <v>19.54506714494725</v>
      </c>
      <c r="F336" s="243">
        <f>('Pivot Table for Data Exchange'!$M$483)*100</f>
        <v>2.3836769761535219</v>
      </c>
      <c r="G336" s="245">
        <f>('Pivot Table for Data Exchange'!$M$486)*100</f>
        <v>0.21636695252668792</v>
      </c>
      <c r="H336" s="243">
        <f>('Pivot Table for Data Exchange'!$M$489)*100</f>
        <v>0</v>
      </c>
      <c r="I336" s="65"/>
      <c r="J336" s="81"/>
      <c r="K336" s="81"/>
      <c r="L336" s="81"/>
      <c r="M336" s="81"/>
      <c r="N336" s="81"/>
      <c r="O336" s="81"/>
      <c r="P336" s="81"/>
      <c r="Q336" s="97">
        <f t="shared" si="74"/>
        <v>100</v>
      </c>
      <c r="R336" s="97"/>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row>
    <row r="337" spans="1:41" ht="15.75" customHeight="1" x14ac:dyDescent="0.2">
      <c r="A337" s="65" t="s">
        <v>154</v>
      </c>
      <c r="B337" s="243">
        <f>('Pivot Table for Data Exchange'!$M$510)*100</f>
        <v>52.514071217534934</v>
      </c>
      <c r="C337" s="243">
        <f>('Pivot Table for Data Exchange'!$M$513)*100</f>
        <v>19.623960139418976</v>
      </c>
      <c r="D337" s="249">
        <f t="shared" ref="D337" si="75">SUM(E337:G337)</f>
        <v>27.86196864304609</v>
      </c>
      <c r="E337" s="243">
        <f>('Pivot Table for Data Exchange'!$M$516)*100</f>
        <v>24.007830343470449</v>
      </c>
      <c r="F337" s="243">
        <f>('Pivot Table for Data Exchange'!$M$519)*100</f>
        <v>3.8541382995756401</v>
      </c>
      <c r="G337" s="245">
        <f>('Pivot Table for Data Exchange'!$M$522)*100</f>
        <v>0</v>
      </c>
      <c r="H337" s="243">
        <f>('Pivot Table for Data Exchange'!$M$525)*100</f>
        <v>0</v>
      </c>
      <c r="I337" s="65"/>
      <c r="J337" s="81"/>
      <c r="K337" s="81"/>
      <c r="L337" s="81"/>
      <c r="M337" s="81"/>
      <c r="N337" s="81"/>
      <c r="O337" s="81"/>
      <c r="P337" s="81"/>
      <c r="Q337" s="97">
        <f t="shared" si="74"/>
        <v>100</v>
      </c>
      <c r="R337" s="97"/>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row>
    <row r="338" spans="1:41" ht="15.75" customHeight="1" x14ac:dyDescent="0.2">
      <c r="A338" s="39" t="s">
        <v>155</v>
      </c>
      <c r="B338" s="246">
        <f>('Pivot Table for Data Exchange'!$M$546)*100</f>
        <v>63.037164801792635</v>
      </c>
      <c r="C338" s="246">
        <f>('Pivot Table for Data Exchange'!$M$549)*100</f>
        <v>15.595162629791792</v>
      </c>
      <c r="D338" s="250">
        <f>SUM(E338:G338)</f>
        <v>21.367672568415571</v>
      </c>
      <c r="E338" s="246">
        <f>('Pivot Table for Data Exchange'!$M$552)*100</f>
        <v>17.96126762293672</v>
      </c>
      <c r="F338" s="246">
        <f>('Pivot Table for Data Exchange'!$M$555)*100</f>
        <v>3.3798691885463814</v>
      </c>
      <c r="G338" s="255">
        <f>('Pivot Table for Data Exchange'!$M$558)*100</f>
        <v>2.6535756932466497E-2</v>
      </c>
      <c r="H338" s="246">
        <f>('Pivot Table for Data Exchange'!$M$561)*100</f>
        <v>0</v>
      </c>
      <c r="I338" s="65"/>
      <c r="J338" s="81"/>
      <c r="K338" s="81"/>
      <c r="L338" s="81"/>
      <c r="M338" s="81"/>
      <c r="N338" s="81"/>
      <c r="O338" s="81"/>
      <c r="P338" s="81"/>
      <c r="Q338" s="97">
        <f t="shared" si="74"/>
        <v>100</v>
      </c>
      <c r="R338" s="97"/>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row>
    <row r="339" spans="1:41" s="25" customFormat="1" ht="21" customHeight="1" x14ac:dyDescent="0.2">
      <c r="A339" s="24" t="s">
        <v>175</v>
      </c>
      <c r="B339" s="69"/>
      <c r="C339" s="69"/>
      <c r="D339" s="70"/>
      <c r="E339" s="69"/>
      <c r="F339" s="70"/>
      <c r="G339" s="70"/>
      <c r="H339" s="69"/>
      <c r="I339" s="24"/>
      <c r="J339" s="69"/>
      <c r="K339" s="69"/>
      <c r="L339" s="70"/>
      <c r="M339" s="69"/>
      <c r="N339" s="70"/>
      <c r="O339" s="70"/>
      <c r="P339" s="69"/>
      <c r="Q339" s="97">
        <f t="shared" si="74"/>
        <v>0</v>
      </c>
      <c r="R339" s="101"/>
      <c r="S339" s="71"/>
      <c r="T339" s="71"/>
      <c r="U339" s="71"/>
      <c r="V339" s="71"/>
      <c r="W339" s="71"/>
      <c r="X339" s="71"/>
      <c r="Y339" s="71"/>
      <c r="Z339" s="71"/>
      <c r="AA339" s="71"/>
      <c r="AB339" s="71"/>
      <c r="AC339" s="71"/>
      <c r="AD339" s="71"/>
      <c r="AE339" s="71"/>
      <c r="AF339" s="71"/>
      <c r="AG339" s="71"/>
      <c r="AH339" s="71"/>
      <c r="AI339" s="71"/>
      <c r="AJ339" s="71"/>
      <c r="AK339" s="71"/>
      <c r="AL339" s="71"/>
      <c r="AM339" s="71"/>
      <c r="AN339" s="71"/>
      <c r="AO339" s="71"/>
    </row>
    <row r="340" spans="1:41" s="25" customFormat="1" ht="23.25" customHeight="1" x14ac:dyDescent="0.25">
      <c r="A340" s="680" t="s">
        <v>180</v>
      </c>
      <c r="B340" s="686"/>
      <c r="C340" s="686"/>
      <c r="D340" s="686"/>
      <c r="E340" s="686"/>
      <c r="F340" s="686"/>
      <c r="G340" s="686"/>
      <c r="H340" s="686"/>
      <c r="I340" s="24"/>
      <c r="P340" s="77"/>
      <c r="Q340" s="97">
        <f t="shared" si="74"/>
        <v>0</v>
      </c>
      <c r="R340" s="106"/>
    </row>
    <row r="341" spans="1:41" s="25" customFormat="1" ht="13.5" customHeight="1" x14ac:dyDescent="0.25">
      <c r="A341" s="611"/>
      <c r="B341" s="612"/>
      <c r="C341" s="612"/>
      <c r="D341" s="612"/>
      <c r="E341" s="612"/>
      <c r="F341" s="612"/>
      <c r="G341" s="612"/>
      <c r="H341" s="612"/>
      <c r="I341" s="24"/>
      <c r="P341" s="77"/>
      <c r="Q341" s="248"/>
      <c r="R341" s="106"/>
    </row>
    <row r="342" spans="1:41" s="25" customFormat="1" x14ac:dyDescent="0.2">
      <c r="H342" s="27" t="s">
        <v>914</v>
      </c>
      <c r="I342" s="26"/>
      <c r="J342" s="26"/>
      <c r="K342" s="26"/>
      <c r="L342" s="26"/>
      <c r="M342" s="26"/>
      <c r="N342" s="26"/>
      <c r="O342" s="26"/>
      <c r="P342" s="26"/>
      <c r="Q342" s="97">
        <f t="shared" si="74"/>
        <v>0</v>
      </c>
      <c r="R342" s="105"/>
    </row>
    <row r="343" spans="1:41" ht="18" x14ac:dyDescent="0.25">
      <c r="A343" s="16" t="s">
        <v>212</v>
      </c>
      <c r="B343" s="34"/>
      <c r="C343" s="34"/>
      <c r="D343" s="34"/>
      <c r="E343" s="34"/>
      <c r="F343" s="34"/>
      <c r="G343" s="34"/>
      <c r="H343" s="35"/>
      <c r="I343" s="80"/>
      <c r="J343" s="65"/>
      <c r="K343" s="65"/>
      <c r="L343" s="35"/>
      <c r="M343" s="65"/>
      <c r="N343" s="65"/>
      <c r="O343" s="65"/>
      <c r="P343" s="65"/>
      <c r="Q343" s="97">
        <f t="shared" si="74"/>
        <v>0</v>
      </c>
    </row>
    <row r="344" spans="1:41" x14ac:dyDescent="0.2">
      <c r="A344" s="18"/>
      <c r="B344" s="19"/>
      <c r="C344" s="19"/>
      <c r="D344" s="19"/>
      <c r="E344" s="19"/>
      <c r="F344" s="19"/>
      <c r="G344" s="19"/>
      <c r="H344" s="36"/>
      <c r="I344" s="80"/>
      <c r="J344" s="65"/>
      <c r="K344" s="65"/>
      <c r="L344" s="65"/>
      <c r="M344" s="65"/>
      <c r="N344" s="65"/>
      <c r="O344" s="65"/>
      <c r="P344" s="65"/>
      <c r="Q344" s="97">
        <f t="shared" si="74"/>
        <v>0</v>
      </c>
    </row>
    <row r="345" spans="1:41" ht="15.75" x14ac:dyDescent="0.25">
      <c r="A345" s="37" t="s">
        <v>162</v>
      </c>
      <c r="B345" s="19"/>
      <c r="C345" s="19"/>
      <c r="D345" s="19"/>
      <c r="E345" s="19"/>
      <c r="F345" s="19"/>
      <c r="G345" s="19"/>
      <c r="H345" s="36"/>
      <c r="I345" s="80"/>
      <c r="J345" s="65"/>
      <c r="K345" s="65"/>
      <c r="L345" s="36"/>
      <c r="M345" s="65"/>
      <c r="N345" s="65"/>
      <c r="O345" s="65"/>
      <c r="P345" s="65"/>
      <c r="Q345" s="97">
        <f t="shared" si="74"/>
        <v>0</v>
      </c>
    </row>
    <row r="346" spans="1:41" ht="15.75" x14ac:dyDescent="0.25">
      <c r="A346" s="37" t="s">
        <v>251</v>
      </c>
      <c r="B346" s="19"/>
      <c r="C346" s="19"/>
      <c r="D346" s="19"/>
      <c r="E346" s="19"/>
      <c r="F346" s="19"/>
      <c r="G346" s="19"/>
      <c r="H346" s="36"/>
      <c r="I346" s="80"/>
      <c r="J346" s="65"/>
      <c r="K346" s="65"/>
      <c r="L346" s="65"/>
      <c r="M346" s="65"/>
      <c r="N346" s="65"/>
      <c r="O346" s="65"/>
      <c r="P346" s="65"/>
      <c r="Q346" s="97">
        <f t="shared" si="74"/>
        <v>0</v>
      </c>
    </row>
    <row r="347" spans="1:41" x14ac:dyDescent="0.2">
      <c r="A347" s="39"/>
      <c r="B347" s="40"/>
      <c r="C347" s="40"/>
      <c r="D347" s="40"/>
      <c r="E347" s="40"/>
      <c r="F347" s="40"/>
      <c r="G347" s="40"/>
      <c r="H347" s="40"/>
      <c r="I347" s="80"/>
      <c r="J347" s="65"/>
      <c r="K347" s="65"/>
      <c r="L347" s="65"/>
      <c r="M347" s="65"/>
      <c r="N347" s="65"/>
      <c r="O347" s="65"/>
      <c r="P347" s="65"/>
      <c r="Q347" s="97">
        <f t="shared" si="74"/>
        <v>0</v>
      </c>
    </row>
    <row r="348" spans="1:41" x14ac:dyDescent="0.2">
      <c r="A348" s="43"/>
      <c r="B348" s="44" t="s">
        <v>164</v>
      </c>
      <c r="C348" s="44"/>
      <c r="D348" s="44"/>
      <c r="E348" s="44"/>
      <c r="F348" s="44"/>
      <c r="G348" s="44"/>
      <c r="H348" s="45"/>
      <c r="I348" s="80"/>
      <c r="J348" s="65"/>
      <c r="K348" s="65"/>
      <c r="L348" s="65"/>
      <c r="M348" s="65"/>
      <c r="N348" s="65"/>
      <c r="O348" s="65"/>
      <c r="P348" s="65"/>
      <c r="Q348" s="97">
        <f t="shared" si="74"/>
        <v>0</v>
      </c>
    </row>
    <row r="349" spans="1:41" x14ac:dyDescent="0.2">
      <c r="A349" s="43"/>
      <c r="B349" s="44" t="s">
        <v>165</v>
      </c>
      <c r="C349" s="44"/>
      <c r="D349" s="670" t="s">
        <v>166</v>
      </c>
      <c r="E349" s="668"/>
      <c r="F349" s="668"/>
      <c r="G349" s="668"/>
      <c r="H349" s="49" t="s">
        <v>39</v>
      </c>
      <c r="I349" s="80"/>
      <c r="J349" s="65"/>
      <c r="K349" s="65"/>
      <c r="L349" s="65"/>
      <c r="M349" s="65"/>
      <c r="N349" s="65"/>
      <c r="O349" s="65"/>
      <c r="P349" s="65"/>
      <c r="Q349" s="97">
        <f t="shared" si="74"/>
        <v>0</v>
      </c>
    </row>
    <row r="350" spans="1:41" ht="36" x14ac:dyDescent="0.2">
      <c r="A350" s="43"/>
      <c r="B350" s="50" t="s">
        <v>167</v>
      </c>
      <c r="C350" s="51" t="s">
        <v>168</v>
      </c>
      <c r="D350" s="52" t="s">
        <v>169</v>
      </c>
      <c r="E350" s="53" t="s">
        <v>7</v>
      </c>
      <c r="F350" s="50" t="s">
        <v>170</v>
      </c>
      <c r="G350" s="54" t="s">
        <v>171</v>
      </c>
      <c r="H350" s="55" t="s">
        <v>172</v>
      </c>
      <c r="I350" s="80"/>
      <c r="J350" s="65"/>
      <c r="K350" s="65"/>
      <c r="L350" s="65"/>
      <c r="M350" s="65"/>
      <c r="N350" s="65"/>
      <c r="O350" s="65"/>
      <c r="P350" s="65"/>
      <c r="Q350" s="97">
        <f t="shared" si="74"/>
        <v>0</v>
      </c>
    </row>
    <row r="351" spans="1:41" ht="15.75" customHeight="1" x14ac:dyDescent="0.2">
      <c r="A351" s="62" t="s">
        <v>141</v>
      </c>
      <c r="B351" s="243">
        <f>('Pivot Table for Data Exchange'!$N$6)*100</f>
        <v>61.512165836776504</v>
      </c>
      <c r="C351" s="243">
        <f>('Pivot Table for Data Exchange'!$N$9)*100</f>
        <v>15.718473002083556</v>
      </c>
      <c r="D351" s="249">
        <f>SUM(E351:G351)</f>
        <v>22.769361161139951</v>
      </c>
      <c r="E351" s="243">
        <f>('Pivot Table for Data Exchange'!$N$12)*100</f>
        <v>22.614683758872761</v>
      </c>
      <c r="F351" s="243">
        <f>('Pivot Table for Data Exchange'!$N$15)*100</f>
        <v>0.10276512342409154</v>
      </c>
      <c r="G351" s="60">
        <f>('Pivot Table for Data Exchange'!$N$18)*100</f>
        <v>5.1912278843097785E-2</v>
      </c>
      <c r="H351" s="243">
        <f>('Pivot Table for Data Exchange'!$N$21)*100</f>
        <v>0</v>
      </c>
      <c r="I351" s="65"/>
      <c r="J351" s="81"/>
      <c r="K351" s="81"/>
      <c r="L351" s="81"/>
      <c r="M351" s="81"/>
      <c r="N351" s="81"/>
      <c r="O351" s="81"/>
      <c r="P351" s="81"/>
      <c r="Q351" s="97">
        <f t="shared" si="74"/>
        <v>100.00000000000001</v>
      </c>
      <c r="R351" s="97"/>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row>
    <row r="352" spans="1:41" ht="15.75" customHeight="1" x14ac:dyDescent="0.2">
      <c r="A352" s="65" t="s">
        <v>142</v>
      </c>
      <c r="B352" s="243">
        <f>('Pivot Table for Data Exchange'!$N$42)*100</f>
        <v>69.008452964583284</v>
      </c>
      <c r="C352" s="243">
        <f>('Pivot Table for Data Exchange'!$N$45)*100</f>
        <v>12.007689010046827</v>
      </c>
      <c r="D352" s="249">
        <f t="shared" ref="D352:D354" si="76">SUM(E352:G352)</f>
        <v>18.97685052872249</v>
      </c>
      <c r="E352" s="243">
        <f>('Pivot Table for Data Exchange'!$N$48)*100</f>
        <v>17.386011387869061</v>
      </c>
      <c r="F352" s="243">
        <f>('Pivot Table for Data Exchange'!$N$51)*100</f>
        <v>1.5584122936223537</v>
      </c>
      <c r="G352" s="68">
        <f>('Pivot Table for Data Exchange'!$N$54)*100</f>
        <v>3.2426847231077006E-2</v>
      </c>
      <c r="H352" s="67">
        <f>('Pivot Table for Data Exchange'!$N$57)*100</f>
        <v>7.0074966473937603E-3</v>
      </c>
      <c r="I352" s="65"/>
      <c r="J352" s="81"/>
      <c r="K352" s="81"/>
      <c r="L352" s="81"/>
      <c r="M352" s="81"/>
      <c r="N352" s="81"/>
      <c r="O352" s="81"/>
      <c r="P352" s="81"/>
      <c r="Q352" s="97">
        <f t="shared" si="74"/>
        <v>100</v>
      </c>
      <c r="R352" s="97"/>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row>
    <row r="353" spans="1:41" ht="15.75" customHeight="1" x14ac:dyDescent="0.2">
      <c r="A353" s="65" t="s">
        <v>143</v>
      </c>
      <c r="B353" s="243">
        <f>('Pivot Table for Data Exchange'!$N$78)*100</f>
        <v>0</v>
      </c>
      <c r="C353" s="243">
        <f>('Pivot Table for Data Exchange'!$N$81)*100</f>
        <v>0</v>
      </c>
      <c r="D353" s="249">
        <f t="shared" si="76"/>
        <v>0</v>
      </c>
      <c r="E353" s="243">
        <f>('Pivot Table for Data Exchange'!$N$84)*100</f>
        <v>0</v>
      </c>
      <c r="F353" s="243">
        <f>('Pivot Table for Data Exchange'!$N$87)*100</f>
        <v>0</v>
      </c>
      <c r="G353" s="245">
        <f>('Pivot Table for Data Exchange'!$N$90)*100</f>
        <v>0</v>
      </c>
      <c r="H353" s="243">
        <f>('Pivot Table for Data Exchange'!$N$93)*100</f>
        <v>0</v>
      </c>
      <c r="I353" s="65"/>
      <c r="J353" s="81"/>
      <c r="K353" s="81"/>
      <c r="L353" s="81"/>
      <c r="M353" s="81"/>
      <c r="N353" s="81"/>
      <c r="O353" s="81"/>
      <c r="P353" s="81"/>
      <c r="Q353" s="97">
        <f t="shared" si="74"/>
        <v>0</v>
      </c>
      <c r="R353" s="97"/>
      <c r="S353" s="63"/>
      <c r="T353" s="74"/>
      <c r="U353" s="63"/>
      <c r="V353" s="63"/>
      <c r="W353" s="63"/>
      <c r="X353" s="63"/>
      <c r="Y353" s="63"/>
      <c r="Z353" s="63"/>
      <c r="AA353" s="63"/>
      <c r="AB353" s="63"/>
      <c r="AC353" s="63"/>
      <c r="AD353" s="63"/>
      <c r="AE353" s="63"/>
      <c r="AF353" s="63"/>
      <c r="AG353" s="63"/>
      <c r="AH353" s="63"/>
      <c r="AI353" s="63"/>
      <c r="AJ353" s="63"/>
      <c r="AK353" s="63"/>
      <c r="AL353" s="63"/>
      <c r="AM353" s="63"/>
      <c r="AN353" s="63"/>
      <c r="AO353" s="63"/>
    </row>
    <row r="354" spans="1:41" ht="15.75" customHeight="1" x14ac:dyDescent="0.2">
      <c r="A354" s="65" t="s">
        <v>174</v>
      </c>
      <c r="B354" s="243">
        <f>('Pivot Table for Data Exchange'!$N$114)*100</f>
        <v>39.794629925353739</v>
      </c>
      <c r="C354" s="243">
        <f>('Pivot Table for Data Exchange'!$N$117)*100</f>
        <v>2.6293311546031863</v>
      </c>
      <c r="D354" s="249">
        <f t="shared" si="76"/>
        <v>57.576038920043089</v>
      </c>
      <c r="E354" s="243">
        <f>('Pivot Table for Data Exchange'!$N$120)*100</f>
        <v>17.114791844616928</v>
      </c>
      <c r="F354" s="243">
        <f>('Pivot Table for Data Exchange'!$N$123)*100</f>
        <v>0</v>
      </c>
      <c r="G354" s="245">
        <f>('Pivot Table for Data Exchange'!$N$126)*100</f>
        <v>40.461247075426158</v>
      </c>
      <c r="H354" s="243">
        <f>('Pivot Table for Data Exchange'!$N$129)*100</f>
        <v>0</v>
      </c>
      <c r="I354" s="65"/>
      <c r="J354" s="81"/>
      <c r="K354" s="81"/>
      <c r="L354" s="81"/>
      <c r="M354" s="81"/>
      <c r="N354" s="81"/>
      <c r="O354" s="81"/>
      <c r="P354" s="81"/>
      <c r="Q354" s="97">
        <f t="shared" si="74"/>
        <v>100.00000000000001</v>
      </c>
      <c r="R354" s="97"/>
      <c r="S354" s="63"/>
      <c r="U354" s="63"/>
      <c r="V354" s="63"/>
      <c r="W354" s="63"/>
      <c r="X354" s="63"/>
      <c r="Y354" s="63"/>
      <c r="Z354" s="63"/>
      <c r="AA354" s="63"/>
      <c r="AB354" s="63"/>
      <c r="AC354" s="63"/>
      <c r="AD354" s="63"/>
      <c r="AE354" s="63"/>
      <c r="AF354" s="63"/>
      <c r="AG354" s="63"/>
      <c r="AH354" s="63"/>
      <c r="AI354" s="63"/>
      <c r="AJ354" s="63"/>
      <c r="AK354" s="63"/>
      <c r="AL354" s="63"/>
      <c r="AM354" s="63"/>
      <c r="AN354" s="63"/>
      <c r="AO354" s="63"/>
    </row>
    <row r="355" spans="1:41" ht="15.75" customHeight="1" x14ac:dyDescent="0.2">
      <c r="A355" s="65"/>
      <c r="B355" s="243"/>
      <c r="C355" s="243"/>
      <c r="D355" s="249"/>
      <c r="E355" s="243"/>
      <c r="F355" s="243"/>
      <c r="G355" s="245"/>
      <c r="H355" s="243"/>
      <c r="I355" s="65"/>
      <c r="J355" s="81"/>
      <c r="K355" s="81"/>
      <c r="L355" s="81"/>
      <c r="M355" s="81"/>
      <c r="N355" s="81"/>
      <c r="O355" s="81"/>
      <c r="P355" s="81"/>
      <c r="Q355" s="97">
        <f t="shared" si="74"/>
        <v>0</v>
      </c>
      <c r="R355" s="97"/>
      <c r="S355" s="63"/>
      <c r="U355" s="63"/>
      <c r="V355" s="63"/>
      <c r="W355" s="63"/>
      <c r="X355" s="63"/>
      <c r="Y355" s="63"/>
      <c r="Z355" s="63"/>
      <c r="AA355" s="63"/>
      <c r="AB355" s="63"/>
      <c r="AC355" s="63"/>
      <c r="AD355" s="63"/>
      <c r="AE355" s="63"/>
      <c r="AF355" s="63"/>
      <c r="AG355" s="63"/>
      <c r="AH355" s="63"/>
      <c r="AI355" s="63"/>
      <c r="AJ355" s="63"/>
      <c r="AK355" s="63"/>
      <c r="AL355" s="63"/>
      <c r="AM355" s="63"/>
      <c r="AN355" s="63"/>
      <c r="AO355" s="63"/>
    </row>
    <row r="356" spans="1:41" ht="15.75" customHeight="1" x14ac:dyDescent="0.2">
      <c r="A356" s="65" t="s">
        <v>145</v>
      </c>
      <c r="B356" s="243">
        <f>('Pivot Table for Data Exchange'!$N$150)*100</f>
        <v>0</v>
      </c>
      <c r="C356" s="243">
        <f>('Pivot Table for Data Exchange'!$N$153)*100</f>
        <v>0</v>
      </c>
      <c r="D356" s="249">
        <f t="shared" ref="D356:D359" si="77">SUM(E356:G356)</f>
        <v>0</v>
      </c>
      <c r="E356" s="243">
        <f>('Pivot Table for Data Exchange'!$N$156)*100</f>
        <v>0</v>
      </c>
      <c r="F356" s="243">
        <f>('Pivot Table for Data Exchange'!$N$159)*100</f>
        <v>0</v>
      </c>
      <c r="G356" s="245">
        <f>('Pivot Table for Data Exchange'!$N$162)*100</f>
        <v>0</v>
      </c>
      <c r="H356" s="243">
        <f>('Pivot Table for Data Exchange'!$N$165)*100</f>
        <v>0</v>
      </c>
      <c r="I356" s="65"/>
      <c r="J356" s="81"/>
      <c r="K356" s="81"/>
      <c r="L356" s="81"/>
      <c r="M356" s="81"/>
      <c r="N356" s="81"/>
      <c r="O356" s="81"/>
      <c r="P356" s="81"/>
      <c r="Q356" s="97">
        <f t="shared" si="74"/>
        <v>0</v>
      </c>
      <c r="R356" s="97"/>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row>
    <row r="357" spans="1:41" ht="15.75" customHeight="1" x14ac:dyDescent="0.2">
      <c r="A357" s="65" t="s">
        <v>146</v>
      </c>
      <c r="B357" s="243">
        <f>('Pivot Table for Data Exchange'!$N$186)*100</f>
        <v>56.670367286520495</v>
      </c>
      <c r="C357" s="243">
        <f>('Pivot Table for Data Exchange'!$N$189)*100</f>
        <v>1.1032472939217319</v>
      </c>
      <c r="D357" s="249">
        <f t="shared" si="77"/>
        <v>42.226385419557779</v>
      </c>
      <c r="E357" s="243">
        <f>('Pivot Table for Data Exchange'!$N$192)*100</f>
        <v>41.391433065038399</v>
      </c>
      <c r="F357" s="243">
        <f>('Pivot Table for Data Exchange'!$N$195)*100</f>
        <v>0.83495235451938199</v>
      </c>
      <c r="G357" s="245">
        <f>('Pivot Table for Data Exchange'!$N$198)*100</f>
        <v>0</v>
      </c>
      <c r="H357" s="243">
        <f>('Pivot Table for Data Exchange'!$N$201)*100</f>
        <v>0</v>
      </c>
      <c r="I357" s="65"/>
      <c r="J357" s="81"/>
      <c r="K357" s="81"/>
      <c r="L357" s="81"/>
      <c r="M357" s="81"/>
      <c r="N357" s="81"/>
      <c r="O357" s="81"/>
      <c r="P357" s="81"/>
      <c r="Q357" s="97">
        <f t="shared" si="74"/>
        <v>100</v>
      </c>
      <c r="R357" s="97"/>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row>
    <row r="358" spans="1:41" ht="15.75" customHeight="1" x14ac:dyDescent="0.2">
      <c r="A358" s="65" t="s">
        <v>147</v>
      </c>
      <c r="B358" s="243">
        <f>('Pivot Table for Data Exchange'!$N$222)*100</f>
        <v>0</v>
      </c>
      <c r="C358" s="243">
        <f>('Pivot Table for Data Exchange'!$N$225)*100</f>
        <v>0</v>
      </c>
      <c r="D358" s="249">
        <f t="shared" si="77"/>
        <v>0</v>
      </c>
      <c r="E358" s="243">
        <f>('Pivot Table for Data Exchange'!$N$228)*100</f>
        <v>0</v>
      </c>
      <c r="F358" s="243">
        <f>('Pivot Table for Data Exchange'!$N$231)*100</f>
        <v>0</v>
      </c>
      <c r="G358" s="245">
        <f>('Pivot Table for Data Exchange'!$N$234)*100</f>
        <v>0</v>
      </c>
      <c r="H358" s="243">
        <f>('Pivot Table for Data Exchange'!$N$237)*100</f>
        <v>0</v>
      </c>
      <c r="I358" s="65"/>
      <c r="J358" s="81"/>
      <c r="K358" s="81"/>
      <c r="L358" s="81"/>
      <c r="M358" s="81"/>
      <c r="N358" s="81"/>
      <c r="O358" s="81"/>
      <c r="P358" s="81"/>
      <c r="Q358" s="97">
        <f t="shared" si="74"/>
        <v>0</v>
      </c>
      <c r="R358" s="97"/>
      <c r="S358" s="63"/>
      <c r="T358" s="74"/>
      <c r="U358" s="63"/>
      <c r="V358" s="63"/>
      <c r="W358" s="63"/>
      <c r="X358" s="63"/>
      <c r="Y358" s="63"/>
      <c r="Z358" s="63"/>
      <c r="AA358" s="63"/>
      <c r="AB358" s="63"/>
      <c r="AC358" s="63"/>
      <c r="AD358" s="63"/>
      <c r="AE358" s="63"/>
      <c r="AF358" s="63"/>
      <c r="AG358" s="63"/>
      <c r="AH358" s="63"/>
      <c r="AI358" s="63"/>
      <c r="AJ358" s="63"/>
      <c r="AK358" s="63"/>
      <c r="AL358" s="63"/>
      <c r="AM358" s="63"/>
      <c r="AN358" s="63"/>
      <c r="AO358" s="63"/>
    </row>
    <row r="359" spans="1:41" ht="15.75" customHeight="1" x14ac:dyDescent="0.2">
      <c r="A359" s="65" t="s">
        <v>177</v>
      </c>
      <c r="B359" s="243">
        <f>('Pivot Table for Data Exchange'!$N$258)*100</f>
        <v>74.015477384937867</v>
      </c>
      <c r="C359" s="243">
        <f>('Pivot Table for Data Exchange'!$N$261)*100</f>
        <v>8.3271907254900004</v>
      </c>
      <c r="D359" s="249">
        <f t="shared" si="77"/>
        <v>17.657331889572134</v>
      </c>
      <c r="E359" s="243">
        <f>('Pivot Table for Data Exchange'!$N$264)*100</f>
        <v>16.739417660908178</v>
      </c>
      <c r="F359" s="243">
        <f>('Pivot Table for Data Exchange'!$N$267)*100</f>
        <v>0.917914228663958</v>
      </c>
      <c r="G359" s="245">
        <f>('Pivot Table for Data Exchange'!$N$270)*100</f>
        <v>0</v>
      </c>
      <c r="H359" s="243">
        <f>('Pivot Table for Data Exchange'!$N$273)*100</f>
        <v>0</v>
      </c>
      <c r="I359" s="65"/>
      <c r="J359" s="81"/>
      <c r="K359" s="81"/>
      <c r="L359" s="81"/>
      <c r="M359" s="81"/>
      <c r="N359" s="81"/>
      <c r="O359" s="81"/>
      <c r="P359" s="81"/>
      <c r="Q359" s="97">
        <f t="shared" si="74"/>
        <v>100</v>
      </c>
      <c r="R359" s="97"/>
      <c r="S359" s="63"/>
      <c r="U359" s="63"/>
      <c r="V359" s="63"/>
      <c r="W359" s="63"/>
      <c r="X359" s="63"/>
      <c r="Y359" s="63"/>
      <c r="Z359" s="63"/>
      <c r="AA359" s="63"/>
      <c r="AB359" s="63"/>
      <c r="AC359" s="63"/>
      <c r="AD359" s="63"/>
      <c r="AE359" s="63"/>
      <c r="AF359" s="63"/>
      <c r="AG359" s="63"/>
      <c r="AH359" s="63"/>
      <c r="AI359" s="63"/>
      <c r="AJ359" s="63"/>
      <c r="AK359" s="63"/>
      <c r="AL359" s="63"/>
      <c r="AM359" s="63"/>
      <c r="AN359" s="63"/>
      <c r="AO359" s="63"/>
    </row>
    <row r="360" spans="1:41" ht="12.75" customHeight="1" x14ac:dyDescent="0.2">
      <c r="A360" s="65"/>
      <c r="B360" s="243"/>
      <c r="C360" s="243"/>
      <c r="D360" s="249"/>
      <c r="E360" s="243"/>
      <c r="F360" s="243"/>
      <c r="G360" s="245"/>
      <c r="H360" s="243"/>
      <c r="I360" s="65"/>
      <c r="J360" s="81"/>
      <c r="K360" s="81"/>
      <c r="L360" s="81"/>
      <c r="M360" s="81"/>
      <c r="N360" s="81"/>
      <c r="O360" s="81"/>
      <c r="P360" s="81"/>
      <c r="Q360" s="97">
        <f t="shared" si="74"/>
        <v>0</v>
      </c>
      <c r="R360" s="97"/>
      <c r="S360" s="63"/>
      <c r="U360" s="63"/>
      <c r="V360" s="63"/>
      <c r="W360" s="63"/>
      <c r="X360" s="63"/>
      <c r="Y360" s="63"/>
      <c r="Z360" s="63"/>
      <c r="AA360" s="63"/>
      <c r="AB360" s="63"/>
      <c r="AC360" s="63"/>
      <c r="AD360" s="63"/>
      <c r="AE360" s="63"/>
      <c r="AF360" s="63"/>
      <c r="AG360" s="63"/>
      <c r="AH360" s="63"/>
      <c r="AI360" s="63"/>
      <c r="AJ360" s="63"/>
      <c r="AK360" s="63"/>
      <c r="AL360" s="63"/>
      <c r="AM360" s="63"/>
      <c r="AN360" s="63"/>
      <c r="AO360" s="63"/>
    </row>
    <row r="361" spans="1:41" ht="15.75" customHeight="1" x14ac:dyDescent="0.2">
      <c r="A361" s="65" t="s">
        <v>179</v>
      </c>
      <c r="B361" s="243">
        <f>('Pivot Table for Data Exchange'!$N$294)*100</f>
        <v>87.860860969092229</v>
      </c>
      <c r="C361" s="243">
        <f>('Pivot Table for Data Exchange'!$N$297)*100</f>
        <v>0</v>
      </c>
      <c r="D361" s="249">
        <f t="shared" ref="D361:D363" si="78">SUM(E361:G361)</f>
        <v>12.139139030907771</v>
      </c>
      <c r="E361" s="243">
        <f>('Pivot Table for Data Exchange'!$N$300)*100</f>
        <v>12.139139030907771</v>
      </c>
      <c r="F361" s="243">
        <f>('Pivot Table for Data Exchange'!$N$303)*100</f>
        <v>0</v>
      </c>
      <c r="G361" s="245">
        <f>('Pivot Table for Data Exchange'!$N$306)*100</f>
        <v>0</v>
      </c>
      <c r="H361" s="243">
        <f>('Pivot Table for Data Exchange'!$N$309)*100</f>
        <v>0</v>
      </c>
      <c r="I361" s="86"/>
      <c r="J361" s="81"/>
      <c r="K361" s="81"/>
      <c r="L361" s="81"/>
      <c r="M361" s="81"/>
      <c r="N361" s="81"/>
      <c r="O361" s="81"/>
      <c r="P361" s="81"/>
      <c r="Q361" s="97">
        <f t="shared" si="74"/>
        <v>100</v>
      </c>
      <c r="R361" s="97"/>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row>
    <row r="362" spans="1:41" ht="15.75" customHeight="1" x14ac:dyDescent="0.2">
      <c r="A362" s="65" t="s">
        <v>149</v>
      </c>
      <c r="B362" s="243">
        <f>('Pivot Table for Data Exchange'!$N$330)*100</f>
        <v>62.353873365895709</v>
      </c>
      <c r="C362" s="243">
        <f>('Pivot Table for Data Exchange'!$N$333)*100</f>
        <v>3.0600174184743572</v>
      </c>
      <c r="D362" s="249">
        <f t="shared" si="78"/>
        <v>34.586109215629939</v>
      </c>
      <c r="E362" s="243">
        <f>('Pivot Table for Data Exchange'!$N$336)*100</f>
        <v>32.582984664559689</v>
      </c>
      <c r="F362" s="243">
        <f>('Pivot Table for Data Exchange'!$N$339)*100</f>
        <v>1.304028695589714</v>
      </c>
      <c r="G362" s="245">
        <f>('Pivot Table for Data Exchange'!$N$342)*100</f>
        <v>0.69909585548053443</v>
      </c>
      <c r="H362" s="243">
        <f>('Pivot Table for Data Exchange'!$N$345)*100</f>
        <v>0</v>
      </c>
      <c r="I362" s="65"/>
      <c r="J362" s="81"/>
      <c r="K362" s="81"/>
      <c r="L362" s="81"/>
      <c r="M362" s="81"/>
      <c r="N362" s="81"/>
      <c r="O362" s="81"/>
      <c r="P362" s="81"/>
      <c r="Q362" s="97">
        <f t="shared" si="74"/>
        <v>100</v>
      </c>
      <c r="R362" s="97"/>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row>
    <row r="363" spans="1:41" ht="15.75" customHeight="1" x14ac:dyDescent="0.2">
      <c r="A363" s="65" t="s">
        <v>150</v>
      </c>
      <c r="B363" s="243">
        <f>('Pivot Table for Data Exchange'!$N$366)*100</f>
        <v>61.117223691842696</v>
      </c>
      <c r="C363" s="243">
        <f>('Pivot Table for Data Exchange'!$N$369)*100</f>
        <v>9.6029943842290209</v>
      </c>
      <c r="D363" s="249">
        <f t="shared" si="78"/>
        <v>29.279781923928283</v>
      </c>
      <c r="E363" s="243">
        <f>('Pivot Table for Data Exchange'!$N$372)*100</f>
        <v>23.431212657984201</v>
      </c>
      <c r="F363" s="243">
        <f>('Pivot Table for Data Exchange'!$N$375)*100</f>
        <v>5.7455657778714171</v>
      </c>
      <c r="G363" s="245">
        <f>('Pivot Table for Data Exchange'!$N$378)*100</f>
        <v>0.10300348807266428</v>
      </c>
      <c r="H363" s="243">
        <f>('Pivot Table for Data Exchange'!$N$381)*100</f>
        <v>0</v>
      </c>
      <c r="I363" s="65"/>
      <c r="J363" s="81"/>
      <c r="K363" s="81"/>
      <c r="L363" s="81"/>
      <c r="M363" s="81"/>
      <c r="N363" s="81"/>
      <c r="O363" s="81"/>
      <c r="P363" s="81"/>
      <c r="Q363" s="97">
        <f t="shared" si="74"/>
        <v>100</v>
      </c>
      <c r="R363" s="97"/>
      <c r="S363" s="63"/>
      <c r="T363" s="74"/>
      <c r="U363" s="63"/>
      <c r="V363" s="63"/>
      <c r="W363" s="63"/>
      <c r="X363" s="63"/>
      <c r="Y363" s="63"/>
      <c r="Z363" s="63"/>
      <c r="AA363" s="63"/>
      <c r="AB363" s="63"/>
      <c r="AC363" s="63"/>
      <c r="AD363" s="63"/>
      <c r="AE363" s="63"/>
      <c r="AF363" s="63"/>
      <c r="AG363" s="63"/>
      <c r="AH363" s="63"/>
      <c r="AI363" s="63"/>
      <c r="AJ363" s="63"/>
      <c r="AK363" s="63"/>
      <c r="AL363" s="63"/>
      <c r="AM363" s="63"/>
      <c r="AN363" s="63"/>
      <c r="AO363" s="63"/>
    </row>
    <row r="364" spans="1:41" ht="15.75" customHeight="1" x14ac:dyDescent="0.2">
      <c r="A364" s="65" t="s">
        <v>151</v>
      </c>
      <c r="B364" s="243">
        <f>('Pivot Table for Data Exchange'!$N$402)*100</f>
        <v>86.163715731842473</v>
      </c>
      <c r="C364" s="243">
        <f>('Pivot Table for Data Exchange'!$N$405)*100</f>
        <v>3.8073048815140003</v>
      </c>
      <c r="D364" s="249">
        <f>SUM(E364:G364)</f>
        <v>10.028979386643531</v>
      </c>
      <c r="E364" s="243">
        <f>('Pivot Table for Data Exchange'!$N$408)*100</f>
        <v>8.0892195306901051</v>
      </c>
      <c r="F364" s="243">
        <f>('Pivot Table for Data Exchange'!$N$411)*100</f>
        <v>1.9397598559534255</v>
      </c>
      <c r="G364" s="245">
        <f>('Pivot Table for Data Exchange'!$N$414)*100</f>
        <v>0</v>
      </c>
      <c r="H364" s="243">
        <f>('Pivot Table for Data Exchange'!$N$417)*100</f>
        <v>0</v>
      </c>
      <c r="I364" s="65"/>
      <c r="J364" s="81"/>
      <c r="K364" s="81"/>
      <c r="L364" s="81"/>
      <c r="M364" s="81"/>
      <c r="N364" s="81"/>
      <c r="O364" s="81"/>
      <c r="P364" s="81"/>
      <c r="Q364" s="97">
        <f t="shared" si="74"/>
        <v>100</v>
      </c>
      <c r="R364" s="97"/>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row>
    <row r="365" spans="1:41" ht="12" customHeight="1" x14ac:dyDescent="0.2">
      <c r="A365" s="65"/>
      <c r="B365" s="243"/>
      <c r="C365" s="243"/>
      <c r="D365" s="249"/>
      <c r="E365" s="243"/>
      <c r="F365" s="243"/>
      <c r="G365" s="245"/>
      <c r="H365" s="243"/>
      <c r="I365" s="65"/>
      <c r="J365" s="81"/>
      <c r="K365" s="81"/>
      <c r="L365" s="81"/>
      <c r="M365" s="81"/>
      <c r="N365" s="81"/>
      <c r="O365" s="81"/>
      <c r="P365" s="81"/>
      <c r="Q365" s="97">
        <f t="shared" si="74"/>
        <v>0</v>
      </c>
      <c r="R365" s="97"/>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row>
    <row r="366" spans="1:41" ht="15.75" customHeight="1" x14ac:dyDescent="0.2">
      <c r="A366" s="65" t="s">
        <v>152</v>
      </c>
      <c r="B366" s="243">
        <f>('Pivot Table for Data Exchange'!$N$438)*100</f>
        <v>0</v>
      </c>
      <c r="C366" s="243">
        <f>('Pivot Table for Data Exchange'!$N$441)*100</f>
        <v>0</v>
      </c>
      <c r="D366" s="249">
        <f>SUM(E366:G366)</f>
        <v>0</v>
      </c>
      <c r="E366" s="243">
        <f>('Pivot Table for Data Exchange'!$N$444)*100</f>
        <v>0</v>
      </c>
      <c r="F366" s="243">
        <f>('Pivot Table for Data Exchange'!$N$447)*100</f>
        <v>0</v>
      </c>
      <c r="G366" s="245">
        <f>('Pivot Table for Data Exchange'!$N$450)*100</f>
        <v>0</v>
      </c>
      <c r="H366" s="243">
        <f>('Pivot Table for Data Exchange'!$N$453)*100</f>
        <v>0</v>
      </c>
      <c r="I366" s="65"/>
      <c r="J366" s="81"/>
      <c r="K366" s="81"/>
      <c r="L366" s="81"/>
      <c r="M366" s="81"/>
      <c r="N366" s="81"/>
      <c r="O366" s="81"/>
      <c r="P366" s="81"/>
      <c r="Q366" s="97">
        <f t="shared" si="74"/>
        <v>0</v>
      </c>
      <c r="R366" s="97"/>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row>
    <row r="367" spans="1:41" ht="15.75" customHeight="1" x14ac:dyDescent="0.2">
      <c r="A367" s="65" t="s">
        <v>153</v>
      </c>
      <c r="B367" s="243">
        <f>('Pivot Table for Data Exchange'!$N$474)*100</f>
        <v>60.14860573513873</v>
      </c>
      <c r="C367" s="243">
        <f>('Pivot Table for Data Exchange'!$N$477)*100</f>
        <v>15.069103628816396</v>
      </c>
      <c r="D367" s="249">
        <f>SUM(E367:G367)</f>
        <v>24.78229063604488</v>
      </c>
      <c r="E367" s="243">
        <f>('Pivot Table for Data Exchange'!$N$480)*100</f>
        <v>21.593797910774899</v>
      </c>
      <c r="F367" s="243">
        <f>('Pivot Table for Data Exchange'!$N$483)*100</f>
        <v>2.2974749357452571</v>
      </c>
      <c r="G367" s="245">
        <f>('Pivot Table for Data Exchange'!$N$486)*100</f>
        <v>0.8910177895247251</v>
      </c>
      <c r="H367" s="243">
        <f>('Pivot Table for Data Exchange'!$N$489)*100</f>
        <v>0</v>
      </c>
      <c r="I367" s="65"/>
      <c r="J367" s="81"/>
      <c r="K367" s="81"/>
      <c r="L367" s="81"/>
      <c r="M367" s="81"/>
      <c r="N367" s="81"/>
      <c r="O367" s="81"/>
      <c r="P367" s="81"/>
      <c r="Q367" s="97">
        <f t="shared" si="74"/>
        <v>100</v>
      </c>
      <c r="R367" s="97"/>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row>
    <row r="368" spans="1:41" ht="15.75" customHeight="1" x14ac:dyDescent="0.2">
      <c r="A368" s="65" t="s">
        <v>154</v>
      </c>
      <c r="B368" s="243">
        <f>('Pivot Table for Data Exchange'!$N$510)*100</f>
        <v>53.704481035116949</v>
      </c>
      <c r="C368" s="243">
        <f>('Pivot Table for Data Exchange'!$N$513)*100</f>
        <v>17.563234307722269</v>
      </c>
      <c r="D368" s="249">
        <f t="shared" ref="D368" si="79">SUM(E368:G368)</f>
        <v>28.732284657160783</v>
      </c>
      <c r="E368" s="243">
        <f>('Pivot Table for Data Exchange'!$N$516)*100</f>
        <v>18.403617716424691</v>
      </c>
      <c r="F368" s="243">
        <f>('Pivot Table for Data Exchange'!$N$519)*100</f>
        <v>10.328666940736094</v>
      </c>
      <c r="G368" s="245">
        <f>('Pivot Table for Data Exchange'!$N$522)*100</f>
        <v>0</v>
      </c>
      <c r="H368" s="243">
        <f>('Pivot Table for Data Exchange'!$N$525)*100</f>
        <v>0</v>
      </c>
      <c r="I368" s="65"/>
      <c r="J368" s="81"/>
      <c r="K368" s="81"/>
      <c r="L368" s="81"/>
      <c r="M368" s="81"/>
      <c r="N368" s="81"/>
      <c r="O368" s="81"/>
      <c r="P368" s="81"/>
      <c r="Q368" s="97">
        <f t="shared" si="74"/>
        <v>100</v>
      </c>
      <c r="R368" s="97"/>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row>
    <row r="369" spans="1:41" ht="15.75" customHeight="1" x14ac:dyDescent="0.2">
      <c r="A369" s="39" t="s">
        <v>181</v>
      </c>
      <c r="B369" s="246">
        <f>('Pivot Table for Data Exchange'!$N$546)*100</f>
        <v>65.442872734276364</v>
      </c>
      <c r="C369" s="246">
        <f>('Pivot Table for Data Exchange'!$N$549)*100</f>
        <v>16.55374606775236</v>
      </c>
      <c r="D369" s="250">
        <f>SUM(E369:G369)</f>
        <v>18.003381197971283</v>
      </c>
      <c r="E369" s="246">
        <f>('Pivot Table for Data Exchange'!$N$552)*100</f>
        <v>17.079329752402149</v>
      </c>
      <c r="F369" s="246">
        <f>('Pivot Table for Data Exchange'!$N$555)*100</f>
        <v>0.86755547946671241</v>
      </c>
      <c r="G369" s="247">
        <f>('Pivot Table for Data Exchange'!$N$558)*100</f>
        <v>5.6495966102420331E-2</v>
      </c>
      <c r="H369" s="246">
        <f>('Pivot Table for Data Exchange'!$N$561)*100</f>
        <v>0</v>
      </c>
      <c r="I369" s="65"/>
      <c r="J369" s="81"/>
      <c r="K369" s="81"/>
      <c r="L369" s="81"/>
      <c r="M369" s="81"/>
      <c r="N369" s="81"/>
      <c r="O369" s="81"/>
      <c r="P369" s="81"/>
      <c r="Q369" s="97">
        <f t="shared" si="74"/>
        <v>100</v>
      </c>
      <c r="R369" s="97"/>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row>
    <row r="370" spans="1:41" s="25" customFormat="1" ht="18" customHeight="1" x14ac:dyDescent="0.2">
      <c r="A370" s="24" t="s">
        <v>175</v>
      </c>
      <c r="B370" s="69"/>
      <c r="C370" s="69"/>
      <c r="D370" s="70"/>
      <c r="E370" s="69"/>
      <c r="F370" s="70"/>
      <c r="G370" s="70"/>
      <c r="H370" s="69"/>
      <c r="I370" s="24"/>
      <c r="J370" s="69"/>
      <c r="K370" s="69"/>
      <c r="L370" s="70"/>
      <c r="M370" s="69"/>
      <c r="N370" s="70"/>
      <c r="O370" s="70"/>
      <c r="P370" s="69"/>
      <c r="Q370" s="97">
        <f t="shared" si="74"/>
        <v>0</v>
      </c>
      <c r="R370" s="101"/>
      <c r="S370" s="71"/>
      <c r="T370" s="71"/>
      <c r="U370" s="71"/>
      <c r="V370" s="71"/>
      <c r="W370" s="71"/>
      <c r="X370" s="71"/>
      <c r="Y370" s="71"/>
      <c r="Z370" s="71"/>
      <c r="AA370" s="71"/>
      <c r="AB370" s="71"/>
      <c r="AC370" s="71"/>
      <c r="AD370" s="71"/>
      <c r="AE370" s="71"/>
      <c r="AF370" s="71"/>
      <c r="AG370" s="71"/>
      <c r="AH370" s="71"/>
      <c r="AI370" s="71"/>
      <c r="AJ370" s="71"/>
      <c r="AK370" s="71"/>
      <c r="AL370" s="71"/>
      <c r="AM370" s="71"/>
      <c r="AN370" s="71"/>
      <c r="AO370" s="71"/>
    </row>
    <row r="371" spans="1:41" s="25" customFormat="1" ht="27.75" customHeight="1" x14ac:dyDescent="0.25">
      <c r="A371" s="680" t="s">
        <v>180</v>
      </c>
      <c r="B371" s="686"/>
      <c r="C371" s="686"/>
      <c r="D371" s="686"/>
      <c r="E371" s="686"/>
      <c r="F371" s="686"/>
      <c r="G371" s="686"/>
      <c r="H371" s="686"/>
      <c r="I371" s="24"/>
      <c r="P371" s="77"/>
      <c r="Q371" s="97">
        <f t="shared" si="74"/>
        <v>0</v>
      </c>
      <c r="R371" s="106"/>
    </row>
    <row r="372" spans="1:41" s="25" customFormat="1" ht="13.5" customHeight="1" x14ac:dyDescent="0.2">
      <c r="A372" s="75"/>
      <c r="H372" s="26"/>
      <c r="I372" s="75"/>
      <c r="Q372" s="97">
        <f t="shared" si="74"/>
        <v>0</v>
      </c>
      <c r="R372" s="106"/>
    </row>
    <row r="373" spans="1:41" s="25" customFormat="1" x14ac:dyDescent="0.2">
      <c r="A373" s="26"/>
      <c r="B373" s="69"/>
      <c r="C373" s="69"/>
      <c r="D373" s="70"/>
      <c r="E373" s="69"/>
      <c r="F373" s="70"/>
      <c r="G373" s="70"/>
      <c r="H373" s="27" t="s">
        <v>914</v>
      </c>
      <c r="I373" s="85"/>
      <c r="J373" s="26"/>
      <c r="K373" s="26"/>
      <c r="L373" s="26"/>
      <c r="M373" s="26"/>
      <c r="N373" s="26"/>
      <c r="O373" s="26"/>
      <c r="P373" s="26"/>
      <c r="Q373" s="97">
        <f t="shared" si="74"/>
        <v>0</v>
      </c>
      <c r="R373" s="101"/>
      <c r="S373" s="71"/>
      <c r="T373" s="71"/>
      <c r="U373" s="71"/>
      <c r="V373" s="71"/>
      <c r="W373" s="71"/>
      <c r="X373" s="71"/>
      <c r="Y373" s="71"/>
      <c r="Z373" s="71"/>
      <c r="AA373" s="71"/>
      <c r="AB373" s="71"/>
      <c r="AC373" s="71"/>
      <c r="AD373" s="71"/>
      <c r="AE373" s="71"/>
      <c r="AF373" s="71"/>
      <c r="AG373" s="71"/>
      <c r="AH373" s="71"/>
      <c r="AI373" s="71"/>
      <c r="AJ373" s="71"/>
      <c r="AK373" s="71"/>
      <c r="AL373" s="71"/>
      <c r="AM373" s="71"/>
      <c r="AN373" s="71"/>
      <c r="AO373" s="71"/>
    </row>
    <row r="374" spans="1:41" ht="18" x14ac:dyDescent="0.25">
      <c r="A374" s="16" t="s">
        <v>213</v>
      </c>
      <c r="B374" s="34"/>
      <c r="C374" s="34"/>
      <c r="D374" s="34"/>
      <c r="E374" s="34"/>
      <c r="F374" s="34"/>
      <c r="G374" s="34"/>
      <c r="H374" s="35"/>
      <c r="I374" s="80"/>
      <c r="J374" s="65"/>
      <c r="K374" s="65"/>
      <c r="L374" s="65"/>
      <c r="M374" s="65"/>
      <c r="N374" s="65"/>
      <c r="O374" s="65"/>
      <c r="P374" s="65"/>
      <c r="Q374" s="97">
        <f t="shared" si="74"/>
        <v>0</v>
      </c>
    </row>
    <row r="375" spans="1:41" x14ac:dyDescent="0.2">
      <c r="A375" s="18"/>
      <c r="B375" s="19"/>
      <c r="C375" s="19"/>
      <c r="D375" s="19"/>
      <c r="E375" s="19"/>
      <c r="F375" s="19"/>
      <c r="G375" s="19"/>
      <c r="H375" s="36"/>
      <c r="I375" s="80"/>
      <c r="J375" s="65"/>
      <c r="K375" s="65"/>
      <c r="L375" s="65"/>
      <c r="M375" s="65"/>
      <c r="N375" s="65"/>
      <c r="O375" s="65"/>
      <c r="P375" s="65"/>
      <c r="Q375" s="97">
        <f t="shared" si="74"/>
        <v>0</v>
      </c>
    </row>
    <row r="376" spans="1:41" ht="15.75" x14ac:dyDescent="0.25">
      <c r="A376" s="37" t="s">
        <v>162</v>
      </c>
      <c r="B376" s="19"/>
      <c r="C376" s="19"/>
      <c r="D376" s="19"/>
      <c r="E376" s="19"/>
      <c r="F376" s="19"/>
      <c r="G376" s="19"/>
      <c r="H376" s="36"/>
      <c r="I376" s="80"/>
      <c r="J376" s="65"/>
      <c r="K376" s="65"/>
      <c r="L376" s="65"/>
      <c r="M376" s="65"/>
      <c r="N376" s="65"/>
      <c r="O376" s="65"/>
      <c r="P376" s="65"/>
      <c r="Q376" s="97">
        <f t="shared" si="74"/>
        <v>0</v>
      </c>
    </row>
    <row r="377" spans="1:41" ht="15.75" x14ac:dyDescent="0.25">
      <c r="A377" s="37" t="s">
        <v>252</v>
      </c>
      <c r="B377" s="19"/>
      <c r="C377" s="19"/>
      <c r="D377" s="19"/>
      <c r="E377" s="19"/>
      <c r="F377" s="19"/>
      <c r="G377" s="19"/>
      <c r="H377" s="36"/>
      <c r="I377" s="80"/>
      <c r="J377" s="65"/>
      <c r="K377" s="65"/>
      <c r="L377" s="65"/>
      <c r="M377" s="65"/>
      <c r="N377" s="65"/>
      <c r="O377" s="65"/>
      <c r="P377" s="65"/>
      <c r="Q377" s="97">
        <f t="shared" si="74"/>
        <v>0</v>
      </c>
    </row>
    <row r="378" spans="1:41" x14ac:dyDescent="0.2">
      <c r="A378" s="39"/>
      <c r="B378" s="40"/>
      <c r="C378" s="40"/>
      <c r="D378" s="40"/>
      <c r="E378" s="40"/>
      <c r="F378" s="40"/>
      <c r="G378" s="40"/>
      <c r="H378" s="40"/>
      <c r="I378" s="80"/>
      <c r="J378" s="65"/>
      <c r="K378" s="65"/>
      <c r="L378" s="65"/>
      <c r="M378" s="65"/>
      <c r="N378" s="65"/>
      <c r="O378" s="65"/>
      <c r="P378" s="65"/>
      <c r="Q378" s="97">
        <f t="shared" si="74"/>
        <v>0</v>
      </c>
    </row>
    <row r="379" spans="1:41" x14ac:dyDescent="0.2">
      <c r="A379" s="43"/>
      <c r="B379" s="44" t="s">
        <v>164</v>
      </c>
      <c r="C379" s="44"/>
      <c r="D379" s="44"/>
      <c r="E379" s="44"/>
      <c r="F379" s="44"/>
      <c r="G379" s="44"/>
      <c r="H379" s="45"/>
      <c r="I379" s="80"/>
      <c r="J379" s="65"/>
      <c r="K379" s="65"/>
      <c r="L379" s="65"/>
      <c r="M379" s="65"/>
      <c r="N379" s="65"/>
      <c r="O379" s="65"/>
      <c r="P379" s="65"/>
      <c r="Q379" s="97">
        <f t="shared" si="74"/>
        <v>0</v>
      </c>
    </row>
    <row r="380" spans="1:41" x14ac:dyDescent="0.2">
      <c r="A380" s="43"/>
      <c r="B380" s="44" t="s">
        <v>165</v>
      </c>
      <c r="C380" s="44"/>
      <c r="D380" s="670" t="s">
        <v>166</v>
      </c>
      <c r="E380" s="668"/>
      <c r="F380" s="668"/>
      <c r="G380" s="668"/>
      <c r="H380" s="49" t="s">
        <v>39</v>
      </c>
      <c r="I380" s="80"/>
      <c r="J380" s="65"/>
      <c r="K380" s="65"/>
      <c r="L380" s="65"/>
      <c r="M380" s="65"/>
      <c r="N380" s="65"/>
      <c r="O380" s="65"/>
      <c r="P380" s="65"/>
      <c r="Q380" s="97">
        <f t="shared" si="74"/>
        <v>0</v>
      </c>
    </row>
    <row r="381" spans="1:41" ht="36" x14ac:dyDescent="0.2">
      <c r="A381" s="43"/>
      <c r="B381" s="50" t="s">
        <v>167</v>
      </c>
      <c r="C381" s="51" t="s">
        <v>168</v>
      </c>
      <c r="D381" s="52" t="s">
        <v>169</v>
      </c>
      <c r="E381" s="53" t="s">
        <v>7</v>
      </c>
      <c r="F381" s="50" t="s">
        <v>170</v>
      </c>
      <c r="G381" s="54" t="s">
        <v>171</v>
      </c>
      <c r="H381" s="55" t="s">
        <v>172</v>
      </c>
      <c r="I381" s="80"/>
      <c r="J381" s="65"/>
      <c r="K381" s="65"/>
      <c r="L381" s="65"/>
      <c r="M381" s="65"/>
      <c r="N381" s="65"/>
      <c r="O381" s="65"/>
      <c r="P381" s="65"/>
      <c r="Q381" s="97">
        <f t="shared" si="74"/>
        <v>0</v>
      </c>
    </row>
    <row r="382" spans="1:41" ht="15.75" customHeight="1" x14ac:dyDescent="0.2">
      <c r="A382" s="62" t="s">
        <v>141</v>
      </c>
      <c r="B382" s="243">
        <f>('Pivot Table for Data Exchange'!$R$6)*100</f>
        <v>57.234312908212402</v>
      </c>
      <c r="C382" s="243">
        <f>('Pivot Table for Data Exchange'!$R$9)*100</f>
        <v>32.737926624958519</v>
      </c>
      <c r="D382" s="249">
        <f>SUM(E382:G382)</f>
        <v>10.027760466829076</v>
      </c>
      <c r="E382" s="243">
        <f>('Pivot Table for Data Exchange'!$R$12)*100</f>
        <v>10.027760466829076</v>
      </c>
      <c r="F382" s="243">
        <f>('Pivot Table for Data Exchange'!$R$15)*100</f>
        <v>0</v>
      </c>
      <c r="G382" s="60">
        <f>('Pivot Table for Data Exchange'!$R$18)*100</f>
        <v>0</v>
      </c>
      <c r="H382" s="243">
        <f>('Pivot Table for Data Exchange'!$R$21)*100</f>
        <v>0</v>
      </c>
      <c r="I382" s="65"/>
      <c r="J382" s="81"/>
      <c r="K382" s="81"/>
      <c r="L382" s="81"/>
      <c r="M382" s="81"/>
      <c r="N382" s="81"/>
      <c r="O382" s="81"/>
      <c r="P382" s="81"/>
      <c r="Q382" s="97">
        <f t="shared" si="74"/>
        <v>100</v>
      </c>
      <c r="R382" s="97"/>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row>
    <row r="383" spans="1:41" ht="15.75" customHeight="1" x14ac:dyDescent="0.2">
      <c r="A383" s="65" t="s">
        <v>142</v>
      </c>
      <c r="B383" s="243">
        <f>('Pivot Table for Data Exchange'!$R$42)*100</f>
        <v>0</v>
      </c>
      <c r="C383" s="243">
        <f>('Pivot Table for Data Exchange'!$R$45)*100</f>
        <v>0</v>
      </c>
      <c r="D383" s="249">
        <f t="shared" ref="D383:D385" si="80">SUM(E383:G383)</f>
        <v>0</v>
      </c>
      <c r="E383" s="243">
        <f>('Pivot Table for Data Exchange'!$R$48)*100</f>
        <v>0</v>
      </c>
      <c r="F383" s="243">
        <f>('Pivot Table for Data Exchange'!$R$51)*100</f>
        <v>0</v>
      </c>
      <c r="G383" s="245">
        <f>('Pivot Table for Data Exchange'!$R$54)*100</f>
        <v>0</v>
      </c>
      <c r="H383" s="243">
        <f>('Pivot Table for Data Exchange'!$R$57)*100</f>
        <v>0</v>
      </c>
      <c r="I383" s="65"/>
      <c r="J383" s="81"/>
      <c r="K383" s="81"/>
      <c r="L383" s="81"/>
      <c r="M383" s="81"/>
      <c r="N383" s="81"/>
      <c r="O383" s="81"/>
      <c r="P383" s="81"/>
      <c r="Q383" s="97">
        <f t="shared" si="74"/>
        <v>0</v>
      </c>
      <c r="R383" s="97"/>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row>
    <row r="384" spans="1:41" ht="15.75" customHeight="1" x14ac:dyDescent="0.2">
      <c r="A384" s="65" t="s">
        <v>143</v>
      </c>
      <c r="B384" s="243">
        <f>('Pivot Table for Data Exchange'!$R$78)*100</f>
        <v>0</v>
      </c>
      <c r="C384" s="243">
        <f>('Pivot Table for Data Exchange'!$R$81)*100</f>
        <v>0</v>
      </c>
      <c r="D384" s="249">
        <f t="shared" si="80"/>
        <v>0</v>
      </c>
      <c r="E384" s="243">
        <f>('Pivot Table for Data Exchange'!$R$84)*100</f>
        <v>0</v>
      </c>
      <c r="F384" s="243">
        <f>('Pivot Table for Data Exchange'!$R$87)*100</f>
        <v>0</v>
      </c>
      <c r="G384" s="245">
        <f>('Pivot Table for Data Exchange'!$R$90)*100</f>
        <v>0</v>
      </c>
      <c r="H384" s="243">
        <f>('Pivot Table for Data Exchange'!$R$93)*100</f>
        <v>0</v>
      </c>
      <c r="I384" s="65"/>
      <c r="J384" s="81"/>
      <c r="K384" s="81"/>
      <c r="L384" s="81"/>
      <c r="M384" s="81"/>
      <c r="N384" s="81"/>
      <c r="O384" s="81"/>
      <c r="P384" s="81"/>
      <c r="Q384" s="97">
        <f t="shared" si="74"/>
        <v>0</v>
      </c>
      <c r="R384" s="97"/>
      <c r="S384" s="63"/>
      <c r="T384" s="74"/>
      <c r="U384" s="63"/>
      <c r="V384" s="63"/>
      <c r="W384" s="63"/>
      <c r="X384" s="63"/>
      <c r="Y384" s="63"/>
      <c r="Z384" s="63"/>
      <c r="AA384" s="63"/>
      <c r="AB384" s="63"/>
      <c r="AC384" s="63"/>
      <c r="AD384" s="63"/>
      <c r="AE384" s="63"/>
      <c r="AF384" s="63"/>
      <c r="AG384" s="63"/>
      <c r="AH384" s="63"/>
      <c r="AI384" s="63"/>
      <c r="AJ384" s="63"/>
      <c r="AK384" s="63"/>
      <c r="AL384" s="63"/>
      <c r="AM384" s="63"/>
      <c r="AN384" s="63"/>
      <c r="AO384" s="63"/>
    </row>
    <row r="385" spans="1:41" ht="15.75" customHeight="1" x14ac:dyDescent="0.2">
      <c r="A385" s="65" t="s">
        <v>144</v>
      </c>
      <c r="B385" s="243">
        <f>('Pivot Table for Data Exchange'!$R$114)*100</f>
        <v>0</v>
      </c>
      <c r="C385" s="243">
        <f>('Pivot Table for Data Exchange'!$R$117)*100</f>
        <v>0</v>
      </c>
      <c r="D385" s="249">
        <f t="shared" si="80"/>
        <v>0</v>
      </c>
      <c r="E385" s="243">
        <f>('Pivot Table for Data Exchange'!$R$120)*100</f>
        <v>0</v>
      </c>
      <c r="F385" s="243">
        <f>('Pivot Table for Data Exchange'!$R$123)*100</f>
        <v>0</v>
      </c>
      <c r="G385" s="245">
        <f>('Pivot Table for Data Exchange'!$R$126)*100</f>
        <v>0</v>
      </c>
      <c r="H385" s="243">
        <f>('Pivot Table for Data Exchange'!$R$129)*100</f>
        <v>0</v>
      </c>
      <c r="I385" s="65"/>
      <c r="J385" s="81"/>
      <c r="K385" s="81"/>
      <c r="L385" s="81"/>
      <c r="M385" s="81"/>
      <c r="N385" s="81"/>
      <c r="O385" s="81"/>
      <c r="P385" s="81"/>
      <c r="Q385" s="97">
        <f t="shared" si="74"/>
        <v>0</v>
      </c>
      <c r="R385" s="97"/>
      <c r="S385" s="63"/>
      <c r="U385" s="63"/>
      <c r="V385" s="63"/>
      <c r="W385" s="63"/>
      <c r="X385" s="63"/>
      <c r="Y385" s="63"/>
      <c r="Z385" s="63"/>
      <c r="AA385" s="63"/>
      <c r="AB385" s="63"/>
      <c r="AC385" s="63"/>
      <c r="AD385" s="63"/>
      <c r="AE385" s="63"/>
      <c r="AF385" s="63"/>
      <c r="AG385" s="63"/>
      <c r="AH385" s="63"/>
      <c r="AI385" s="63"/>
      <c r="AJ385" s="63"/>
      <c r="AK385" s="63"/>
      <c r="AL385" s="63"/>
      <c r="AM385" s="63"/>
      <c r="AN385" s="63"/>
      <c r="AO385" s="63"/>
    </row>
    <row r="386" spans="1:41" ht="15.75" customHeight="1" x14ac:dyDescent="0.2">
      <c r="A386" s="65"/>
      <c r="B386" s="243"/>
      <c r="C386" s="243"/>
      <c r="D386" s="249"/>
      <c r="E386" s="243"/>
      <c r="F386" s="243"/>
      <c r="G386" s="245"/>
      <c r="H386" s="243"/>
      <c r="I386" s="65"/>
      <c r="J386" s="81"/>
      <c r="K386" s="81"/>
      <c r="L386" s="81"/>
      <c r="M386" s="81"/>
      <c r="N386" s="81"/>
      <c r="O386" s="81"/>
      <c r="P386" s="81"/>
      <c r="Q386" s="97">
        <f t="shared" si="74"/>
        <v>0</v>
      </c>
      <c r="R386" s="97"/>
      <c r="S386" s="63"/>
      <c r="U386" s="63"/>
      <c r="V386" s="63"/>
      <c r="W386" s="63"/>
      <c r="X386" s="63"/>
      <c r="Y386" s="63"/>
      <c r="Z386" s="63"/>
      <c r="AA386" s="63"/>
      <c r="AB386" s="63"/>
      <c r="AC386" s="63"/>
      <c r="AD386" s="63"/>
      <c r="AE386" s="63"/>
      <c r="AF386" s="63"/>
      <c r="AG386" s="63"/>
      <c r="AH386" s="63"/>
      <c r="AI386" s="63"/>
      <c r="AJ386" s="63"/>
      <c r="AK386" s="63"/>
      <c r="AL386" s="63"/>
      <c r="AM386" s="63"/>
      <c r="AN386" s="63"/>
      <c r="AO386" s="63"/>
    </row>
    <row r="387" spans="1:41" ht="15.75" customHeight="1" x14ac:dyDescent="0.2">
      <c r="A387" s="65" t="s">
        <v>145</v>
      </c>
      <c r="B387" s="243">
        <f>('Pivot Table for Data Exchange'!$R$150)*100</f>
        <v>77.544665630776962</v>
      </c>
      <c r="C387" s="243">
        <f>('Pivot Table for Data Exchange'!$R$153)*100</f>
        <v>0</v>
      </c>
      <c r="D387" s="249">
        <f t="shared" ref="D387:D390" si="81">SUM(E387:G387)</f>
        <v>22.455334369223007</v>
      </c>
      <c r="E387" s="243">
        <f>('Pivot Table for Data Exchange'!$R$156)*100</f>
        <v>22.28196277934498</v>
      </c>
      <c r="F387" s="243">
        <f>('Pivot Table for Data Exchange'!$R$159)*100</f>
        <v>0.17337158987802578</v>
      </c>
      <c r="G387" s="245">
        <f>('Pivot Table for Data Exchange'!$R$162)*100</f>
        <v>0</v>
      </c>
      <c r="H387" s="243">
        <f>('Pivot Table for Data Exchange'!$R$165)*100</f>
        <v>0</v>
      </c>
      <c r="I387" s="65"/>
      <c r="J387" s="81"/>
      <c r="K387" s="81"/>
      <c r="L387" s="81"/>
      <c r="M387" s="81"/>
      <c r="N387" s="81"/>
      <c r="O387" s="81"/>
      <c r="P387" s="81"/>
      <c r="Q387" s="97">
        <f t="shared" si="74"/>
        <v>99.999999999999972</v>
      </c>
      <c r="R387" s="97"/>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row>
    <row r="388" spans="1:41" ht="15.75" customHeight="1" x14ac:dyDescent="0.2">
      <c r="A388" s="65" t="s">
        <v>146</v>
      </c>
      <c r="B388" s="243">
        <f>('Pivot Table for Data Exchange'!$R$186)*100</f>
        <v>89.327677595250293</v>
      </c>
      <c r="C388" s="243">
        <f>('Pivot Table for Data Exchange'!$R$189)*100</f>
        <v>0.47953831462695651</v>
      </c>
      <c r="D388" s="249">
        <f t="shared" si="81"/>
        <v>10.192784090122755</v>
      </c>
      <c r="E388" s="243">
        <f>('Pivot Table for Data Exchange'!$R$192)*100</f>
        <v>10.192784090122755</v>
      </c>
      <c r="F388" s="243">
        <f>('Pivot Table for Data Exchange'!$R$195)*100</f>
        <v>0</v>
      </c>
      <c r="G388" s="245">
        <f>('Pivot Table for Data Exchange'!$R$198)*100</f>
        <v>0</v>
      </c>
      <c r="H388" s="243">
        <f>('Pivot Table for Data Exchange'!$R$201)*100</f>
        <v>0</v>
      </c>
      <c r="I388" s="65"/>
      <c r="J388" s="81"/>
      <c r="K388" s="81"/>
      <c r="L388" s="81"/>
      <c r="M388" s="81"/>
      <c r="N388" s="81"/>
      <c r="O388" s="81"/>
      <c r="P388" s="81"/>
      <c r="Q388" s="97">
        <f t="shared" si="74"/>
        <v>100</v>
      </c>
      <c r="R388" s="97"/>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row>
    <row r="389" spans="1:41" ht="15.75" customHeight="1" x14ac:dyDescent="0.2">
      <c r="A389" s="65" t="s">
        <v>147</v>
      </c>
      <c r="B389" s="243">
        <f>('Pivot Table for Data Exchange'!$R$222)*100</f>
        <v>0</v>
      </c>
      <c r="C389" s="243">
        <f>('Pivot Table for Data Exchange'!$R$225)*100</f>
        <v>0</v>
      </c>
      <c r="D389" s="249">
        <f t="shared" si="81"/>
        <v>0</v>
      </c>
      <c r="E389" s="243">
        <f>('Pivot Table for Data Exchange'!$R$228)*100</f>
        <v>0</v>
      </c>
      <c r="F389" s="243">
        <f>('Pivot Table for Data Exchange'!$R$231)*100</f>
        <v>0</v>
      </c>
      <c r="G389" s="245">
        <f>('Pivot Table for Data Exchange'!$R$234)*100</f>
        <v>0</v>
      </c>
      <c r="H389" s="243">
        <f>('Pivot Table for Data Exchange'!$R$237)*100</f>
        <v>0</v>
      </c>
      <c r="I389" s="86"/>
      <c r="J389" s="81"/>
      <c r="K389" s="81"/>
      <c r="L389" s="81"/>
      <c r="M389" s="81"/>
      <c r="N389" s="81"/>
      <c r="O389" s="81"/>
      <c r="P389" s="81"/>
      <c r="Q389" s="97">
        <f>SUM(I389,C389,D389,H389)</f>
        <v>0</v>
      </c>
      <c r="R389" s="97"/>
      <c r="S389" s="63"/>
      <c r="T389" s="74"/>
      <c r="U389" s="63"/>
      <c r="V389" s="63"/>
      <c r="W389" s="63"/>
      <c r="X389" s="63"/>
      <c r="Y389" s="63"/>
      <c r="Z389" s="63"/>
      <c r="AA389" s="63"/>
      <c r="AB389" s="63"/>
      <c r="AC389" s="63"/>
      <c r="AD389" s="63"/>
      <c r="AE389" s="63"/>
      <c r="AF389" s="63"/>
      <c r="AG389" s="63"/>
      <c r="AH389" s="63"/>
      <c r="AI389" s="63"/>
      <c r="AJ389" s="63"/>
      <c r="AK389" s="63"/>
      <c r="AL389" s="63"/>
      <c r="AM389" s="63"/>
      <c r="AN389" s="63"/>
      <c r="AO389" s="63"/>
    </row>
    <row r="390" spans="1:41" ht="15.75" customHeight="1" x14ac:dyDescent="0.2">
      <c r="A390" s="65" t="s">
        <v>177</v>
      </c>
      <c r="B390" s="243">
        <f>('Pivot Table for Data Exchange'!$R$258)*100</f>
        <v>0</v>
      </c>
      <c r="C390" s="243">
        <f>('Pivot Table for Data Exchange'!$R$261)*100</f>
        <v>0</v>
      </c>
      <c r="D390" s="249">
        <f t="shared" si="81"/>
        <v>0</v>
      </c>
      <c r="E390" s="243">
        <f>('Pivot Table for Data Exchange'!$R$264)*100</f>
        <v>0</v>
      </c>
      <c r="F390" s="243">
        <f>('Pivot Table for Data Exchange'!$R$267)*100</f>
        <v>0</v>
      </c>
      <c r="G390" s="245">
        <f>('Pivot Table for Data Exchange'!$R$270)*100</f>
        <v>0</v>
      </c>
      <c r="H390" s="243">
        <f>('Pivot Table for Data Exchange'!$R$273)*100</f>
        <v>0</v>
      </c>
      <c r="I390" s="65"/>
      <c r="J390" s="81"/>
      <c r="K390" s="81"/>
      <c r="L390" s="81"/>
      <c r="M390" s="81"/>
      <c r="N390" s="81"/>
      <c r="O390" s="81"/>
      <c r="P390" s="81"/>
      <c r="Q390" s="97">
        <f t="shared" si="74"/>
        <v>0</v>
      </c>
      <c r="R390" s="97"/>
      <c r="S390" s="63"/>
      <c r="U390" s="63"/>
      <c r="V390" s="63"/>
      <c r="W390" s="63"/>
      <c r="X390" s="63"/>
      <c r="Y390" s="63"/>
      <c r="Z390" s="63"/>
      <c r="AA390" s="63"/>
      <c r="AB390" s="63"/>
      <c r="AC390" s="63"/>
      <c r="AD390" s="63"/>
      <c r="AE390" s="63"/>
      <c r="AF390" s="63"/>
      <c r="AG390" s="63"/>
      <c r="AH390" s="63"/>
      <c r="AI390" s="63"/>
      <c r="AJ390" s="63"/>
      <c r="AK390" s="63"/>
      <c r="AL390" s="63"/>
      <c r="AM390" s="63"/>
      <c r="AN390" s="63"/>
      <c r="AO390" s="63"/>
    </row>
    <row r="391" spans="1:41" ht="15.75" customHeight="1" x14ac:dyDescent="0.2">
      <c r="A391" s="65"/>
      <c r="B391" s="243"/>
      <c r="C391" s="243"/>
      <c r="D391" s="249"/>
      <c r="E391" s="243"/>
      <c r="F391" s="243"/>
      <c r="G391" s="245"/>
      <c r="H391" s="243"/>
      <c r="I391" s="65"/>
      <c r="J391" s="81"/>
      <c r="K391" s="81"/>
      <c r="L391" s="81"/>
      <c r="M391" s="81"/>
      <c r="N391" s="81"/>
      <c r="O391" s="81"/>
      <c r="P391" s="81"/>
      <c r="Q391" s="97">
        <f t="shared" si="74"/>
        <v>0</v>
      </c>
      <c r="R391" s="97"/>
      <c r="S391" s="63"/>
      <c r="U391" s="63"/>
      <c r="V391" s="63"/>
      <c r="W391" s="63"/>
      <c r="X391" s="63"/>
      <c r="Y391" s="63"/>
      <c r="Z391" s="63"/>
      <c r="AA391" s="63"/>
      <c r="AB391" s="63"/>
      <c r="AC391" s="63"/>
      <c r="AD391" s="63"/>
      <c r="AE391" s="63"/>
      <c r="AF391" s="63"/>
      <c r="AG391" s="63"/>
      <c r="AH391" s="63"/>
      <c r="AI391" s="63"/>
      <c r="AJ391" s="63"/>
      <c r="AK391" s="63"/>
      <c r="AL391" s="63"/>
      <c r="AM391" s="63"/>
      <c r="AN391" s="63"/>
      <c r="AO391" s="63"/>
    </row>
    <row r="392" spans="1:41" ht="15.75" customHeight="1" x14ac:dyDescent="0.2">
      <c r="A392" s="65" t="s">
        <v>148</v>
      </c>
      <c r="B392" s="243">
        <f>('Pivot Table for Data Exchange'!$R$294)*100</f>
        <v>0</v>
      </c>
      <c r="C392" s="243">
        <f>('Pivot Table for Data Exchange'!$R$297)*100</f>
        <v>0</v>
      </c>
      <c r="D392" s="249">
        <f t="shared" ref="D392:D394" si="82">SUM(E392:G392)</f>
        <v>0</v>
      </c>
      <c r="E392" s="243">
        <f>('Pivot Table for Data Exchange'!$R$300)*100</f>
        <v>0</v>
      </c>
      <c r="F392" s="243">
        <f>('Pivot Table for Data Exchange'!$R$303)*100</f>
        <v>0</v>
      </c>
      <c r="G392" s="245">
        <f>('Pivot Table for Data Exchange'!$R$306)*100</f>
        <v>0</v>
      </c>
      <c r="H392" s="243">
        <f>('Pivot Table for Data Exchange'!$R$309)*100</f>
        <v>0</v>
      </c>
      <c r="I392" s="65"/>
      <c r="J392" s="81"/>
      <c r="K392" s="81"/>
      <c r="L392" s="81"/>
      <c r="M392" s="81"/>
      <c r="N392" s="81"/>
      <c r="O392" s="81"/>
      <c r="P392" s="81"/>
      <c r="Q392" s="97">
        <f t="shared" si="74"/>
        <v>0</v>
      </c>
      <c r="R392" s="97"/>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row>
    <row r="393" spans="1:41" ht="15.75" customHeight="1" x14ac:dyDescent="0.2">
      <c r="A393" s="65" t="s">
        <v>149</v>
      </c>
      <c r="B393" s="243">
        <f>('Pivot Table for Data Exchange'!$R$330)*100</f>
        <v>0</v>
      </c>
      <c r="C393" s="243">
        <f>('Pivot Table for Data Exchange'!$R$333)*100</f>
        <v>0</v>
      </c>
      <c r="D393" s="249">
        <f t="shared" si="82"/>
        <v>0</v>
      </c>
      <c r="E393" s="243">
        <f>('Pivot Table for Data Exchange'!$R$336)*100</f>
        <v>0</v>
      </c>
      <c r="F393" s="243">
        <f>('Pivot Table for Data Exchange'!$R$339)*100</f>
        <v>0</v>
      </c>
      <c r="G393" s="245">
        <f>('Pivot Table for Data Exchange'!$R$342)*100</f>
        <v>0</v>
      </c>
      <c r="H393" s="243">
        <f>('Pivot Table for Data Exchange'!$R$345)*100</f>
        <v>0</v>
      </c>
      <c r="I393" s="65"/>
      <c r="J393" s="81"/>
      <c r="K393" s="81"/>
      <c r="L393" s="81"/>
      <c r="M393" s="81"/>
      <c r="N393" s="81"/>
      <c r="O393" s="81"/>
      <c r="P393" s="81"/>
      <c r="Q393" s="97">
        <f t="shared" si="74"/>
        <v>0</v>
      </c>
      <c r="R393" s="97"/>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row>
    <row r="394" spans="1:41" ht="15.75" customHeight="1" x14ac:dyDescent="0.2">
      <c r="A394" s="65" t="s">
        <v>150</v>
      </c>
      <c r="B394" s="243">
        <f>('Pivot Table for Data Exchange'!$R$366)*100</f>
        <v>0</v>
      </c>
      <c r="C394" s="243">
        <f>('Pivot Table for Data Exchange'!$R$369)*100</f>
        <v>0</v>
      </c>
      <c r="D394" s="249">
        <f t="shared" si="82"/>
        <v>0</v>
      </c>
      <c r="E394" s="243">
        <f>('Pivot Table for Data Exchange'!$R$372)*100</f>
        <v>0</v>
      </c>
      <c r="F394" s="243">
        <f>('Pivot Table for Data Exchange'!$R$375)*100</f>
        <v>0</v>
      </c>
      <c r="G394" s="245">
        <f>('Pivot Table for Data Exchange'!$R$378)*100</f>
        <v>0</v>
      </c>
      <c r="H394" s="243">
        <f>('Pivot Table for Data Exchange'!$R$381)*100</f>
        <v>0</v>
      </c>
      <c r="I394" s="65"/>
      <c r="J394" s="81"/>
      <c r="K394" s="81"/>
      <c r="L394" s="81"/>
      <c r="M394" s="81"/>
      <c r="N394" s="81"/>
      <c r="O394" s="81"/>
      <c r="P394" s="81"/>
      <c r="Q394" s="97">
        <f t="shared" si="74"/>
        <v>0</v>
      </c>
      <c r="R394" s="97"/>
      <c r="S394" s="63"/>
      <c r="T394" s="74"/>
      <c r="U394" s="63"/>
      <c r="V394" s="63"/>
      <c r="W394" s="63"/>
      <c r="X394" s="63"/>
      <c r="Y394" s="63"/>
      <c r="Z394" s="63"/>
      <c r="AA394" s="63"/>
      <c r="AB394" s="63"/>
      <c r="AC394" s="63"/>
      <c r="AD394" s="63"/>
      <c r="AE394" s="63"/>
      <c r="AF394" s="63"/>
      <c r="AG394" s="63"/>
      <c r="AH394" s="63"/>
      <c r="AI394" s="63"/>
      <c r="AJ394" s="63"/>
      <c r="AK394" s="63"/>
      <c r="AL394" s="63"/>
      <c r="AM394" s="63"/>
      <c r="AN394" s="63"/>
      <c r="AO394" s="63"/>
    </row>
    <row r="395" spans="1:41" ht="15.75" customHeight="1" x14ac:dyDescent="0.2">
      <c r="A395" s="65" t="s">
        <v>151</v>
      </c>
      <c r="B395" s="243">
        <f>('Pivot Table for Data Exchange'!$R$402)*100</f>
        <v>0</v>
      </c>
      <c r="C395" s="243">
        <f>('Pivot Table for Data Exchange'!$R$405)*100</f>
        <v>0</v>
      </c>
      <c r="D395" s="249">
        <f>SUM(E395:G395)</f>
        <v>0</v>
      </c>
      <c r="E395" s="243">
        <f>('Pivot Table for Data Exchange'!$R$408)*100</f>
        <v>0</v>
      </c>
      <c r="F395" s="243">
        <f>('Pivot Table for Data Exchange'!$R$411)*100</f>
        <v>0</v>
      </c>
      <c r="G395" s="245">
        <f>('Pivot Table for Data Exchange'!$R$414)*100</f>
        <v>0</v>
      </c>
      <c r="H395" s="243">
        <f>('Pivot Table for Data Exchange'!$R$417)*100</f>
        <v>0</v>
      </c>
      <c r="I395" s="65"/>
      <c r="J395" s="81"/>
      <c r="K395" s="81"/>
      <c r="L395" s="81"/>
      <c r="M395" s="81"/>
      <c r="N395" s="81"/>
      <c r="O395" s="81"/>
      <c r="P395" s="81"/>
      <c r="Q395" s="97">
        <f t="shared" si="74"/>
        <v>0</v>
      </c>
      <c r="R395" s="97"/>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row>
    <row r="396" spans="1:41" ht="15.75" customHeight="1" x14ac:dyDescent="0.2">
      <c r="A396" s="65"/>
      <c r="B396" s="243"/>
      <c r="C396" s="243"/>
      <c r="D396" s="249"/>
      <c r="E396" s="243"/>
      <c r="F396" s="243"/>
      <c r="G396" s="245"/>
      <c r="H396" s="243"/>
      <c r="I396" s="65"/>
      <c r="J396" s="81"/>
      <c r="K396" s="81"/>
      <c r="L396" s="81"/>
      <c r="M396" s="81"/>
      <c r="N396" s="81"/>
      <c r="O396" s="81"/>
      <c r="P396" s="81"/>
      <c r="Q396" s="97">
        <f t="shared" si="74"/>
        <v>0</v>
      </c>
      <c r="R396" s="97"/>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row>
    <row r="397" spans="1:41" ht="15.75" customHeight="1" x14ac:dyDescent="0.2">
      <c r="A397" s="65" t="s">
        <v>152</v>
      </c>
      <c r="B397" s="243">
        <f>('Pivot Table for Data Exchange'!$R$438)*100</f>
        <v>0</v>
      </c>
      <c r="C397" s="243">
        <f>('Pivot Table for Data Exchange'!$R$441)*100</f>
        <v>0</v>
      </c>
      <c r="D397" s="249">
        <f>SUM(E397:G397)</f>
        <v>0</v>
      </c>
      <c r="E397" s="243">
        <f>('Pivot Table for Data Exchange'!$R$444)*100</f>
        <v>0</v>
      </c>
      <c r="F397" s="243">
        <f>('Pivot Table for Data Exchange'!$R$447)*100</f>
        <v>0</v>
      </c>
      <c r="G397" s="245">
        <f>('Pivot Table for Data Exchange'!$R$450)*100</f>
        <v>0</v>
      </c>
      <c r="H397" s="243">
        <f>('Pivot Table for Data Exchange'!$R$453)*100</f>
        <v>0</v>
      </c>
      <c r="I397" s="65"/>
      <c r="J397" s="81"/>
      <c r="K397" s="81"/>
      <c r="L397" s="81"/>
      <c r="M397" s="81"/>
      <c r="N397" s="81"/>
      <c r="O397" s="81"/>
      <c r="P397" s="81"/>
      <c r="Q397" s="97">
        <f t="shared" ref="Q397:Q459" si="83">SUM(B397,C397,D397,H397)</f>
        <v>0</v>
      </c>
      <c r="R397" s="97"/>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row>
    <row r="398" spans="1:41" ht="15.75" customHeight="1" x14ac:dyDescent="0.2">
      <c r="A398" s="65" t="s">
        <v>153</v>
      </c>
      <c r="B398" s="243">
        <f>('Pivot Table for Data Exchange'!$R$474)*100</f>
        <v>0</v>
      </c>
      <c r="C398" s="243">
        <f>('Pivot Table for Data Exchange'!$R$477)*100</f>
        <v>0</v>
      </c>
      <c r="D398" s="249">
        <f>SUM(E398:G398)</f>
        <v>0</v>
      </c>
      <c r="E398" s="243">
        <f>('Pivot Table for Data Exchange'!$R$480)*100</f>
        <v>0</v>
      </c>
      <c r="F398" s="243">
        <f>('Pivot Table for Data Exchange'!$R$483)*100</f>
        <v>0</v>
      </c>
      <c r="G398" s="245">
        <f>('Pivot Table for Data Exchange'!$R$486)*100</f>
        <v>0</v>
      </c>
      <c r="H398" s="243">
        <f>('Pivot Table for Data Exchange'!$R$489)*100</f>
        <v>0</v>
      </c>
      <c r="I398" s="65"/>
      <c r="J398" s="81"/>
      <c r="K398" s="81"/>
      <c r="L398" s="81"/>
      <c r="M398" s="81"/>
      <c r="N398" s="81"/>
      <c r="O398" s="81"/>
      <c r="P398" s="81"/>
      <c r="Q398" s="97">
        <f t="shared" si="83"/>
        <v>0</v>
      </c>
      <c r="R398" s="97"/>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row>
    <row r="399" spans="1:41" ht="15.75" customHeight="1" x14ac:dyDescent="0.2">
      <c r="A399" s="65" t="s">
        <v>154</v>
      </c>
      <c r="B399" s="243">
        <f>('Pivot Table for Data Exchange'!$R$510)*100</f>
        <v>0</v>
      </c>
      <c r="C399" s="243">
        <f>('Pivot Table for Data Exchange'!$R$513)*100</f>
        <v>0</v>
      </c>
      <c r="D399" s="249">
        <f t="shared" ref="D399" si="84">SUM(E399:G399)</f>
        <v>0</v>
      </c>
      <c r="E399" s="243">
        <f>('Pivot Table for Data Exchange'!$R$516)*100</f>
        <v>0</v>
      </c>
      <c r="F399" s="243">
        <f>('Pivot Table for Data Exchange'!$R$519)*100</f>
        <v>0</v>
      </c>
      <c r="G399" s="245">
        <f>('Pivot Table for Data Exchange'!$R$522)*100</f>
        <v>0</v>
      </c>
      <c r="H399" s="243">
        <f>('Pivot Table for Data Exchange'!$R$525)*100</f>
        <v>0</v>
      </c>
      <c r="I399" s="65"/>
      <c r="J399" s="81"/>
      <c r="K399" s="81"/>
      <c r="L399" s="81"/>
      <c r="M399" s="81"/>
      <c r="N399" s="81"/>
      <c r="O399" s="81"/>
      <c r="P399" s="81"/>
      <c r="Q399" s="97">
        <f t="shared" si="83"/>
        <v>0</v>
      </c>
      <c r="R399" s="97"/>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row>
    <row r="400" spans="1:41" ht="15.75" customHeight="1" x14ac:dyDescent="0.2">
      <c r="A400" s="39" t="s">
        <v>155</v>
      </c>
      <c r="B400" s="246">
        <f>('Pivot Table for Data Exchange'!$R$546)*100</f>
        <v>0</v>
      </c>
      <c r="C400" s="246">
        <f>('Pivot Table for Data Exchange'!$R$549)*100</f>
        <v>0</v>
      </c>
      <c r="D400" s="250">
        <f>SUM(E400:G400)</f>
        <v>0</v>
      </c>
      <c r="E400" s="246">
        <f>('Pivot Table for Data Exchange'!$R$552)*100</f>
        <v>0</v>
      </c>
      <c r="F400" s="246">
        <f>('Pivot Table for Data Exchange'!$R$555)*100</f>
        <v>0</v>
      </c>
      <c r="G400" s="247">
        <f>('Pivot Table for Data Exchange'!$R$558)*100</f>
        <v>0</v>
      </c>
      <c r="H400" s="246">
        <f>('Pivot Table for Data Exchange'!$R$561)*100</f>
        <v>0</v>
      </c>
      <c r="I400" s="65"/>
      <c r="J400" s="81"/>
      <c r="K400" s="81"/>
      <c r="L400" s="81"/>
      <c r="M400" s="81"/>
      <c r="N400" s="81"/>
      <c r="O400" s="81"/>
      <c r="P400" s="81"/>
      <c r="Q400" s="97">
        <f t="shared" si="83"/>
        <v>0</v>
      </c>
      <c r="R400" s="97"/>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row>
    <row r="401" spans="1:41" s="25" customFormat="1" ht="18" customHeight="1" x14ac:dyDescent="0.2">
      <c r="A401" s="24" t="s">
        <v>175</v>
      </c>
      <c r="B401" s="69"/>
      <c r="C401" s="69"/>
      <c r="D401" s="70"/>
      <c r="E401" s="69"/>
      <c r="F401" s="70"/>
      <c r="G401" s="70"/>
      <c r="H401" s="69"/>
      <c r="I401" s="24"/>
      <c r="J401" s="69"/>
      <c r="K401" s="69"/>
      <c r="L401" s="70"/>
      <c r="M401" s="69"/>
      <c r="N401" s="70"/>
      <c r="O401" s="70"/>
      <c r="P401" s="69"/>
      <c r="Q401" s="97">
        <f t="shared" si="83"/>
        <v>0</v>
      </c>
      <c r="R401" s="101"/>
      <c r="S401" s="71"/>
      <c r="T401" s="71"/>
      <c r="U401" s="71"/>
      <c r="V401" s="71"/>
      <c r="W401" s="71"/>
      <c r="X401" s="71"/>
      <c r="Y401" s="71"/>
      <c r="Z401" s="71"/>
      <c r="AA401" s="71"/>
      <c r="AB401" s="71"/>
      <c r="AC401" s="71"/>
      <c r="AD401" s="71"/>
      <c r="AE401" s="71"/>
      <c r="AF401" s="71"/>
      <c r="AG401" s="71"/>
      <c r="AH401" s="71"/>
      <c r="AI401" s="71"/>
      <c r="AJ401" s="71"/>
      <c r="AK401" s="71"/>
      <c r="AL401" s="71"/>
      <c r="AM401" s="71"/>
      <c r="AN401" s="71"/>
      <c r="AO401" s="71"/>
    </row>
    <row r="402" spans="1:41" s="25" customFormat="1" ht="13.5" customHeight="1" x14ac:dyDescent="0.2">
      <c r="A402" s="24"/>
      <c r="B402" s="69"/>
      <c r="C402" s="69"/>
      <c r="D402" s="70"/>
      <c r="E402" s="69"/>
      <c r="F402" s="70"/>
      <c r="G402" s="70"/>
      <c r="H402" s="69"/>
      <c r="I402" s="24"/>
      <c r="J402" s="69"/>
      <c r="K402" s="69"/>
      <c r="L402" s="70"/>
      <c r="M402" s="69"/>
      <c r="N402" s="70"/>
      <c r="O402" s="70"/>
      <c r="P402" s="69"/>
      <c r="Q402" s="97">
        <f t="shared" si="83"/>
        <v>0</v>
      </c>
      <c r="R402" s="101"/>
      <c r="S402" s="71"/>
      <c r="T402" s="71"/>
      <c r="U402" s="71"/>
      <c r="V402" s="71"/>
      <c r="W402" s="71"/>
      <c r="X402" s="71"/>
      <c r="Y402" s="71"/>
      <c r="Z402" s="71"/>
      <c r="AA402" s="71"/>
      <c r="AB402" s="71"/>
      <c r="AC402" s="71"/>
      <c r="AD402" s="71"/>
      <c r="AE402" s="71"/>
      <c r="AF402" s="71"/>
      <c r="AG402" s="71"/>
      <c r="AH402" s="71"/>
      <c r="AI402" s="71"/>
      <c r="AJ402" s="71"/>
      <c r="AK402" s="71"/>
      <c r="AL402" s="71"/>
      <c r="AM402" s="71"/>
      <c r="AN402" s="71"/>
      <c r="AO402" s="71"/>
    </row>
    <row r="403" spans="1:41" s="65" customFormat="1" ht="15.75" customHeight="1" x14ac:dyDescent="0.2">
      <c r="B403" s="83"/>
      <c r="C403" s="83"/>
      <c r="D403" s="83"/>
      <c r="E403" s="83"/>
      <c r="F403" s="83"/>
      <c r="G403" s="83"/>
      <c r="H403" s="27" t="s">
        <v>914</v>
      </c>
      <c r="J403" s="81"/>
      <c r="K403" s="81"/>
      <c r="L403" s="81"/>
      <c r="M403" s="81"/>
      <c r="N403" s="81"/>
      <c r="O403" s="81"/>
      <c r="P403" s="81"/>
      <c r="Q403" s="97">
        <f t="shared" si="83"/>
        <v>0</v>
      </c>
      <c r="R403" s="97"/>
      <c r="S403" s="87"/>
      <c r="T403" s="87"/>
      <c r="U403" s="87"/>
      <c r="V403" s="87"/>
      <c r="W403" s="87"/>
      <c r="X403" s="87"/>
      <c r="Y403" s="87"/>
      <c r="Z403" s="87"/>
      <c r="AA403" s="87"/>
      <c r="AB403" s="87"/>
      <c r="AC403" s="87"/>
      <c r="AD403" s="87"/>
      <c r="AE403" s="87"/>
      <c r="AF403" s="87"/>
      <c r="AG403" s="87"/>
      <c r="AH403" s="87"/>
      <c r="AI403" s="87"/>
      <c r="AJ403" s="87"/>
      <c r="AK403" s="87"/>
      <c r="AL403" s="87"/>
      <c r="AM403" s="87"/>
      <c r="AN403" s="87"/>
      <c r="AO403" s="87"/>
    </row>
    <row r="404" spans="1:41" ht="18" x14ac:dyDescent="0.25">
      <c r="A404" s="16" t="s">
        <v>214</v>
      </c>
      <c r="B404" s="34"/>
      <c r="C404" s="34"/>
      <c r="D404" s="34"/>
      <c r="E404" s="34"/>
      <c r="F404" s="34"/>
      <c r="G404" s="34"/>
      <c r="H404" s="35"/>
      <c r="I404" s="80"/>
      <c r="J404" s="65"/>
      <c r="K404" s="65"/>
      <c r="L404" s="65"/>
      <c r="M404" s="65"/>
      <c r="N404" s="65"/>
      <c r="O404" s="65"/>
      <c r="P404" s="65"/>
      <c r="Q404" s="97">
        <f t="shared" si="83"/>
        <v>0</v>
      </c>
    </row>
    <row r="405" spans="1:41" x14ac:dyDescent="0.2">
      <c r="A405" s="18"/>
      <c r="B405" s="19"/>
      <c r="C405" s="19"/>
      <c r="D405" s="19"/>
      <c r="E405" s="19"/>
      <c r="F405" s="19"/>
      <c r="G405" s="19"/>
      <c r="H405" s="36"/>
      <c r="I405" s="80"/>
      <c r="J405" s="65"/>
      <c r="K405" s="65"/>
      <c r="L405" s="65"/>
      <c r="M405" s="65"/>
      <c r="N405" s="65"/>
      <c r="O405" s="65"/>
      <c r="P405" s="65"/>
      <c r="Q405" s="97">
        <f t="shared" si="83"/>
        <v>0</v>
      </c>
    </row>
    <row r="406" spans="1:41" ht="15.75" x14ac:dyDescent="0.25">
      <c r="A406" s="37" t="s">
        <v>162</v>
      </c>
      <c r="B406" s="19"/>
      <c r="C406" s="19"/>
      <c r="D406" s="19"/>
      <c r="E406" s="19"/>
      <c r="F406" s="19"/>
      <c r="G406" s="19"/>
      <c r="H406" s="36"/>
      <c r="I406" s="80"/>
      <c r="J406" s="65"/>
      <c r="K406" s="65"/>
      <c r="L406" s="65"/>
      <c r="M406" s="65"/>
      <c r="N406" s="65"/>
      <c r="O406" s="65"/>
      <c r="P406" s="65"/>
      <c r="Q406" s="97">
        <f t="shared" si="83"/>
        <v>0</v>
      </c>
    </row>
    <row r="407" spans="1:41" ht="15.75" x14ac:dyDescent="0.25">
      <c r="A407" s="37" t="s">
        <v>253</v>
      </c>
      <c r="B407" s="19"/>
      <c r="C407" s="19"/>
      <c r="D407" s="19"/>
      <c r="E407" s="19"/>
      <c r="F407" s="19"/>
      <c r="G407" s="19"/>
      <c r="H407" s="36"/>
      <c r="I407" s="80"/>
      <c r="J407" s="65"/>
      <c r="K407" s="65"/>
      <c r="L407" s="65"/>
      <c r="M407" s="65"/>
      <c r="N407" s="65"/>
      <c r="O407" s="65"/>
      <c r="P407" s="65"/>
      <c r="Q407" s="97">
        <f t="shared" si="83"/>
        <v>0</v>
      </c>
    </row>
    <row r="408" spans="1:41" x14ac:dyDescent="0.2">
      <c r="A408" s="39"/>
      <c r="B408" s="40"/>
      <c r="C408" s="40"/>
      <c r="D408" s="40"/>
      <c r="E408" s="40"/>
      <c r="F408" s="40"/>
      <c r="G408" s="40"/>
      <c r="H408" s="40"/>
      <c r="I408" s="80"/>
      <c r="J408" s="65"/>
      <c r="K408" s="65"/>
      <c r="L408" s="65"/>
      <c r="M408" s="65"/>
      <c r="N408" s="65"/>
      <c r="O408" s="65"/>
      <c r="P408" s="65"/>
      <c r="Q408" s="97">
        <f t="shared" si="83"/>
        <v>0</v>
      </c>
    </row>
    <row r="409" spans="1:41" x14ac:dyDescent="0.2">
      <c r="A409" s="43"/>
      <c r="B409" s="44" t="s">
        <v>164</v>
      </c>
      <c r="C409" s="44"/>
      <c r="D409" s="44"/>
      <c r="E409" s="44"/>
      <c r="F409" s="44"/>
      <c r="G409" s="44"/>
      <c r="H409" s="45"/>
      <c r="I409" s="80"/>
      <c r="J409" s="65"/>
      <c r="K409" s="65"/>
      <c r="L409" s="65"/>
      <c r="M409" s="65"/>
      <c r="N409" s="65"/>
      <c r="O409" s="65"/>
      <c r="P409" s="65"/>
      <c r="Q409" s="97">
        <f t="shared" si="83"/>
        <v>0</v>
      </c>
    </row>
    <row r="410" spans="1:41" x14ac:dyDescent="0.2">
      <c r="A410" s="43"/>
      <c r="B410" s="44" t="s">
        <v>165</v>
      </c>
      <c r="C410" s="44"/>
      <c r="D410" s="670" t="s">
        <v>166</v>
      </c>
      <c r="E410" s="668"/>
      <c r="F410" s="668"/>
      <c r="G410" s="668"/>
      <c r="H410" s="49" t="s">
        <v>39</v>
      </c>
      <c r="I410" s="80"/>
      <c r="J410" s="65"/>
      <c r="K410" s="65"/>
      <c r="L410" s="65"/>
      <c r="M410" s="65"/>
      <c r="N410" s="65"/>
      <c r="O410" s="65"/>
      <c r="P410" s="65"/>
      <c r="Q410" s="97">
        <f t="shared" si="83"/>
        <v>0</v>
      </c>
    </row>
    <row r="411" spans="1:41" ht="36" x14ac:dyDescent="0.2">
      <c r="A411" s="43"/>
      <c r="B411" s="50" t="s">
        <v>167</v>
      </c>
      <c r="C411" s="51" t="s">
        <v>168</v>
      </c>
      <c r="D411" s="52" t="s">
        <v>169</v>
      </c>
      <c r="E411" s="53" t="s">
        <v>7</v>
      </c>
      <c r="F411" s="50" t="s">
        <v>170</v>
      </c>
      <c r="G411" s="54" t="s">
        <v>171</v>
      </c>
      <c r="H411" s="55" t="s">
        <v>172</v>
      </c>
      <c r="I411" s="80"/>
      <c r="J411" s="65"/>
      <c r="K411" s="65"/>
      <c r="L411" s="65"/>
      <c r="M411" s="65"/>
      <c r="N411" s="65"/>
      <c r="O411" s="65"/>
      <c r="P411" s="65"/>
      <c r="Q411" s="97">
        <f t="shared" si="83"/>
        <v>0</v>
      </c>
    </row>
    <row r="412" spans="1:41" ht="15.75" customHeight="1" x14ac:dyDescent="0.2">
      <c r="A412" s="62" t="s">
        <v>141</v>
      </c>
      <c r="B412" s="243">
        <f>('Pivot Table for Data Exchange'!$P$6)*100</f>
        <v>43.339663043917419</v>
      </c>
      <c r="C412" s="243">
        <f>('Pivot Table for Data Exchange'!$P$9)*100</f>
        <v>49.787887358086543</v>
      </c>
      <c r="D412" s="249">
        <f>SUM(E412:G412)</f>
        <v>6.8724495979960398</v>
      </c>
      <c r="E412" s="243">
        <f>('Pivot Table for Data Exchange'!$P$12)*100</f>
        <v>6.8724495979960398</v>
      </c>
      <c r="F412" s="243">
        <f>('Pivot Table for Data Exchange'!$P$15)*100</f>
        <v>0</v>
      </c>
      <c r="G412" s="60">
        <f>('Pivot Table for Data Exchange'!$P$18)*100</f>
        <v>0</v>
      </c>
      <c r="H412" s="243">
        <f>('Pivot Table for Data Exchange'!$P$21)*100</f>
        <v>0</v>
      </c>
      <c r="I412" s="65"/>
      <c r="J412" s="81"/>
      <c r="K412" s="81"/>
      <c r="L412" s="81"/>
      <c r="M412" s="81"/>
      <c r="N412" s="81"/>
      <c r="O412" s="81"/>
      <c r="P412" s="81"/>
      <c r="Q412" s="97">
        <f t="shared" si="83"/>
        <v>100</v>
      </c>
      <c r="R412" s="97"/>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row>
    <row r="413" spans="1:41" ht="15.75" customHeight="1" x14ac:dyDescent="0.2">
      <c r="A413" s="65" t="s">
        <v>142</v>
      </c>
      <c r="B413" s="243">
        <f>('Pivot Table for Data Exchange'!$P$42)*100</f>
        <v>0</v>
      </c>
      <c r="C413" s="243">
        <f>('Pivot Table for Data Exchange'!$P$45)*100</f>
        <v>0</v>
      </c>
      <c r="D413" s="249">
        <f t="shared" ref="D413:D415" si="85">SUM(E413:G413)</f>
        <v>0</v>
      </c>
      <c r="E413" s="243">
        <f>('Pivot Table for Data Exchange'!$P$48)*100</f>
        <v>0</v>
      </c>
      <c r="F413" s="243">
        <f>('Pivot Table for Data Exchange'!$P$51)*100</f>
        <v>0</v>
      </c>
      <c r="G413" s="245">
        <f>('Pivot Table for Data Exchange'!$P$54)*100</f>
        <v>0</v>
      </c>
      <c r="H413" s="243">
        <f>('Pivot Table for Data Exchange'!$P$57)*100</f>
        <v>0</v>
      </c>
      <c r="I413" s="65"/>
      <c r="J413" s="81"/>
      <c r="K413" s="81"/>
      <c r="L413" s="81"/>
      <c r="M413" s="81"/>
      <c r="N413" s="81"/>
      <c r="O413" s="81"/>
      <c r="P413" s="81"/>
      <c r="Q413" s="97">
        <f t="shared" si="83"/>
        <v>0</v>
      </c>
      <c r="R413" s="97"/>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row>
    <row r="414" spans="1:41" ht="15.75" customHeight="1" x14ac:dyDescent="0.2">
      <c r="A414" s="65" t="s">
        <v>143</v>
      </c>
      <c r="B414" s="243">
        <f>('Pivot Table for Data Exchange'!$P$78)*100</f>
        <v>0</v>
      </c>
      <c r="C414" s="243">
        <f>('Pivot Table for Data Exchange'!$P$81)*100</f>
        <v>0</v>
      </c>
      <c r="D414" s="249">
        <f t="shared" si="85"/>
        <v>0</v>
      </c>
      <c r="E414" s="243">
        <f>('Pivot Table for Data Exchange'!$P$84)*100</f>
        <v>0</v>
      </c>
      <c r="F414" s="243">
        <f>('Pivot Table for Data Exchange'!$P$87)*100</f>
        <v>0</v>
      </c>
      <c r="G414" s="245">
        <f>('Pivot Table for Data Exchange'!$P$90)*100</f>
        <v>0</v>
      </c>
      <c r="H414" s="243">
        <f>('Pivot Table for Data Exchange'!$P$93)*100</f>
        <v>0</v>
      </c>
      <c r="I414" s="65"/>
      <c r="J414" s="81"/>
      <c r="K414" s="81"/>
      <c r="L414" s="81"/>
      <c r="M414" s="81"/>
      <c r="N414" s="81"/>
      <c r="O414" s="81"/>
      <c r="P414" s="81"/>
      <c r="Q414" s="97">
        <f t="shared" si="83"/>
        <v>0</v>
      </c>
      <c r="R414" s="97"/>
      <c r="S414" s="63"/>
      <c r="T414" s="74"/>
      <c r="U414" s="63"/>
      <c r="V414" s="63"/>
      <c r="W414" s="63"/>
      <c r="X414" s="63"/>
      <c r="Y414" s="63"/>
      <c r="Z414" s="63"/>
      <c r="AA414" s="63"/>
      <c r="AB414" s="63"/>
      <c r="AC414" s="63"/>
      <c r="AD414" s="63"/>
      <c r="AE414" s="63"/>
      <c r="AF414" s="63"/>
      <c r="AG414" s="63"/>
      <c r="AH414" s="63"/>
      <c r="AI414" s="63"/>
      <c r="AJ414" s="63"/>
      <c r="AK414" s="63"/>
      <c r="AL414" s="63"/>
      <c r="AM414" s="63"/>
      <c r="AN414" s="63"/>
      <c r="AO414" s="63"/>
    </row>
    <row r="415" spans="1:41" ht="15.75" customHeight="1" x14ac:dyDescent="0.2">
      <c r="A415" s="65" t="s">
        <v>144</v>
      </c>
      <c r="B415" s="243">
        <f>('Pivot Table for Data Exchange'!$P$114)*100</f>
        <v>0</v>
      </c>
      <c r="C415" s="243">
        <f>('Pivot Table for Data Exchange'!$P$117)*100</f>
        <v>0</v>
      </c>
      <c r="D415" s="249">
        <f t="shared" si="85"/>
        <v>0</v>
      </c>
      <c r="E415" s="243">
        <f>('Pivot Table for Data Exchange'!$P$120)*100</f>
        <v>0</v>
      </c>
      <c r="F415" s="243">
        <f>('Pivot Table for Data Exchange'!$P$123)*100</f>
        <v>0</v>
      </c>
      <c r="G415" s="245">
        <f>('Pivot Table for Data Exchange'!$P$126)*100</f>
        <v>0</v>
      </c>
      <c r="H415" s="243">
        <f>('Pivot Table for Data Exchange'!$P$129)*100</f>
        <v>0</v>
      </c>
      <c r="I415" s="65"/>
      <c r="J415" s="81"/>
      <c r="K415" s="81"/>
      <c r="L415" s="81"/>
      <c r="M415" s="81"/>
      <c r="N415" s="81"/>
      <c r="O415" s="81"/>
      <c r="P415" s="81"/>
      <c r="Q415" s="97">
        <f t="shared" si="83"/>
        <v>0</v>
      </c>
      <c r="R415" s="97"/>
      <c r="S415" s="63"/>
      <c r="U415" s="63"/>
      <c r="V415" s="63"/>
      <c r="W415" s="63"/>
      <c r="X415" s="63"/>
      <c r="Y415" s="63"/>
      <c r="Z415" s="63"/>
      <c r="AA415" s="63"/>
      <c r="AB415" s="63"/>
      <c r="AC415" s="63"/>
      <c r="AD415" s="63"/>
      <c r="AE415" s="63"/>
      <c r="AF415" s="63"/>
      <c r="AG415" s="63"/>
      <c r="AH415" s="63"/>
      <c r="AI415" s="63"/>
      <c r="AJ415" s="63"/>
      <c r="AK415" s="63"/>
      <c r="AL415" s="63"/>
      <c r="AM415" s="63"/>
      <c r="AN415" s="63"/>
      <c r="AO415" s="63"/>
    </row>
    <row r="416" spans="1:41" ht="15.75" customHeight="1" x14ac:dyDescent="0.2">
      <c r="A416" s="65"/>
      <c r="B416" s="243"/>
      <c r="C416" s="243"/>
      <c r="D416" s="249"/>
      <c r="E416" s="243"/>
      <c r="F416" s="243"/>
      <c r="G416" s="245"/>
      <c r="H416" s="243"/>
      <c r="I416" s="65"/>
      <c r="J416" s="81"/>
      <c r="K416" s="81"/>
      <c r="L416" s="81"/>
      <c r="M416" s="81"/>
      <c r="N416" s="81"/>
      <c r="O416" s="81"/>
      <c r="P416" s="81"/>
      <c r="Q416" s="97">
        <f t="shared" si="83"/>
        <v>0</v>
      </c>
      <c r="R416" s="97"/>
      <c r="S416" s="63"/>
      <c r="U416" s="63"/>
      <c r="V416" s="63"/>
      <c r="W416" s="63"/>
      <c r="X416" s="63"/>
      <c r="Y416" s="63"/>
      <c r="Z416" s="63"/>
      <c r="AA416" s="63"/>
      <c r="AB416" s="63"/>
      <c r="AC416" s="63"/>
      <c r="AD416" s="63"/>
      <c r="AE416" s="63"/>
      <c r="AF416" s="63"/>
      <c r="AG416" s="63"/>
      <c r="AH416" s="63"/>
      <c r="AI416" s="63"/>
      <c r="AJ416" s="63"/>
      <c r="AK416" s="63"/>
      <c r="AL416" s="63"/>
      <c r="AM416" s="63"/>
      <c r="AN416" s="63"/>
      <c r="AO416" s="63"/>
    </row>
    <row r="417" spans="1:41" ht="15.75" customHeight="1" x14ac:dyDescent="0.2">
      <c r="A417" s="65" t="s">
        <v>145</v>
      </c>
      <c r="B417" s="243">
        <f>('Pivot Table for Data Exchange'!$P$150)*100</f>
        <v>77.544665630776962</v>
      </c>
      <c r="C417" s="243">
        <f>('Pivot Table for Data Exchange'!$P$153)*100</f>
        <v>0</v>
      </c>
      <c r="D417" s="249">
        <f t="shared" ref="D417:D420" si="86">SUM(E417:G417)</f>
        <v>22.455334369223007</v>
      </c>
      <c r="E417" s="243">
        <f>('Pivot Table for Data Exchange'!$P$156)*100</f>
        <v>22.28196277934498</v>
      </c>
      <c r="F417" s="243">
        <f>('Pivot Table for Data Exchange'!$P$159)*100</f>
        <v>0.17337158987802578</v>
      </c>
      <c r="G417" s="245">
        <f>('Pivot Table for Data Exchange'!$P$162)*100</f>
        <v>0</v>
      </c>
      <c r="H417" s="243">
        <f>('Pivot Table for Data Exchange'!$P$165)*100</f>
        <v>0</v>
      </c>
      <c r="I417" s="65"/>
      <c r="J417" s="81"/>
      <c r="K417" s="81"/>
      <c r="L417" s="81"/>
      <c r="M417" s="81"/>
      <c r="N417" s="81"/>
      <c r="O417" s="81"/>
      <c r="P417" s="81"/>
      <c r="Q417" s="97">
        <f t="shared" si="83"/>
        <v>99.999999999999972</v>
      </c>
      <c r="R417" s="97"/>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row>
    <row r="418" spans="1:41" ht="15.75" customHeight="1" x14ac:dyDescent="0.2">
      <c r="A418" s="65" t="s">
        <v>146</v>
      </c>
      <c r="B418" s="243">
        <f>('Pivot Table for Data Exchange'!$P$186)*100</f>
        <v>89.327677595250293</v>
      </c>
      <c r="C418" s="243">
        <f>('Pivot Table for Data Exchange'!$P$189)*100</f>
        <v>0.47953831462695651</v>
      </c>
      <c r="D418" s="249">
        <f t="shared" si="86"/>
        <v>10.192784090122755</v>
      </c>
      <c r="E418" s="243">
        <f>('Pivot Table for Data Exchange'!$P$192)*100</f>
        <v>10.192784090122755</v>
      </c>
      <c r="F418" s="243">
        <f>('Pivot Table for Data Exchange'!$P$195)*100</f>
        <v>0</v>
      </c>
      <c r="G418" s="245">
        <f>('Pivot Table for Data Exchange'!$P$198)*100</f>
        <v>0</v>
      </c>
      <c r="H418" s="243">
        <f>('Pivot Table for Data Exchange'!$P$201)*100</f>
        <v>0</v>
      </c>
      <c r="I418" s="65"/>
      <c r="J418" s="81"/>
      <c r="K418" s="81"/>
      <c r="L418" s="81"/>
      <c r="M418" s="81"/>
      <c r="N418" s="81"/>
      <c r="O418" s="81"/>
      <c r="P418" s="81"/>
      <c r="Q418" s="97">
        <f t="shared" si="83"/>
        <v>100</v>
      </c>
      <c r="R418" s="97"/>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row>
    <row r="419" spans="1:41" ht="15.75" customHeight="1" x14ac:dyDescent="0.2">
      <c r="A419" s="65" t="s">
        <v>147</v>
      </c>
      <c r="B419" s="243">
        <f>('Pivot Table for Data Exchange'!$P$222)*100</f>
        <v>0</v>
      </c>
      <c r="C419" s="243">
        <f>('Pivot Table for Data Exchange'!$P$225)*100</f>
        <v>0</v>
      </c>
      <c r="D419" s="249">
        <f t="shared" si="86"/>
        <v>0</v>
      </c>
      <c r="E419" s="243">
        <f>('Pivot Table for Data Exchange'!$P$228)*100</f>
        <v>0</v>
      </c>
      <c r="F419" s="243">
        <f>('Pivot Table for Data Exchange'!$P$231)*100</f>
        <v>0</v>
      </c>
      <c r="G419" s="245">
        <f>('Pivot Table for Data Exchange'!$P$234)*100</f>
        <v>0</v>
      </c>
      <c r="H419" s="243">
        <f>('Pivot Table for Data Exchange'!$P$237)*100</f>
        <v>0</v>
      </c>
      <c r="I419" s="86"/>
      <c r="J419" s="81"/>
      <c r="K419" s="81"/>
      <c r="L419" s="81"/>
      <c r="M419" s="81"/>
      <c r="N419" s="81"/>
      <c r="O419" s="81"/>
      <c r="P419" s="81"/>
      <c r="Q419" s="97">
        <f>SUM(I419,C419,D419,H419)</f>
        <v>0</v>
      </c>
      <c r="R419" s="97"/>
      <c r="S419" s="63"/>
      <c r="T419" s="74"/>
      <c r="U419" s="63"/>
      <c r="V419" s="63"/>
      <c r="W419" s="63"/>
      <c r="X419" s="63"/>
      <c r="Y419" s="63"/>
      <c r="Z419" s="63"/>
      <c r="AA419" s="63"/>
      <c r="AB419" s="63"/>
      <c r="AC419" s="63"/>
      <c r="AD419" s="63"/>
      <c r="AE419" s="63"/>
      <c r="AF419" s="63"/>
      <c r="AG419" s="63"/>
      <c r="AH419" s="63"/>
      <c r="AI419" s="63"/>
      <c r="AJ419" s="63"/>
      <c r="AK419" s="63"/>
      <c r="AL419" s="63"/>
      <c r="AM419" s="63"/>
      <c r="AN419" s="63"/>
      <c r="AO419" s="63"/>
    </row>
    <row r="420" spans="1:41" ht="15.75" customHeight="1" x14ac:dyDescent="0.2">
      <c r="A420" s="65" t="s">
        <v>177</v>
      </c>
      <c r="B420" s="243">
        <f>('Pivot Table for Data Exchange'!$P$258)*100</f>
        <v>0</v>
      </c>
      <c r="C420" s="243">
        <f>('Pivot Table for Data Exchange'!$P$261)*100</f>
        <v>0</v>
      </c>
      <c r="D420" s="249">
        <f t="shared" si="86"/>
        <v>0</v>
      </c>
      <c r="E420" s="243">
        <f>('Pivot Table for Data Exchange'!$P$264)*100</f>
        <v>0</v>
      </c>
      <c r="F420" s="243">
        <f>('Pivot Table for Data Exchange'!$P$267)*100</f>
        <v>0</v>
      </c>
      <c r="G420" s="245">
        <f>('Pivot Table for Data Exchange'!$P$270)*100</f>
        <v>0</v>
      </c>
      <c r="H420" s="243">
        <f>('Pivot Table for Data Exchange'!$P$273)*100</f>
        <v>0</v>
      </c>
      <c r="I420" s="65"/>
      <c r="J420" s="81"/>
      <c r="K420" s="81"/>
      <c r="L420" s="81"/>
      <c r="M420" s="81"/>
      <c r="N420" s="81"/>
      <c r="O420" s="81"/>
      <c r="P420" s="81"/>
      <c r="Q420" s="97">
        <f t="shared" si="83"/>
        <v>0</v>
      </c>
      <c r="R420" s="97"/>
      <c r="S420" s="63"/>
      <c r="U420" s="63"/>
      <c r="V420" s="63"/>
      <c r="W420" s="63"/>
      <c r="X420" s="63"/>
      <c r="Y420" s="63"/>
      <c r="Z420" s="63"/>
      <c r="AA420" s="63"/>
      <c r="AB420" s="63"/>
      <c r="AC420" s="63"/>
      <c r="AD420" s="63"/>
      <c r="AE420" s="63"/>
      <c r="AF420" s="63"/>
      <c r="AG420" s="63"/>
      <c r="AH420" s="63"/>
      <c r="AI420" s="63"/>
      <c r="AJ420" s="63"/>
      <c r="AK420" s="63"/>
      <c r="AL420" s="63"/>
      <c r="AM420" s="63"/>
      <c r="AN420" s="63"/>
      <c r="AO420" s="63"/>
    </row>
    <row r="421" spans="1:41" ht="15.75" customHeight="1" x14ac:dyDescent="0.2">
      <c r="A421" s="65"/>
      <c r="B421" s="243"/>
      <c r="C421" s="243"/>
      <c r="D421" s="249"/>
      <c r="E421" s="243"/>
      <c r="F421" s="243"/>
      <c r="G421" s="245"/>
      <c r="H421" s="243"/>
      <c r="I421" s="65"/>
      <c r="J421" s="81"/>
      <c r="K421" s="81"/>
      <c r="L421" s="81"/>
      <c r="M421" s="81"/>
      <c r="N421" s="81"/>
      <c r="O421" s="81"/>
      <c r="P421" s="81"/>
      <c r="Q421" s="97">
        <f t="shared" si="83"/>
        <v>0</v>
      </c>
      <c r="R421" s="97"/>
      <c r="S421" s="63"/>
      <c r="U421" s="63"/>
      <c r="V421" s="63"/>
      <c r="W421" s="63"/>
      <c r="X421" s="63"/>
      <c r="Y421" s="63"/>
      <c r="Z421" s="63"/>
      <c r="AA421" s="63"/>
      <c r="AB421" s="63"/>
      <c r="AC421" s="63"/>
      <c r="AD421" s="63"/>
      <c r="AE421" s="63"/>
      <c r="AF421" s="63"/>
      <c r="AG421" s="63"/>
      <c r="AH421" s="63"/>
      <c r="AI421" s="63"/>
      <c r="AJ421" s="63"/>
      <c r="AK421" s="63"/>
      <c r="AL421" s="63"/>
      <c r="AM421" s="63"/>
      <c r="AN421" s="63"/>
      <c r="AO421" s="63"/>
    </row>
    <row r="422" spans="1:41" ht="15.75" customHeight="1" x14ac:dyDescent="0.2">
      <c r="A422" s="65" t="s">
        <v>148</v>
      </c>
      <c r="B422" s="243">
        <f>('Pivot Table for Data Exchange'!$P$294)*100</f>
        <v>0</v>
      </c>
      <c r="C422" s="243">
        <f>('Pivot Table for Data Exchange'!$P$297)*100</f>
        <v>0</v>
      </c>
      <c r="D422" s="249">
        <f t="shared" ref="D422:D424" si="87">SUM(E422:G422)</f>
        <v>0</v>
      </c>
      <c r="E422" s="243">
        <f>('Pivot Table for Data Exchange'!$P$300)*100</f>
        <v>0</v>
      </c>
      <c r="F422" s="243">
        <f>('Pivot Table for Data Exchange'!$P$303)*100</f>
        <v>0</v>
      </c>
      <c r="G422" s="245">
        <f>('Pivot Table for Data Exchange'!$P$306)*100</f>
        <v>0</v>
      </c>
      <c r="H422" s="243">
        <f>('Pivot Table for Data Exchange'!$P$309)*100</f>
        <v>0</v>
      </c>
      <c r="I422" s="65"/>
      <c r="J422" s="81"/>
      <c r="K422" s="81"/>
      <c r="L422" s="81"/>
      <c r="M422" s="81"/>
      <c r="N422" s="81"/>
      <c r="O422" s="81"/>
      <c r="P422" s="81"/>
      <c r="Q422" s="97">
        <f t="shared" si="83"/>
        <v>0</v>
      </c>
      <c r="R422" s="97"/>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row>
    <row r="423" spans="1:41" ht="15.75" customHeight="1" x14ac:dyDescent="0.2">
      <c r="A423" s="65" t="s">
        <v>149</v>
      </c>
      <c r="B423" s="243">
        <f>('Pivot Table for Data Exchange'!$P$330)*100</f>
        <v>0</v>
      </c>
      <c r="C423" s="243">
        <f>('Pivot Table for Data Exchange'!$P$333)*100</f>
        <v>0</v>
      </c>
      <c r="D423" s="249">
        <f t="shared" si="87"/>
        <v>0</v>
      </c>
      <c r="E423" s="243">
        <f>('Pivot Table for Data Exchange'!$P$336)*100</f>
        <v>0</v>
      </c>
      <c r="F423" s="243">
        <f>('Pivot Table for Data Exchange'!$P$339)*100</f>
        <v>0</v>
      </c>
      <c r="G423" s="245">
        <f>('Pivot Table for Data Exchange'!$P$342)*100</f>
        <v>0</v>
      </c>
      <c r="H423" s="243">
        <f>('Pivot Table for Data Exchange'!$P$345)*100</f>
        <v>0</v>
      </c>
      <c r="I423" s="65"/>
      <c r="J423" s="81"/>
      <c r="K423" s="81"/>
      <c r="L423" s="81"/>
      <c r="M423" s="81"/>
      <c r="N423" s="81"/>
      <c r="O423" s="81"/>
      <c r="P423" s="81"/>
      <c r="Q423" s="97">
        <f t="shared" si="83"/>
        <v>0</v>
      </c>
      <c r="R423" s="97"/>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row>
    <row r="424" spans="1:41" ht="15.75" customHeight="1" x14ac:dyDescent="0.2">
      <c r="A424" s="65" t="s">
        <v>150</v>
      </c>
      <c r="B424" s="243">
        <f>('Pivot Table for Data Exchange'!$P$366)*100</f>
        <v>0</v>
      </c>
      <c r="C424" s="243">
        <f>('Pivot Table for Data Exchange'!$P$369)*100</f>
        <v>0</v>
      </c>
      <c r="D424" s="249">
        <f t="shared" si="87"/>
        <v>0</v>
      </c>
      <c r="E424" s="243">
        <f>('Pivot Table for Data Exchange'!$P$372)*100</f>
        <v>0</v>
      </c>
      <c r="F424" s="243">
        <f>('Pivot Table for Data Exchange'!$P$375)*100</f>
        <v>0</v>
      </c>
      <c r="G424" s="245">
        <f>('Pivot Table for Data Exchange'!$P$378)*100</f>
        <v>0</v>
      </c>
      <c r="H424" s="243">
        <f>('Pivot Table for Data Exchange'!$P$381)*100</f>
        <v>0</v>
      </c>
      <c r="I424" s="65"/>
      <c r="J424" s="81"/>
      <c r="K424" s="81"/>
      <c r="L424" s="81"/>
      <c r="M424" s="81"/>
      <c r="N424" s="81"/>
      <c r="O424" s="81"/>
      <c r="P424" s="81"/>
      <c r="Q424" s="97">
        <f t="shared" si="83"/>
        <v>0</v>
      </c>
      <c r="R424" s="97"/>
      <c r="S424" s="63"/>
      <c r="T424" s="74"/>
      <c r="U424" s="63"/>
      <c r="V424" s="63"/>
      <c r="W424" s="63"/>
      <c r="X424" s="63"/>
      <c r="Y424" s="63"/>
      <c r="Z424" s="63"/>
      <c r="AA424" s="63"/>
      <c r="AB424" s="63"/>
      <c r="AC424" s="63"/>
      <c r="AD424" s="63"/>
      <c r="AE424" s="63"/>
      <c r="AF424" s="63"/>
      <c r="AG424" s="63"/>
      <c r="AH424" s="63"/>
      <c r="AI424" s="63"/>
      <c r="AJ424" s="63"/>
      <c r="AK424" s="63"/>
      <c r="AL424" s="63"/>
      <c r="AM424" s="63"/>
      <c r="AN424" s="63"/>
      <c r="AO424" s="63"/>
    </row>
    <row r="425" spans="1:41" ht="15.75" customHeight="1" x14ac:dyDescent="0.2">
      <c r="A425" s="65" t="s">
        <v>151</v>
      </c>
      <c r="B425" s="243">
        <f>('Pivot Table for Data Exchange'!$P$402)*100</f>
        <v>0</v>
      </c>
      <c r="C425" s="243">
        <f>('Pivot Table for Data Exchange'!$P$405)*100</f>
        <v>0</v>
      </c>
      <c r="D425" s="249">
        <f>SUM(E425:G425)</f>
        <v>0</v>
      </c>
      <c r="E425" s="243">
        <f>('Pivot Table for Data Exchange'!$P$408)*100</f>
        <v>0</v>
      </c>
      <c r="F425" s="243">
        <f>('Pivot Table for Data Exchange'!$P$411)*100</f>
        <v>0</v>
      </c>
      <c r="G425" s="245">
        <f>('Pivot Table for Data Exchange'!$P$414)*100</f>
        <v>0</v>
      </c>
      <c r="H425" s="243">
        <f>('Pivot Table for Data Exchange'!$P$417)*100</f>
        <v>0</v>
      </c>
      <c r="I425" s="65"/>
      <c r="J425" s="81"/>
      <c r="K425" s="81"/>
      <c r="L425" s="81"/>
      <c r="M425" s="81"/>
      <c r="N425" s="81"/>
      <c r="O425" s="81"/>
      <c r="P425" s="81"/>
      <c r="Q425" s="97">
        <f t="shared" si="83"/>
        <v>0</v>
      </c>
      <c r="R425" s="97"/>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row>
    <row r="426" spans="1:41" ht="15.75" customHeight="1" x14ac:dyDescent="0.2">
      <c r="A426" s="65"/>
      <c r="B426" s="243"/>
      <c r="C426" s="243"/>
      <c r="D426" s="249"/>
      <c r="E426" s="243"/>
      <c r="F426" s="243"/>
      <c r="G426" s="245"/>
      <c r="H426" s="243"/>
      <c r="I426" s="65"/>
      <c r="J426" s="81"/>
      <c r="K426" s="81"/>
      <c r="L426" s="81"/>
      <c r="M426" s="81"/>
      <c r="N426" s="81"/>
      <c r="O426" s="81"/>
      <c r="P426" s="81"/>
      <c r="Q426" s="97">
        <f t="shared" si="83"/>
        <v>0</v>
      </c>
      <c r="R426" s="97"/>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row>
    <row r="427" spans="1:41" ht="15.75" customHeight="1" x14ac:dyDescent="0.2">
      <c r="A427" s="65" t="s">
        <v>152</v>
      </c>
      <c r="B427" s="243">
        <f>('Pivot Table for Data Exchange'!$P$438)*100</f>
        <v>0</v>
      </c>
      <c r="C427" s="243">
        <f>('Pivot Table for Data Exchange'!$P$441)*100</f>
        <v>0</v>
      </c>
      <c r="D427" s="249">
        <f>SUM(E427:G427)</f>
        <v>0</v>
      </c>
      <c r="E427" s="243">
        <f>('Pivot Table for Data Exchange'!$P$444)*100</f>
        <v>0</v>
      </c>
      <c r="F427" s="243">
        <f>('Pivot Table for Data Exchange'!$P$447)*100</f>
        <v>0</v>
      </c>
      <c r="G427" s="245">
        <f>('Pivot Table for Data Exchange'!$P$450)*100</f>
        <v>0</v>
      </c>
      <c r="H427" s="243">
        <f>('Pivot Table for Data Exchange'!$P$453)*100</f>
        <v>0</v>
      </c>
      <c r="I427" s="65"/>
      <c r="J427" s="81"/>
      <c r="K427" s="81"/>
      <c r="L427" s="81"/>
      <c r="M427" s="81"/>
      <c r="N427" s="81"/>
      <c r="O427" s="81"/>
      <c r="P427" s="81"/>
      <c r="Q427" s="97">
        <f t="shared" si="83"/>
        <v>0</v>
      </c>
      <c r="R427" s="97"/>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row>
    <row r="428" spans="1:41" ht="15.75" customHeight="1" x14ac:dyDescent="0.2">
      <c r="A428" s="65" t="s">
        <v>153</v>
      </c>
      <c r="B428" s="243">
        <f>('Pivot Table for Data Exchange'!$P$474)*100</f>
        <v>0</v>
      </c>
      <c r="C428" s="243">
        <f>('Pivot Table for Data Exchange'!$P$477)*100</f>
        <v>0</v>
      </c>
      <c r="D428" s="249">
        <f>SUM(E428:G428)</f>
        <v>0</v>
      </c>
      <c r="E428" s="243">
        <f>('Pivot Table for Data Exchange'!$P$480)*100</f>
        <v>0</v>
      </c>
      <c r="F428" s="243">
        <f>('Pivot Table for Data Exchange'!$P$483)*100</f>
        <v>0</v>
      </c>
      <c r="G428" s="245">
        <f>('Pivot Table for Data Exchange'!$P$486)*100</f>
        <v>0</v>
      </c>
      <c r="H428" s="243">
        <f>('Pivot Table for Data Exchange'!$P$489)*100</f>
        <v>0</v>
      </c>
      <c r="I428" s="65"/>
      <c r="J428" s="81"/>
      <c r="K428" s="81"/>
      <c r="L428" s="81"/>
      <c r="M428" s="81"/>
      <c r="N428" s="81"/>
      <c r="O428" s="81"/>
      <c r="P428" s="81"/>
      <c r="Q428" s="97">
        <f t="shared" si="83"/>
        <v>0</v>
      </c>
      <c r="R428" s="97"/>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row>
    <row r="429" spans="1:41" ht="15.75" customHeight="1" x14ac:dyDescent="0.2">
      <c r="A429" s="65" t="s">
        <v>154</v>
      </c>
      <c r="B429" s="243">
        <f>('Pivot Table for Data Exchange'!$P$510)*100</f>
        <v>0</v>
      </c>
      <c r="C429" s="243">
        <f>('Pivot Table for Data Exchange'!$P$513)*100</f>
        <v>0</v>
      </c>
      <c r="D429" s="249">
        <f t="shared" ref="D429" si="88">SUM(E429:G429)</f>
        <v>0</v>
      </c>
      <c r="E429" s="243">
        <f>('Pivot Table for Data Exchange'!$P$516)*100</f>
        <v>0</v>
      </c>
      <c r="F429" s="243">
        <f>('Pivot Table for Data Exchange'!$P$519)*100</f>
        <v>0</v>
      </c>
      <c r="G429" s="245">
        <f>('Pivot Table for Data Exchange'!$P$522)*100</f>
        <v>0</v>
      </c>
      <c r="H429" s="243">
        <f>('Pivot Table for Data Exchange'!$P$525)*100</f>
        <v>0</v>
      </c>
      <c r="I429" s="65"/>
      <c r="J429" s="81"/>
      <c r="K429" s="81"/>
      <c r="L429" s="81"/>
      <c r="M429" s="81"/>
      <c r="N429" s="81"/>
      <c r="O429" s="81"/>
      <c r="P429" s="81"/>
      <c r="Q429" s="97">
        <f t="shared" si="83"/>
        <v>0</v>
      </c>
      <c r="R429" s="97"/>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row>
    <row r="430" spans="1:41" ht="15.75" customHeight="1" x14ac:dyDescent="0.2">
      <c r="A430" s="39" t="s">
        <v>155</v>
      </c>
      <c r="B430" s="246">
        <f>('Pivot Table for Data Exchange'!$P$546)*100</f>
        <v>0</v>
      </c>
      <c r="C430" s="246">
        <f>('Pivot Table for Data Exchange'!$P$549)*100</f>
        <v>0</v>
      </c>
      <c r="D430" s="250">
        <f>SUM(E430:G430)</f>
        <v>0</v>
      </c>
      <c r="E430" s="246">
        <f>('Pivot Table for Data Exchange'!$P$552)*100</f>
        <v>0</v>
      </c>
      <c r="F430" s="246">
        <f>('Pivot Table for Data Exchange'!$P$555)*100</f>
        <v>0</v>
      </c>
      <c r="G430" s="247">
        <f>('Pivot Table for Data Exchange'!$P$558)*100</f>
        <v>0</v>
      </c>
      <c r="H430" s="246">
        <f>('Pivot Table for Data Exchange'!$P$561)*100</f>
        <v>0</v>
      </c>
      <c r="I430" s="65"/>
      <c r="J430" s="81"/>
      <c r="K430" s="81"/>
      <c r="L430" s="81"/>
      <c r="M430" s="81"/>
      <c r="N430" s="81"/>
      <c r="O430" s="81"/>
      <c r="P430" s="81"/>
      <c r="Q430" s="97">
        <f t="shared" si="83"/>
        <v>0</v>
      </c>
      <c r="R430" s="97"/>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row>
    <row r="431" spans="1:41" s="25" customFormat="1" ht="18" customHeight="1" x14ac:dyDescent="0.2">
      <c r="A431" s="24" t="s">
        <v>175</v>
      </c>
      <c r="B431" s="69"/>
      <c r="C431" s="69"/>
      <c r="D431" s="70"/>
      <c r="E431" s="69"/>
      <c r="F431" s="70"/>
      <c r="G431" s="70"/>
      <c r="H431" s="69"/>
      <c r="I431" s="24"/>
      <c r="J431" s="69"/>
      <c r="K431" s="69"/>
      <c r="L431" s="70"/>
      <c r="M431" s="69"/>
      <c r="N431" s="70"/>
      <c r="O431" s="70"/>
      <c r="P431" s="69"/>
      <c r="Q431" s="97">
        <f t="shared" si="83"/>
        <v>0</v>
      </c>
      <c r="R431" s="101"/>
      <c r="S431" s="71"/>
      <c r="T431" s="71"/>
      <c r="U431" s="71"/>
      <c r="V431" s="71"/>
      <c r="W431" s="71"/>
      <c r="X431" s="71"/>
      <c r="Y431" s="71"/>
      <c r="Z431" s="71"/>
      <c r="AA431" s="71"/>
      <c r="AB431" s="71"/>
      <c r="AC431" s="71"/>
      <c r="AD431" s="71"/>
      <c r="AE431" s="71"/>
      <c r="AF431" s="71"/>
      <c r="AG431" s="71"/>
      <c r="AH431" s="71"/>
      <c r="AI431" s="71"/>
      <c r="AJ431" s="71"/>
      <c r="AK431" s="71"/>
      <c r="AL431" s="71"/>
      <c r="AM431" s="71"/>
      <c r="AN431" s="71"/>
      <c r="AO431" s="71"/>
    </row>
    <row r="432" spans="1:41" s="25" customFormat="1" ht="13.5" customHeight="1" x14ac:dyDescent="0.2">
      <c r="A432" s="24"/>
      <c r="B432" s="76"/>
      <c r="I432" s="24"/>
      <c r="P432" s="77"/>
      <c r="Q432" s="97">
        <f t="shared" si="83"/>
        <v>0</v>
      </c>
      <c r="R432" s="106"/>
    </row>
    <row r="433" spans="1:41" s="25" customFormat="1" ht="13.5" customHeight="1" x14ac:dyDescent="0.2">
      <c r="A433" s="75"/>
      <c r="H433" s="27" t="s">
        <v>914</v>
      </c>
      <c r="I433" s="75"/>
      <c r="Q433" s="97">
        <f t="shared" si="83"/>
        <v>0</v>
      </c>
      <c r="R433" s="106"/>
    </row>
    <row r="434" spans="1:41" ht="18" x14ac:dyDescent="0.25">
      <c r="A434" s="16" t="s">
        <v>215</v>
      </c>
      <c r="B434" s="34"/>
      <c r="C434" s="34"/>
      <c r="D434" s="34"/>
      <c r="E434" s="34"/>
      <c r="F434" s="34"/>
      <c r="G434" s="34"/>
      <c r="H434" s="35"/>
      <c r="I434" s="80"/>
      <c r="J434" s="65"/>
      <c r="K434" s="65"/>
      <c r="L434" s="65"/>
      <c r="M434" s="65"/>
      <c r="N434" s="65"/>
      <c r="O434" s="65"/>
      <c r="P434" s="65"/>
      <c r="Q434" s="97">
        <f t="shared" si="83"/>
        <v>0</v>
      </c>
    </row>
    <row r="435" spans="1:41" x14ac:dyDescent="0.2">
      <c r="A435" s="18"/>
      <c r="B435" s="19"/>
      <c r="C435" s="19"/>
      <c r="D435" s="19"/>
      <c r="E435" s="19"/>
      <c r="F435" s="19"/>
      <c r="G435" s="19"/>
      <c r="H435" s="36"/>
      <c r="I435" s="80"/>
      <c r="J435" s="65"/>
      <c r="K435" s="65"/>
      <c r="L435" s="65"/>
      <c r="M435" s="65"/>
      <c r="N435" s="65"/>
      <c r="O435" s="65"/>
      <c r="P435" s="65"/>
      <c r="Q435" s="97">
        <f t="shared" si="83"/>
        <v>0</v>
      </c>
    </row>
    <row r="436" spans="1:41" ht="15.75" x14ac:dyDescent="0.25">
      <c r="A436" s="37" t="s">
        <v>162</v>
      </c>
      <c r="B436" s="19"/>
      <c r="C436" s="19"/>
      <c r="D436" s="19"/>
      <c r="E436" s="19"/>
      <c r="F436" s="19"/>
      <c r="G436" s="19"/>
      <c r="H436" s="36"/>
      <c r="I436" s="80"/>
      <c r="J436" s="65"/>
      <c r="K436" s="65"/>
      <c r="L436" s="65"/>
      <c r="M436" s="65"/>
      <c r="N436" s="65"/>
      <c r="O436" s="65"/>
      <c r="P436" s="65"/>
      <c r="Q436" s="97">
        <f t="shared" si="83"/>
        <v>0</v>
      </c>
    </row>
    <row r="437" spans="1:41" ht="15.75" x14ac:dyDescent="0.25">
      <c r="A437" s="37" t="s">
        <v>254</v>
      </c>
      <c r="B437" s="19"/>
      <c r="C437" s="19"/>
      <c r="D437" s="19"/>
      <c r="E437" s="19"/>
      <c r="F437" s="19"/>
      <c r="G437" s="19"/>
      <c r="H437" s="36"/>
      <c r="I437" s="80"/>
      <c r="J437" s="65"/>
      <c r="K437" s="65"/>
      <c r="L437" s="65"/>
      <c r="M437" s="65"/>
      <c r="N437" s="65"/>
      <c r="O437" s="65"/>
      <c r="P437" s="65"/>
      <c r="Q437" s="97">
        <f t="shared" si="83"/>
        <v>0</v>
      </c>
    </row>
    <row r="438" spans="1:41" x14ac:dyDescent="0.2">
      <c r="A438" s="39"/>
      <c r="B438" s="40"/>
      <c r="C438" s="40"/>
      <c r="D438" s="40"/>
      <c r="E438" s="40"/>
      <c r="F438" s="40"/>
      <c r="G438" s="40"/>
      <c r="H438" s="40"/>
      <c r="I438" s="80"/>
      <c r="J438" s="65"/>
      <c r="K438" s="65"/>
      <c r="L438" s="65"/>
      <c r="M438" s="65"/>
      <c r="N438" s="65"/>
      <c r="O438" s="65"/>
      <c r="P438" s="65"/>
      <c r="Q438" s="97">
        <f t="shared" si="83"/>
        <v>0</v>
      </c>
    </row>
    <row r="439" spans="1:41" x14ac:dyDescent="0.2">
      <c r="A439" s="43"/>
      <c r="B439" s="44" t="s">
        <v>164</v>
      </c>
      <c r="C439" s="44"/>
      <c r="D439" s="44"/>
      <c r="E439" s="44"/>
      <c r="F439" s="44"/>
      <c r="G439" s="44"/>
      <c r="H439" s="45"/>
      <c r="I439" s="80"/>
      <c r="J439" s="65"/>
      <c r="K439" s="65"/>
      <c r="L439" s="65"/>
      <c r="M439" s="65"/>
      <c r="N439" s="65"/>
      <c r="O439" s="65"/>
      <c r="P439" s="65"/>
      <c r="Q439" s="97">
        <f t="shared" si="83"/>
        <v>0</v>
      </c>
    </row>
    <row r="440" spans="1:41" x14ac:dyDescent="0.2">
      <c r="A440" s="43"/>
      <c r="B440" s="44" t="s">
        <v>165</v>
      </c>
      <c r="C440" s="44"/>
      <c r="D440" s="670" t="s">
        <v>166</v>
      </c>
      <c r="E440" s="668"/>
      <c r="F440" s="668"/>
      <c r="G440" s="668"/>
      <c r="H440" s="49" t="s">
        <v>39</v>
      </c>
      <c r="I440" s="80"/>
      <c r="J440" s="65"/>
      <c r="K440" s="65"/>
      <c r="L440" s="65"/>
      <c r="M440" s="65"/>
      <c r="N440" s="65"/>
      <c r="O440" s="65"/>
      <c r="P440" s="65"/>
      <c r="Q440" s="97">
        <f t="shared" si="83"/>
        <v>0</v>
      </c>
    </row>
    <row r="441" spans="1:41" ht="36" x14ac:dyDescent="0.2">
      <c r="A441" s="43"/>
      <c r="B441" s="50" t="s">
        <v>167</v>
      </c>
      <c r="C441" s="51" t="s">
        <v>168</v>
      </c>
      <c r="D441" s="52" t="s">
        <v>169</v>
      </c>
      <c r="E441" s="53" t="s">
        <v>7</v>
      </c>
      <c r="F441" s="50" t="s">
        <v>170</v>
      </c>
      <c r="G441" s="54" t="s">
        <v>171</v>
      </c>
      <c r="H441" s="55" t="s">
        <v>172</v>
      </c>
      <c r="I441" s="80"/>
      <c r="J441" s="65"/>
      <c r="K441" s="65"/>
      <c r="L441" s="65"/>
      <c r="M441" s="65"/>
      <c r="N441" s="65"/>
      <c r="O441" s="65"/>
      <c r="P441" s="65"/>
      <c r="Q441" s="97">
        <f t="shared" si="83"/>
        <v>0</v>
      </c>
    </row>
    <row r="442" spans="1:41" ht="15.75" customHeight="1" x14ac:dyDescent="0.2">
      <c r="A442" s="62" t="s">
        <v>141</v>
      </c>
      <c r="B442" s="243">
        <f>('Pivot Table for Data Exchange'!$Q$6)*100</f>
        <v>66.522179461211266</v>
      </c>
      <c r="C442" s="243">
        <f>('Pivot Table for Data Exchange'!$Q$9)*100</f>
        <v>21.340895280534738</v>
      </c>
      <c r="D442" s="249">
        <f>SUM(E442:G442)</f>
        <v>12.136925258253999</v>
      </c>
      <c r="E442" s="243">
        <f>('Pivot Table for Data Exchange'!$Q$12)*100</f>
        <v>12.136925258253999</v>
      </c>
      <c r="F442" s="243">
        <f>('Pivot Table for Data Exchange'!$Q$15)*100</f>
        <v>0</v>
      </c>
      <c r="G442" s="60">
        <f>('Pivot Table for Data Exchange'!$Q$18)*100</f>
        <v>0</v>
      </c>
      <c r="H442" s="243">
        <f>('Pivot Table for Data Exchange'!$Q$21)*100</f>
        <v>0</v>
      </c>
      <c r="I442" s="65"/>
      <c r="J442" s="81"/>
      <c r="K442" s="81"/>
      <c r="L442" s="81"/>
      <c r="M442" s="81"/>
      <c r="N442" s="81"/>
      <c r="O442" s="81"/>
      <c r="P442" s="81"/>
      <c r="Q442" s="97">
        <f t="shared" si="83"/>
        <v>100</v>
      </c>
      <c r="R442" s="97"/>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row>
    <row r="443" spans="1:41" ht="15.75" customHeight="1" x14ac:dyDescent="0.2">
      <c r="A443" s="65" t="s">
        <v>142</v>
      </c>
      <c r="B443" s="243">
        <f>('Pivot Table for Data Exchange'!$Q$42)*100</f>
        <v>0</v>
      </c>
      <c r="C443" s="243">
        <f>('Pivot Table for Data Exchange'!$Q$45)*100</f>
        <v>0</v>
      </c>
      <c r="D443" s="249">
        <f t="shared" ref="D443:D445" si="89">SUM(E443:G443)</f>
        <v>0</v>
      </c>
      <c r="E443" s="243">
        <f>('Pivot Table for Data Exchange'!$Q$48)*100</f>
        <v>0</v>
      </c>
      <c r="F443" s="243">
        <f>('Pivot Table for Data Exchange'!$Q$51)*100</f>
        <v>0</v>
      </c>
      <c r="G443" s="245">
        <f>('Pivot Table for Data Exchange'!$Q$54)*100</f>
        <v>0</v>
      </c>
      <c r="H443" s="243">
        <f>('Pivot Table for Data Exchange'!$Q$57)*100</f>
        <v>0</v>
      </c>
      <c r="I443" s="65"/>
      <c r="J443" s="81"/>
      <c r="K443" s="81"/>
      <c r="L443" s="81"/>
      <c r="M443" s="81"/>
      <c r="N443" s="81"/>
      <c r="O443" s="81"/>
      <c r="P443" s="81"/>
      <c r="Q443" s="97">
        <f t="shared" si="83"/>
        <v>0</v>
      </c>
      <c r="R443" s="97"/>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row>
    <row r="444" spans="1:41" ht="15.75" customHeight="1" x14ac:dyDescent="0.2">
      <c r="A444" s="65" t="s">
        <v>143</v>
      </c>
      <c r="B444" s="243">
        <f>('Pivot Table for Data Exchange'!$Q$78)*100</f>
        <v>0</v>
      </c>
      <c r="C444" s="243">
        <f>('Pivot Table for Data Exchange'!$Q$81)*100</f>
        <v>0</v>
      </c>
      <c r="D444" s="249">
        <f t="shared" si="89"/>
        <v>0</v>
      </c>
      <c r="E444" s="243">
        <f>('Pivot Table for Data Exchange'!$Q$84)*100</f>
        <v>0</v>
      </c>
      <c r="F444" s="243">
        <f>('Pivot Table for Data Exchange'!$Q$87)*100</f>
        <v>0</v>
      </c>
      <c r="G444" s="245">
        <f>('Pivot Table for Data Exchange'!$Q$90)*100</f>
        <v>0</v>
      </c>
      <c r="H444" s="243">
        <f>('Pivot Table for Data Exchange'!$Q$93)*100</f>
        <v>0</v>
      </c>
      <c r="I444" s="65"/>
      <c r="J444" s="81"/>
      <c r="K444" s="81"/>
      <c r="L444" s="81"/>
      <c r="M444" s="81"/>
      <c r="N444" s="81"/>
      <c r="O444" s="81"/>
      <c r="P444" s="81"/>
      <c r="Q444" s="97">
        <f t="shared" si="83"/>
        <v>0</v>
      </c>
      <c r="R444" s="97"/>
      <c r="S444" s="63"/>
      <c r="T444" s="74"/>
      <c r="U444" s="63"/>
      <c r="V444" s="63"/>
      <c r="W444" s="63"/>
      <c r="X444" s="63"/>
      <c r="Y444" s="63"/>
      <c r="Z444" s="63"/>
      <c r="AA444" s="63"/>
      <c r="AB444" s="63"/>
      <c r="AC444" s="63"/>
      <c r="AD444" s="63"/>
      <c r="AE444" s="63"/>
      <c r="AF444" s="63"/>
      <c r="AG444" s="63"/>
      <c r="AH444" s="63"/>
      <c r="AI444" s="63"/>
      <c r="AJ444" s="63"/>
      <c r="AK444" s="63"/>
      <c r="AL444" s="63"/>
      <c r="AM444" s="63"/>
      <c r="AN444" s="63"/>
      <c r="AO444" s="63"/>
    </row>
    <row r="445" spans="1:41" ht="15.75" customHeight="1" x14ac:dyDescent="0.2">
      <c r="A445" s="65" t="s">
        <v>144</v>
      </c>
      <c r="B445" s="243">
        <f>('Pivot Table for Data Exchange'!$Q$114)*100</f>
        <v>0</v>
      </c>
      <c r="C445" s="243">
        <f>('Pivot Table for Data Exchange'!$Q$117)*100</f>
        <v>0</v>
      </c>
      <c r="D445" s="249">
        <f t="shared" si="89"/>
        <v>0</v>
      </c>
      <c r="E445" s="243">
        <f>('Pivot Table for Data Exchange'!$Q$120)*100</f>
        <v>0</v>
      </c>
      <c r="F445" s="243">
        <f>('Pivot Table for Data Exchange'!$Q$123)*100</f>
        <v>0</v>
      </c>
      <c r="G445" s="245">
        <f>('Pivot Table for Data Exchange'!$Q$126)*100</f>
        <v>0</v>
      </c>
      <c r="H445" s="243">
        <f>('Pivot Table for Data Exchange'!$Q$129)*100</f>
        <v>0</v>
      </c>
      <c r="I445" s="65"/>
      <c r="J445" s="81"/>
      <c r="K445" s="81"/>
      <c r="L445" s="81"/>
      <c r="M445" s="81"/>
      <c r="N445" s="81"/>
      <c r="O445" s="81"/>
      <c r="P445" s="81"/>
      <c r="Q445" s="97">
        <f t="shared" si="83"/>
        <v>0</v>
      </c>
      <c r="R445" s="97"/>
      <c r="S445" s="63"/>
      <c r="U445" s="63"/>
      <c r="V445" s="63"/>
      <c r="W445" s="63"/>
      <c r="X445" s="63"/>
      <c r="Y445" s="63"/>
      <c r="Z445" s="63"/>
      <c r="AA445" s="63"/>
      <c r="AB445" s="63"/>
      <c r="AC445" s="63"/>
      <c r="AD445" s="63"/>
      <c r="AE445" s="63"/>
      <c r="AF445" s="63"/>
      <c r="AG445" s="63"/>
      <c r="AH445" s="63"/>
      <c r="AI445" s="63"/>
      <c r="AJ445" s="63"/>
      <c r="AK445" s="63"/>
      <c r="AL445" s="63"/>
      <c r="AM445" s="63"/>
      <c r="AN445" s="63"/>
      <c r="AO445" s="63"/>
    </row>
    <row r="446" spans="1:41" ht="15.75" customHeight="1" x14ac:dyDescent="0.2">
      <c r="A446" s="65"/>
      <c r="B446" s="243"/>
      <c r="C446" s="243"/>
      <c r="D446" s="249"/>
      <c r="E446" s="243"/>
      <c r="F446" s="243"/>
      <c r="G446" s="245"/>
      <c r="H446" s="243"/>
      <c r="I446" s="65"/>
      <c r="J446" s="81"/>
      <c r="K446" s="81"/>
      <c r="L446" s="81"/>
      <c r="M446" s="81"/>
      <c r="N446" s="81"/>
      <c r="O446" s="81"/>
      <c r="P446" s="81"/>
      <c r="Q446" s="97">
        <f t="shared" si="83"/>
        <v>0</v>
      </c>
      <c r="R446" s="97"/>
      <c r="S446" s="63"/>
      <c r="U446" s="63"/>
      <c r="V446" s="63"/>
      <c r="W446" s="63"/>
      <c r="X446" s="63"/>
      <c r="Y446" s="63"/>
      <c r="Z446" s="63"/>
      <c r="AA446" s="63"/>
      <c r="AB446" s="63"/>
      <c r="AC446" s="63"/>
      <c r="AD446" s="63"/>
      <c r="AE446" s="63"/>
      <c r="AF446" s="63"/>
      <c r="AG446" s="63"/>
      <c r="AH446" s="63"/>
      <c r="AI446" s="63"/>
      <c r="AJ446" s="63"/>
      <c r="AK446" s="63"/>
      <c r="AL446" s="63"/>
      <c r="AM446" s="63"/>
      <c r="AN446" s="63"/>
      <c r="AO446" s="63"/>
    </row>
    <row r="447" spans="1:41" ht="15.75" customHeight="1" x14ac:dyDescent="0.2">
      <c r="A447" s="65" t="s">
        <v>145</v>
      </c>
      <c r="B447" s="243">
        <f>('Pivot Table for Data Exchange'!$Q$150)*100</f>
        <v>0</v>
      </c>
      <c r="C447" s="243">
        <f>('Pivot Table for Data Exchange'!$Q$153)*100</f>
        <v>0</v>
      </c>
      <c r="D447" s="249">
        <f t="shared" ref="D447:D450" si="90">SUM(E447:G447)</f>
        <v>0</v>
      </c>
      <c r="E447" s="243">
        <f>('Pivot Table for Data Exchange'!$Q$156)*100</f>
        <v>0</v>
      </c>
      <c r="F447" s="243">
        <f>('Pivot Table for Data Exchange'!$Q$159)*100</f>
        <v>0</v>
      </c>
      <c r="G447" s="245">
        <f>('Pivot Table for Data Exchange'!$Q$162)*100</f>
        <v>0</v>
      </c>
      <c r="H447" s="243">
        <f>('Pivot Table for Data Exchange'!$Q$165)*100</f>
        <v>0</v>
      </c>
      <c r="I447" s="65"/>
      <c r="J447" s="81"/>
      <c r="K447" s="81"/>
      <c r="L447" s="81"/>
      <c r="M447" s="81"/>
      <c r="N447" s="81"/>
      <c r="O447" s="81"/>
      <c r="P447" s="81"/>
      <c r="Q447" s="97">
        <f t="shared" si="83"/>
        <v>0</v>
      </c>
      <c r="R447" s="97"/>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row>
    <row r="448" spans="1:41" ht="15.75" customHeight="1" x14ac:dyDescent="0.2">
      <c r="A448" s="65" t="s">
        <v>146</v>
      </c>
      <c r="B448" s="243">
        <f>('Pivot Table for Data Exchange'!$Q$186)*100</f>
        <v>0</v>
      </c>
      <c r="C448" s="243">
        <f>('Pivot Table for Data Exchange'!$Q$189)*100</f>
        <v>0</v>
      </c>
      <c r="D448" s="249">
        <f t="shared" si="90"/>
        <v>0</v>
      </c>
      <c r="E448" s="243">
        <f>('Pivot Table for Data Exchange'!$Q$192)*100</f>
        <v>0</v>
      </c>
      <c r="F448" s="243">
        <f>('Pivot Table for Data Exchange'!$Q$195)*100</f>
        <v>0</v>
      </c>
      <c r="G448" s="245">
        <f>('Pivot Table for Data Exchange'!$Q$198)*100</f>
        <v>0</v>
      </c>
      <c r="H448" s="243">
        <f>('Pivot Table for Data Exchange'!$Q$201)*100</f>
        <v>0</v>
      </c>
      <c r="I448" s="65"/>
      <c r="J448" s="81"/>
      <c r="K448" s="81"/>
      <c r="L448" s="81"/>
      <c r="M448" s="81"/>
      <c r="N448" s="81"/>
      <c r="O448" s="81"/>
      <c r="P448" s="81"/>
      <c r="Q448" s="97">
        <f t="shared" si="83"/>
        <v>0</v>
      </c>
      <c r="R448" s="97"/>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row>
    <row r="449" spans="1:41" ht="15.75" customHeight="1" x14ac:dyDescent="0.2">
      <c r="A449" s="65" t="s">
        <v>147</v>
      </c>
      <c r="B449" s="243">
        <f>('Pivot Table for Data Exchange'!$Q$222)*100</f>
        <v>0</v>
      </c>
      <c r="C449" s="243">
        <f>('Pivot Table for Data Exchange'!$Q$225)*100</f>
        <v>0</v>
      </c>
      <c r="D449" s="249">
        <f t="shared" si="90"/>
        <v>0</v>
      </c>
      <c r="E449" s="243">
        <f>('Pivot Table for Data Exchange'!$Q$228)*100</f>
        <v>0</v>
      </c>
      <c r="F449" s="243">
        <f>('Pivot Table for Data Exchange'!$Q$231)*100</f>
        <v>0</v>
      </c>
      <c r="G449" s="245">
        <f>('Pivot Table for Data Exchange'!$Q$234)*100</f>
        <v>0</v>
      </c>
      <c r="H449" s="243">
        <f>('Pivot Table for Data Exchange'!$Q$237)*100</f>
        <v>0</v>
      </c>
      <c r="I449" s="86"/>
      <c r="J449" s="81"/>
      <c r="K449" s="81"/>
      <c r="L449" s="81"/>
      <c r="M449" s="81"/>
      <c r="N449" s="81"/>
      <c r="O449" s="81"/>
      <c r="P449" s="81"/>
      <c r="Q449" s="97">
        <f>SUM(I449,C449,D449,H449)</f>
        <v>0</v>
      </c>
      <c r="R449" s="97"/>
      <c r="S449" s="63"/>
      <c r="T449" s="74"/>
      <c r="U449" s="63"/>
      <c r="V449" s="63"/>
      <c r="W449" s="63"/>
      <c r="X449" s="63"/>
      <c r="Y449" s="63"/>
      <c r="Z449" s="63"/>
      <c r="AA449" s="63"/>
      <c r="AB449" s="63"/>
      <c r="AC449" s="63"/>
      <c r="AD449" s="63"/>
      <c r="AE449" s="63"/>
      <c r="AF449" s="63"/>
      <c r="AG449" s="63"/>
      <c r="AH449" s="63"/>
      <c r="AI449" s="63"/>
      <c r="AJ449" s="63"/>
      <c r="AK449" s="63"/>
      <c r="AL449" s="63"/>
      <c r="AM449" s="63"/>
      <c r="AN449" s="63"/>
      <c r="AO449" s="63"/>
    </row>
    <row r="450" spans="1:41" ht="15.75" customHeight="1" x14ac:dyDescent="0.2">
      <c r="A450" s="65" t="s">
        <v>177</v>
      </c>
      <c r="B450" s="243">
        <f>('Pivot Table for Data Exchange'!$Q$258)*100</f>
        <v>0</v>
      </c>
      <c r="C450" s="243">
        <f>('Pivot Table for Data Exchange'!$Q$261)*100</f>
        <v>0</v>
      </c>
      <c r="D450" s="249">
        <f t="shared" si="90"/>
        <v>0</v>
      </c>
      <c r="E450" s="243">
        <f>('Pivot Table for Data Exchange'!$Q$264)*100</f>
        <v>0</v>
      </c>
      <c r="F450" s="243">
        <f>('Pivot Table for Data Exchange'!$Q$267)*100</f>
        <v>0</v>
      </c>
      <c r="G450" s="245">
        <f>('Pivot Table for Data Exchange'!$Q$270)*100</f>
        <v>0</v>
      </c>
      <c r="H450" s="243">
        <f>('Pivot Table for Data Exchange'!$Q$273)*100</f>
        <v>0</v>
      </c>
      <c r="I450" s="65"/>
      <c r="J450" s="81"/>
      <c r="K450" s="81"/>
      <c r="L450" s="81"/>
      <c r="M450" s="81"/>
      <c r="N450" s="81"/>
      <c r="O450" s="81"/>
      <c r="P450" s="81"/>
      <c r="Q450" s="97">
        <f t="shared" si="83"/>
        <v>0</v>
      </c>
      <c r="R450" s="97"/>
      <c r="S450" s="63"/>
      <c r="U450" s="63"/>
      <c r="V450" s="63"/>
      <c r="W450" s="63"/>
      <c r="X450" s="63"/>
      <c r="Y450" s="63"/>
      <c r="Z450" s="63"/>
      <c r="AA450" s="63"/>
      <c r="AB450" s="63"/>
      <c r="AC450" s="63"/>
      <c r="AD450" s="63"/>
      <c r="AE450" s="63"/>
      <c r="AF450" s="63"/>
      <c r="AG450" s="63"/>
      <c r="AH450" s="63"/>
      <c r="AI450" s="63"/>
      <c r="AJ450" s="63"/>
      <c r="AK450" s="63"/>
      <c r="AL450" s="63"/>
      <c r="AM450" s="63"/>
      <c r="AN450" s="63"/>
      <c r="AO450" s="63"/>
    </row>
    <row r="451" spans="1:41" ht="15.75" customHeight="1" x14ac:dyDescent="0.2">
      <c r="A451" s="65"/>
      <c r="B451" s="243"/>
      <c r="C451" s="243"/>
      <c r="D451" s="249"/>
      <c r="E451" s="243"/>
      <c r="F451" s="243"/>
      <c r="G451" s="245"/>
      <c r="H451" s="243"/>
      <c r="I451" s="65"/>
      <c r="J451" s="81"/>
      <c r="K451" s="81"/>
      <c r="L451" s="81"/>
      <c r="M451" s="81"/>
      <c r="N451" s="81"/>
      <c r="O451" s="81"/>
      <c r="P451" s="81"/>
      <c r="Q451" s="97">
        <f t="shared" si="83"/>
        <v>0</v>
      </c>
      <c r="R451" s="97"/>
      <c r="S451" s="63"/>
      <c r="U451" s="63"/>
      <c r="V451" s="63"/>
      <c r="W451" s="63"/>
      <c r="X451" s="63"/>
      <c r="Y451" s="63"/>
      <c r="Z451" s="63"/>
      <c r="AA451" s="63"/>
      <c r="AB451" s="63"/>
      <c r="AC451" s="63"/>
      <c r="AD451" s="63"/>
      <c r="AE451" s="63"/>
      <c r="AF451" s="63"/>
      <c r="AG451" s="63"/>
      <c r="AH451" s="63"/>
      <c r="AI451" s="63"/>
      <c r="AJ451" s="63"/>
      <c r="AK451" s="63"/>
      <c r="AL451" s="63"/>
      <c r="AM451" s="63"/>
      <c r="AN451" s="63"/>
      <c r="AO451" s="63"/>
    </row>
    <row r="452" spans="1:41" ht="15.75" customHeight="1" x14ac:dyDescent="0.2">
      <c r="A452" s="65" t="s">
        <v>148</v>
      </c>
      <c r="B452" s="243">
        <f>('Pivot Table for Data Exchange'!$Q$294)*100</f>
        <v>0</v>
      </c>
      <c r="C452" s="243">
        <f>('Pivot Table for Data Exchange'!$Q$297)*100</f>
        <v>0</v>
      </c>
      <c r="D452" s="249">
        <f t="shared" ref="D452:D454" si="91">SUM(E452:G452)</f>
        <v>0</v>
      </c>
      <c r="E452" s="243">
        <f>('Pivot Table for Data Exchange'!$Q$300)*100</f>
        <v>0</v>
      </c>
      <c r="F452" s="243">
        <f>('Pivot Table for Data Exchange'!$Q$303)*100</f>
        <v>0</v>
      </c>
      <c r="G452" s="245">
        <f>('Pivot Table for Data Exchange'!$Q$306)*100</f>
        <v>0</v>
      </c>
      <c r="H452" s="243">
        <f>('Pivot Table for Data Exchange'!$Q$309)*100</f>
        <v>0</v>
      </c>
      <c r="I452" s="65"/>
      <c r="J452" s="81"/>
      <c r="K452" s="81"/>
      <c r="L452" s="81"/>
      <c r="M452" s="81"/>
      <c r="N452" s="81"/>
      <c r="O452" s="81"/>
      <c r="P452" s="81"/>
      <c r="Q452" s="97">
        <f t="shared" si="83"/>
        <v>0</v>
      </c>
      <c r="R452" s="97"/>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row>
    <row r="453" spans="1:41" ht="15.75" customHeight="1" x14ac:dyDescent="0.2">
      <c r="A453" s="65" t="s">
        <v>149</v>
      </c>
      <c r="B453" s="243">
        <f>('Pivot Table for Data Exchange'!$Q$330)*100</f>
        <v>0</v>
      </c>
      <c r="C453" s="243">
        <f>('Pivot Table for Data Exchange'!$Q$333)*100</f>
        <v>0</v>
      </c>
      <c r="D453" s="249">
        <f t="shared" si="91"/>
        <v>0</v>
      </c>
      <c r="E453" s="243">
        <f>('Pivot Table for Data Exchange'!$Q$336)*100</f>
        <v>0</v>
      </c>
      <c r="F453" s="243">
        <f>('Pivot Table for Data Exchange'!$Q$339)*100</f>
        <v>0</v>
      </c>
      <c r="G453" s="245">
        <f>('Pivot Table for Data Exchange'!$Q$342)*100</f>
        <v>0</v>
      </c>
      <c r="H453" s="243">
        <f>('Pivot Table for Data Exchange'!$Q$345)*100</f>
        <v>0</v>
      </c>
      <c r="I453" s="65"/>
      <c r="J453" s="81"/>
      <c r="K453" s="81"/>
      <c r="L453" s="81"/>
      <c r="M453" s="81"/>
      <c r="N453" s="81"/>
      <c r="O453" s="81"/>
      <c r="P453" s="81"/>
      <c r="Q453" s="97">
        <f t="shared" si="83"/>
        <v>0</v>
      </c>
      <c r="R453" s="97"/>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row>
    <row r="454" spans="1:41" ht="15.75" customHeight="1" x14ac:dyDescent="0.2">
      <c r="A454" s="65" t="s">
        <v>150</v>
      </c>
      <c r="B454" s="243">
        <f>('Pivot Table for Data Exchange'!$Q$366)*100</f>
        <v>0</v>
      </c>
      <c r="C454" s="243">
        <f>('Pivot Table for Data Exchange'!$Q$369)*100</f>
        <v>0</v>
      </c>
      <c r="D454" s="249">
        <f t="shared" si="91"/>
        <v>0</v>
      </c>
      <c r="E454" s="243">
        <f>('Pivot Table for Data Exchange'!$Q$372)*100</f>
        <v>0</v>
      </c>
      <c r="F454" s="243">
        <f>('Pivot Table for Data Exchange'!$Q$375)*100</f>
        <v>0</v>
      </c>
      <c r="G454" s="245">
        <f>('Pivot Table for Data Exchange'!$Q$378)*100</f>
        <v>0</v>
      </c>
      <c r="H454" s="243">
        <f>('Pivot Table for Data Exchange'!$Q$381)*100</f>
        <v>0</v>
      </c>
      <c r="I454" s="65"/>
      <c r="J454" s="81"/>
      <c r="K454" s="81"/>
      <c r="L454" s="81"/>
      <c r="M454" s="81"/>
      <c r="N454" s="81"/>
      <c r="O454" s="81"/>
      <c r="P454" s="81"/>
      <c r="Q454" s="97">
        <f t="shared" si="83"/>
        <v>0</v>
      </c>
      <c r="R454" s="97"/>
      <c r="S454" s="63"/>
      <c r="T454" s="74"/>
      <c r="U454" s="63"/>
      <c r="V454" s="63"/>
      <c r="W454" s="63"/>
      <c r="X454" s="63"/>
      <c r="Y454" s="63"/>
      <c r="Z454" s="63"/>
      <c r="AA454" s="63"/>
      <c r="AB454" s="63"/>
      <c r="AC454" s="63"/>
      <c r="AD454" s="63"/>
      <c r="AE454" s="63"/>
      <c r="AF454" s="63"/>
      <c r="AG454" s="63"/>
      <c r="AH454" s="63"/>
      <c r="AI454" s="63"/>
      <c r="AJ454" s="63"/>
      <c r="AK454" s="63"/>
      <c r="AL454" s="63"/>
      <c r="AM454" s="63"/>
      <c r="AN454" s="63"/>
      <c r="AO454" s="63"/>
    </row>
    <row r="455" spans="1:41" ht="15.75" customHeight="1" x14ac:dyDescent="0.2">
      <c r="A455" s="65" t="s">
        <v>151</v>
      </c>
      <c r="B455" s="243">
        <f>('Pivot Table for Data Exchange'!$Q$402)*100</f>
        <v>0</v>
      </c>
      <c r="C455" s="243">
        <f>('Pivot Table for Data Exchange'!$Q$405)*100</f>
        <v>0</v>
      </c>
      <c r="D455" s="249">
        <f>SUM(E455:G455)</f>
        <v>0</v>
      </c>
      <c r="E455" s="243">
        <f>('Pivot Table for Data Exchange'!$Q$408)*100</f>
        <v>0</v>
      </c>
      <c r="F455" s="243">
        <f>('Pivot Table for Data Exchange'!$Q$411)*100</f>
        <v>0</v>
      </c>
      <c r="G455" s="245">
        <f>('Pivot Table for Data Exchange'!$Q$414)*100</f>
        <v>0</v>
      </c>
      <c r="H455" s="243">
        <f>('Pivot Table for Data Exchange'!$Q$417)*100</f>
        <v>0</v>
      </c>
      <c r="I455" s="65"/>
      <c r="J455" s="81"/>
      <c r="K455" s="81"/>
      <c r="L455" s="81"/>
      <c r="M455" s="81"/>
      <c r="N455" s="81"/>
      <c r="O455" s="81"/>
      <c r="P455" s="81"/>
      <c r="Q455" s="97">
        <f t="shared" si="83"/>
        <v>0</v>
      </c>
      <c r="R455" s="97"/>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row>
    <row r="456" spans="1:41" ht="15.75" customHeight="1" x14ac:dyDescent="0.2">
      <c r="A456" s="65"/>
      <c r="B456" s="243"/>
      <c r="C456" s="243"/>
      <c r="D456" s="249"/>
      <c r="E456" s="243"/>
      <c r="F456" s="243"/>
      <c r="G456" s="245"/>
      <c r="H456" s="243"/>
      <c r="I456" s="65"/>
      <c r="J456" s="81"/>
      <c r="K456" s="81"/>
      <c r="L456" s="81"/>
      <c r="M456" s="81"/>
      <c r="N456" s="81"/>
      <c r="O456" s="81"/>
      <c r="P456" s="81"/>
      <c r="Q456" s="97">
        <f t="shared" si="83"/>
        <v>0</v>
      </c>
      <c r="R456" s="97"/>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row>
    <row r="457" spans="1:41" ht="15.75" customHeight="1" x14ac:dyDescent="0.2">
      <c r="A457" s="65" t="s">
        <v>152</v>
      </c>
      <c r="B457" s="243">
        <f>('Pivot Table for Data Exchange'!$Q$438)*100</f>
        <v>0</v>
      </c>
      <c r="C457" s="243">
        <f>('Pivot Table for Data Exchange'!$Q$441)*100</f>
        <v>0</v>
      </c>
      <c r="D457" s="249">
        <f>SUM(E457:G457)</f>
        <v>0</v>
      </c>
      <c r="E457" s="243">
        <f>('Pivot Table for Data Exchange'!$Q$444)*100</f>
        <v>0</v>
      </c>
      <c r="F457" s="243">
        <f>('Pivot Table for Data Exchange'!$Q$447)*100</f>
        <v>0</v>
      </c>
      <c r="G457" s="245">
        <f>('Pivot Table for Data Exchange'!$Q$450)*100</f>
        <v>0</v>
      </c>
      <c r="H457" s="243">
        <f>('Pivot Table for Data Exchange'!$Q$453)*100</f>
        <v>0</v>
      </c>
      <c r="I457" s="65"/>
      <c r="J457" s="81"/>
      <c r="K457" s="81"/>
      <c r="L457" s="81"/>
      <c r="M457" s="81"/>
      <c r="N457" s="81"/>
      <c r="O457" s="81"/>
      <c r="P457" s="81"/>
      <c r="Q457" s="97">
        <f t="shared" si="83"/>
        <v>0</v>
      </c>
      <c r="R457" s="97"/>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row>
    <row r="458" spans="1:41" ht="15.75" customHeight="1" x14ac:dyDescent="0.2">
      <c r="A458" s="65" t="s">
        <v>153</v>
      </c>
      <c r="B458" s="243">
        <f>('Pivot Table for Data Exchange'!$Q$474)*100</f>
        <v>0</v>
      </c>
      <c r="C458" s="243">
        <f>('Pivot Table for Data Exchange'!$Q$477)*100</f>
        <v>0</v>
      </c>
      <c r="D458" s="249">
        <f>SUM(E458:G458)</f>
        <v>0</v>
      </c>
      <c r="E458" s="243">
        <f>('Pivot Table for Data Exchange'!$Q$480)*100</f>
        <v>0</v>
      </c>
      <c r="F458" s="243">
        <f>('Pivot Table for Data Exchange'!$Q$483)*100</f>
        <v>0</v>
      </c>
      <c r="G458" s="245">
        <f>('Pivot Table for Data Exchange'!$Q$486)*100</f>
        <v>0</v>
      </c>
      <c r="H458" s="243">
        <f>('Pivot Table for Data Exchange'!$Q$489)*100</f>
        <v>0</v>
      </c>
      <c r="I458" s="65"/>
      <c r="J458" s="81"/>
      <c r="K458" s="81"/>
      <c r="L458" s="81"/>
      <c r="M458" s="81"/>
      <c r="N458" s="81"/>
      <c r="O458" s="81"/>
      <c r="P458" s="81"/>
      <c r="Q458" s="97">
        <f t="shared" si="83"/>
        <v>0</v>
      </c>
      <c r="R458" s="97"/>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row>
    <row r="459" spans="1:41" ht="15.75" customHeight="1" x14ac:dyDescent="0.2">
      <c r="A459" s="65" t="s">
        <v>154</v>
      </c>
      <c r="B459" s="243">
        <f>('Pivot Table for Data Exchange'!$Q$510)*100</f>
        <v>0</v>
      </c>
      <c r="C459" s="243">
        <f>('Pivot Table for Data Exchange'!$Q$513)*100</f>
        <v>0</v>
      </c>
      <c r="D459" s="249">
        <f t="shared" ref="D459" si="92">SUM(E459:G459)</f>
        <v>0</v>
      </c>
      <c r="E459" s="243">
        <f>('Pivot Table for Data Exchange'!$Q$516)*100</f>
        <v>0</v>
      </c>
      <c r="F459" s="243">
        <f>('Pivot Table for Data Exchange'!$Q$519)*100</f>
        <v>0</v>
      </c>
      <c r="G459" s="245">
        <f>('Pivot Table for Data Exchange'!$Q$522)*100</f>
        <v>0</v>
      </c>
      <c r="H459" s="243">
        <f>('Pivot Table for Data Exchange'!$Q$525)*100</f>
        <v>0</v>
      </c>
      <c r="I459" s="65"/>
      <c r="J459" s="81"/>
      <c r="K459" s="81"/>
      <c r="L459" s="81"/>
      <c r="M459" s="81"/>
      <c r="N459" s="81"/>
      <c r="O459" s="81"/>
      <c r="P459" s="81"/>
      <c r="Q459" s="97">
        <f t="shared" si="83"/>
        <v>0</v>
      </c>
      <c r="R459" s="97"/>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row>
    <row r="460" spans="1:41" ht="15.75" customHeight="1" x14ac:dyDescent="0.2">
      <c r="A460" s="39" t="s">
        <v>155</v>
      </c>
      <c r="B460" s="246">
        <f>('Pivot Table for Data Exchange'!$Q$546)*100</f>
        <v>0</v>
      </c>
      <c r="C460" s="246">
        <f>('Pivot Table for Data Exchange'!$Q$549)*100</f>
        <v>0</v>
      </c>
      <c r="D460" s="250">
        <f>SUM(E460:G460)</f>
        <v>0</v>
      </c>
      <c r="E460" s="246">
        <f>('Pivot Table for Data Exchange'!$Q$552)*100</f>
        <v>0</v>
      </c>
      <c r="F460" s="246">
        <f>('Pivot Table for Data Exchange'!$Q$555)*100</f>
        <v>0</v>
      </c>
      <c r="G460" s="247">
        <f>('Pivot Table for Data Exchange'!$Q$558)*100</f>
        <v>0</v>
      </c>
      <c r="H460" s="246">
        <f>('Pivot Table for Data Exchange'!$Q$561)*100</f>
        <v>0</v>
      </c>
      <c r="I460" s="65"/>
      <c r="J460" s="81"/>
      <c r="K460" s="81"/>
      <c r="L460" s="81"/>
      <c r="M460" s="81"/>
      <c r="N460" s="81"/>
      <c r="O460" s="81"/>
      <c r="P460" s="81"/>
      <c r="Q460" s="97">
        <f>SUM(B460,C460,D460,H460)</f>
        <v>0</v>
      </c>
      <c r="R460" s="97"/>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row>
    <row r="461" spans="1:41" s="25" customFormat="1" ht="18" customHeight="1" x14ac:dyDescent="0.2">
      <c r="A461" s="24" t="s">
        <v>175</v>
      </c>
      <c r="B461" s="69"/>
      <c r="C461" s="69"/>
      <c r="D461" s="70"/>
      <c r="E461" s="69"/>
      <c r="F461" s="70"/>
      <c r="G461" s="70"/>
      <c r="H461" s="69"/>
      <c r="I461" s="24"/>
      <c r="J461" s="69"/>
      <c r="K461" s="69"/>
      <c r="L461" s="70"/>
      <c r="M461" s="69"/>
      <c r="N461" s="70"/>
      <c r="O461" s="70"/>
      <c r="P461" s="69"/>
      <c r="Q461" s="101"/>
      <c r="R461" s="101"/>
      <c r="S461" s="71"/>
      <c r="T461" s="71"/>
      <c r="U461" s="71"/>
      <c r="V461" s="71"/>
      <c r="W461" s="71"/>
      <c r="X461" s="71"/>
      <c r="Y461" s="71"/>
      <c r="Z461" s="71"/>
      <c r="AA461" s="71"/>
      <c r="AB461" s="71"/>
      <c r="AC461" s="71"/>
      <c r="AD461" s="71"/>
      <c r="AE461" s="71"/>
      <c r="AF461" s="71"/>
      <c r="AG461" s="71"/>
      <c r="AH461" s="71"/>
      <c r="AI461" s="71"/>
      <c r="AJ461" s="71"/>
      <c r="AK461" s="71"/>
      <c r="AL461" s="71"/>
      <c r="AM461" s="71"/>
      <c r="AN461" s="71"/>
      <c r="AO461" s="71"/>
    </row>
    <row r="462" spans="1:41" s="25" customFormat="1" ht="13.5" customHeight="1" x14ac:dyDescent="0.2">
      <c r="A462" s="24"/>
      <c r="B462" s="69"/>
      <c r="C462" s="69"/>
      <c r="D462" s="70"/>
      <c r="E462" s="69"/>
      <c r="F462" s="70"/>
      <c r="G462" s="70"/>
      <c r="H462" s="69"/>
      <c r="I462" s="24"/>
      <c r="J462" s="69"/>
      <c r="K462" s="69"/>
      <c r="L462" s="70"/>
      <c r="M462" s="69"/>
      <c r="N462" s="70"/>
      <c r="O462" s="70"/>
      <c r="P462" s="69"/>
      <c r="Q462" s="101"/>
      <c r="R462" s="101"/>
      <c r="S462" s="71"/>
      <c r="T462" s="71"/>
      <c r="U462" s="71"/>
      <c r="V462" s="71"/>
      <c r="W462" s="71"/>
      <c r="X462" s="71"/>
      <c r="Y462" s="71"/>
      <c r="Z462" s="71"/>
      <c r="AA462" s="71"/>
      <c r="AB462" s="71"/>
      <c r="AC462" s="71"/>
      <c r="AD462" s="71"/>
      <c r="AE462" s="71"/>
      <c r="AF462" s="71"/>
      <c r="AG462" s="71"/>
      <c r="AH462" s="71"/>
      <c r="AI462" s="71"/>
      <c r="AJ462" s="71"/>
      <c r="AK462" s="71"/>
      <c r="AL462" s="71"/>
      <c r="AM462" s="71"/>
      <c r="AN462" s="71"/>
      <c r="AO462" s="71"/>
    </row>
    <row r="463" spans="1:41" s="25" customFormat="1" ht="13.5" customHeight="1" x14ac:dyDescent="0.2">
      <c r="A463" s="24"/>
      <c r="B463" s="76"/>
      <c r="H463" s="27" t="s">
        <v>914</v>
      </c>
      <c r="I463" s="24"/>
      <c r="P463" s="77"/>
      <c r="Q463" s="108"/>
      <c r="R463" s="106"/>
    </row>
    <row r="464" spans="1:41" s="25" customFormat="1" ht="13.5" customHeight="1" x14ac:dyDescent="0.2">
      <c r="A464" s="75"/>
      <c r="H464" s="26"/>
      <c r="I464" s="75"/>
      <c r="Q464" s="108"/>
      <c r="R464" s="106"/>
    </row>
    <row r="465" spans="1:18" s="25" customFormat="1" ht="13.5" customHeight="1" x14ac:dyDescent="0.2">
      <c r="A465" s="75"/>
      <c r="H465" s="26"/>
      <c r="I465" s="75"/>
      <c r="Q465" s="108"/>
      <c r="R465" s="106"/>
    </row>
    <row r="466" spans="1:18" x14ac:dyDescent="0.2">
      <c r="I466" s="80"/>
      <c r="J466" s="65"/>
      <c r="K466" s="65"/>
      <c r="L466" s="65"/>
      <c r="M466" s="65"/>
      <c r="N466" s="65"/>
      <c r="O466" s="65"/>
      <c r="P466" s="65"/>
    </row>
    <row r="467" spans="1:18" s="38" customFormat="1" x14ac:dyDescent="0.2">
      <c r="H467" s="65"/>
      <c r="I467" s="80"/>
      <c r="J467" s="65"/>
      <c r="K467" s="65"/>
      <c r="L467" s="65"/>
      <c r="M467" s="65"/>
      <c r="N467" s="65"/>
      <c r="O467" s="65"/>
      <c r="P467" s="65"/>
      <c r="Q467" s="92"/>
      <c r="R467" s="94"/>
    </row>
    <row r="468" spans="1:18" s="38" customFormat="1" x14ac:dyDescent="0.2">
      <c r="H468" s="65"/>
      <c r="I468" s="80"/>
      <c r="J468" s="65"/>
      <c r="K468" s="65"/>
      <c r="L468" s="65"/>
      <c r="M468" s="65"/>
      <c r="N468" s="65"/>
      <c r="O468" s="65"/>
      <c r="P468" s="65"/>
      <c r="Q468" s="92"/>
      <c r="R468" s="94"/>
    </row>
    <row r="469" spans="1:18" s="38" customFormat="1" x14ac:dyDescent="0.2">
      <c r="H469" s="65"/>
      <c r="I469" s="80"/>
      <c r="J469" s="65"/>
      <c r="K469" s="65"/>
      <c r="L469" s="65"/>
      <c r="M469" s="65"/>
      <c r="N469" s="65"/>
      <c r="O469" s="65"/>
      <c r="P469" s="65"/>
      <c r="Q469" s="92"/>
      <c r="R469" s="94"/>
    </row>
    <row r="470" spans="1:18" s="38" customFormat="1" x14ac:dyDescent="0.2">
      <c r="H470" s="65"/>
      <c r="I470" s="80"/>
      <c r="J470" s="65"/>
      <c r="K470" s="65"/>
      <c r="L470" s="65"/>
      <c r="M470" s="65"/>
      <c r="N470" s="65"/>
      <c r="O470" s="65"/>
      <c r="P470" s="65"/>
      <c r="Q470" s="92"/>
      <c r="R470" s="94"/>
    </row>
    <row r="471" spans="1:18" s="38" customFormat="1" x14ac:dyDescent="0.2">
      <c r="H471" s="65"/>
      <c r="I471" s="80"/>
      <c r="J471" s="65"/>
      <c r="K471" s="65"/>
      <c r="L471" s="65"/>
      <c r="M471" s="65"/>
      <c r="N471" s="65"/>
      <c r="O471" s="65"/>
      <c r="P471" s="65"/>
      <c r="Q471" s="92"/>
      <c r="R471" s="94"/>
    </row>
    <row r="472" spans="1:18" s="38" customFormat="1" x14ac:dyDescent="0.2">
      <c r="H472" s="65"/>
      <c r="I472" s="80"/>
      <c r="J472" s="65"/>
      <c r="K472" s="65"/>
      <c r="L472" s="65"/>
      <c r="M472" s="65"/>
      <c r="N472" s="65"/>
      <c r="O472" s="65"/>
      <c r="P472" s="65"/>
      <c r="Q472" s="92"/>
      <c r="R472" s="94"/>
    </row>
    <row r="473" spans="1:18" s="38" customFormat="1" x14ac:dyDescent="0.2">
      <c r="H473" s="65"/>
      <c r="I473" s="80"/>
      <c r="J473" s="65"/>
      <c r="K473" s="65"/>
      <c r="L473" s="65"/>
      <c r="M473" s="65"/>
      <c r="N473" s="65"/>
      <c r="O473" s="65"/>
      <c r="P473" s="65"/>
      <c r="Q473" s="92"/>
      <c r="R473" s="94"/>
    </row>
    <row r="474" spans="1:18" s="38" customFormat="1" x14ac:dyDescent="0.2">
      <c r="H474" s="65"/>
      <c r="I474" s="80"/>
      <c r="J474" s="65"/>
      <c r="K474" s="65"/>
      <c r="L474" s="65"/>
      <c r="M474" s="65"/>
      <c r="N474" s="65"/>
      <c r="O474" s="65"/>
      <c r="P474" s="65"/>
      <c r="Q474" s="92"/>
      <c r="R474" s="94"/>
    </row>
    <row r="475" spans="1:18" s="38" customFormat="1" x14ac:dyDescent="0.2">
      <c r="H475" s="65"/>
      <c r="I475" s="80"/>
      <c r="J475" s="65"/>
      <c r="K475" s="65"/>
      <c r="L475" s="65"/>
      <c r="M475" s="65"/>
      <c r="N475" s="65"/>
      <c r="O475" s="65"/>
      <c r="P475" s="65"/>
      <c r="Q475" s="92"/>
      <c r="R475" s="94"/>
    </row>
    <row r="476" spans="1:18" s="38" customFormat="1" x14ac:dyDescent="0.2">
      <c r="H476" s="65"/>
      <c r="I476" s="80"/>
      <c r="J476" s="65"/>
      <c r="K476" s="65"/>
      <c r="L476" s="65"/>
      <c r="M476" s="65"/>
      <c r="N476" s="65"/>
      <c r="O476" s="65"/>
      <c r="P476" s="65"/>
      <c r="Q476" s="92"/>
      <c r="R476" s="94"/>
    </row>
    <row r="477" spans="1:18" s="38" customFormat="1" x14ac:dyDescent="0.2">
      <c r="H477" s="65"/>
      <c r="I477" s="80"/>
      <c r="J477" s="65"/>
      <c r="K477" s="65"/>
      <c r="L477" s="65"/>
      <c r="M477" s="65"/>
      <c r="N477" s="65"/>
      <c r="O477" s="65"/>
      <c r="P477" s="65"/>
      <c r="Q477" s="92"/>
      <c r="R477" s="94"/>
    </row>
    <row r="478" spans="1:18" s="38" customFormat="1" x14ac:dyDescent="0.2">
      <c r="H478" s="65"/>
      <c r="I478" s="80"/>
      <c r="J478" s="65"/>
      <c r="K478" s="65"/>
      <c r="L478" s="65"/>
      <c r="M478" s="65"/>
      <c r="N478" s="65"/>
      <c r="O478" s="65"/>
      <c r="P478" s="65"/>
      <c r="Q478" s="92"/>
      <c r="R478" s="94"/>
    </row>
    <row r="479" spans="1:18" s="38" customFormat="1" x14ac:dyDescent="0.2">
      <c r="H479" s="65"/>
      <c r="I479" s="80"/>
      <c r="J479" s="65"/>
      <c r="K479" s="65"/>
      <c r="L479" s="65"/>
      <c r="M479" s="65"/>
      <c r="N479" s="65"/>
      <c r="O479" s="65"/>
      <c r="P479" s="65"/>
      <c r="Q479" s="92"/>
      <c r="R479" s="94"/>
    </row>
    <row r="480" spans="1:18" s="38" customFormat="1" x14ac:dyDescent="0.2">
      <c r="H480" s="65"/>
      <c r="I480" s="80"/>
      <c r="J480" s="65"/>
      <c r="K480" s="65"/>
      <c r="L480" s="65"/>
      <c r="M480" s="65"/>
      <c r="N480" s="65"/>
      <c r="O480" s="65"/>
      <c r="P480" s="65"/>
      <c r="Q480" s="92"/>
      <c r="R480" s="94"/>
    </row>
    <row r="481" spans="8:18" s="38" customFormat="1" x14ac:dyDescent="0.2">
      <c r="H481" s="65"/>
      <c r="I481" s="80"/>
      <c r="J481" s="65"/>
      <c r="K481" s="65"/>
      <c r="L481" s="65"/>
      <c r="M481" s="65"/>
      <c r="N481" s="65"/>
      <c r="O481" s="65"/>
      <c r="P481" s="65"/>
      <c r="Q481" s="92"/>
      <c r="R481" s="94"/>
    </row>
    <row r="482" spans="8:18" s="38" customFormat="1" x14ac:dyDescent="0.2">
      <c r="H482" s="65"/>
      <c r="I482" s="80"/>
      <c r="J482" s="65"/>
      <c r="K482" s="65"/>
      <c r="L482" s="65"/>
      <c r="M482" s="65"/>
      <c r="N482" s="65"/>
      <c r="O482" s="65"/>
      <c r="P482" s="65"/>
      <c r="Q482" s="92"/>
      <c r="R482" s="94"/>
    </row>
    <row r="483" spans="8:18" s="38" customFormat="1" x14ac:dyDescent="0.2">
      <c r="H483" s="65"/>
      <c r="I483" s="80"/>
      <c r="J483" s="65"/>
      <c r="K483" s="65"/>
      <c r="L483" s="65"/>
      <c r="M483" s="65"/>
      <c r="N483" s="65"/>
      <c r="O483" s="65"/>
      <c r="P483" s="65"/>
      <c r="Q483" s="92"/>
      <c r="R483" s="94"/>
    </row>
    <row r="484" spans="8:18" s="38" customFormat="1" x14ac:dyDescent="0.2">
      <c r="H484" s="65"/>
      <c r="I484" s="80"/>
      <c r="J484" s="65"/>
      <c r="K484" s="65"/>
      <c r="L484" s="65"/>
      <c r="M484" s="65"/>
      <c r="N484" s="65"/>
      <c r="O484" s="65"/>
      <c r="P484" s="65"/>
      <c r="Q484" s="92"/>
      <c r="R484" s="94"/>
    </row>
    <row r="485" spans="8:18" s="38" customFormat="1" x14ac:dyDescent="0.2">
      <c r="H485" s="65"/>
      <c r="I485" s="80"/>
      <c r="J485" s="65"/>
      <c r="K485" s="65"/>
      <c r="L485" s="65"/>
      <c r="M485" s="65"/>
      <c r="N485" s="65"/>
      <c r="O485" s="65"/>
      <c r="P485" s="65"/>
      <c r="Q485" s="92"/>
      <c r="R485" s="94"/>
    </row>
    <row r="486" spans="8:18" s="38" customFormat="1" x14ac:dyDescent="0.2">
      <c r="H486" s="65"/>
      <c r="I486" s="80"/>
      <c r="J486" s="65"/>
      <c r="K486" s="65"/>
      <c r="L486" s="65"/>
      <c r="M486" s="65"/>
      <c r="N486" s="65"/>
      <c r="O486" s="65"/>
      <c r="P486" s="65"/>
      <c r="Q486" s="92"/>
      <c r="R486" s="94"/>
    </row>
    <row r="487" spans="8:18" s="38" customFormat="1" x14ac:dyDescent="0.2">
      <c r="H487" s="65"/>
      <c r="I487" s="80"/>
      <c r="J487" s="65"/>
      <c r="K487" s="65"/>
      <c r="L487" s="65"/>
      <c r="M487" s="65"/>
      <c r="N487" s="65"/>
      <c r="O487" s="65"/>
      <c r="P487" s="65"/>
      <c r="Q487" s="92"/>
      <c r="R487" s="94"/>
    </row>
    <row r="488" spans="8:18" s="38" customFormat="1" x14ac:dyDescent="0.2">
      <c r="H488" s="65"/>
      <c r="I488" s="80"/>
      <c r="J488" s="65"/>
      <c r="K488" s="65"/>
      <c r="L488" s="65"/>
      <c r="M488" s="65"/>
      <c r="N488" s="65"/>
      <c r="O488" s="65"/>
      <c r="P488" s="65"/>
      <c r="Q488" s="92"/>
      <c r="R488" s="94"/>
    </row>
    <row r="489" spans="8:18" s="38" customFormat="1" x14ac:dyDescent="0.2">
      <c r="H489" s="65"/>
      <c r="I489" s="80"/>
      <c r="J489" s="65"/>
      <c r="K489" s="65"/>
      <c r="L489" s="65"/>
      <c r="M489" s="65"/>
      <c r="N489" s="65"/>
      <c r="O489" s="65"/>
      <c r="P489" s="65"/>
      <c r="Q489" s="92"/>
      <c r="R489" s="94"/>
    </row>
    <row r="490" spans="8:18" s="38" customFormat="1" x14ac:dyDescent="0.2">
      <c r="H490" s="65"/>
      <c r="I490" s="80"/>
      <c r="J490" s="65"/>
      <c r="K490" s="65"/>
      <c r="L490" s="65"/>
      <c r="M490" s="65"/>
      <c r="N490" s="65"/>
      <c r="O490" s="65"/>
      <c r="P490" s="65"/>
      <c r="Q490" s="92"/>
      <c r="R490" s="94"/>
    </row>
    <row r="491" spans="8:18" s="38" customFormat="1" x14ac:dyDescent="0.2">
      <c r="H491" s="65"/>
      <c r="I491" s="80"/>
      <c r="J491" s="65"/>
      <c r="K491" s="65"/>
      <c r="L491" s="65"/>
      <c r="M491" s="65"/>
      <c r="N491" s="65"/>
      <c r="O491" s="65"/>
      <c r="P491" s="65"/>
      <c r="Q491" s="92"/>
      <c r="R491" s="94"/>
    </row>
    <row r="492" spans="8:18" s="38" customFormat="1" x14ac:dyDescent="0.2">
      <c r="H492" s="65"/>
      <c r="I492" s="80"/>
      <c r="J492" s="65"/>
      <c r="K492" s="65"/>
      <c r="L492" s="65"/>
      <c r="M492" s="65"/>
      <c r="N492" s="65"/>
      <c r="O492" s="65"/>
      <c r="P492" s="65"/>
      <c r="Q492" s="92"/>
      <c r="R492" s="94"/>
    </row>
    <row r="493" spans="8:18" s="38" customFormat="1" x14ac:dyDescent="0.2">
      <c r="H493" s="65"/>
      <c r="I493" s="80"/>
      <c r="J493" s="65"/>
      <c r="K493" s="65"/>
      <c r="L493" s="65"/>
      <c r="M493" s="65"/>
      <c r="N493" s="65"/>
      <c r="O493" s="65"/>
      <c r="P493" s="65"/>
      <c r="Q493" s="92"/>
      <c r="R493" s="94"/>
    </row>
    <row r="494" spans="8:18" s="38" customFormat="1" x14ac:dyDescent="0.2">
      <c r="H494" s="65"/>
      <c r="I494" s="80"/>
      <c r="J494" s="65"/>
      <c r="K494" s="65"/>
      <c r="L494" s="65"/>
      <c r="M494" s="65"/>
      <c r="N494" s="65"/>
      <c r="O494" s="65"/>
      <c r="P494" s="65"/>
      <c r="Q494" s="92"/>
      <c r="R494" s="94"/>
    </row>
    <row r="495" spans="8:18" s="38" customFormat="1" x14ac:dyDescent="0.2">
      <c r="H495" s="65"/>
      <c r="I495" s="80"/>
      <c r="J495" s="65"/>
      <c r="K495" s="65"/>
      <c r="L495" s="65"/>
      <c r="M495" s="65"/>
      <c r="N495" s="65"/>
      <c r="O495" s="65"/>
      <c r="P495" s="65"/>
      <c r="Q495" s="92"/>
      <c r="R495" s="94"/>
    </row>
    <row r="496" spans="8:18" s="38" customFormat="1" x14ac:dyDescent="0.2">
      <c r="H496" s="65"/>
      <c r="I496" s="80"/>
      <c r="J496" s="65"/>
      <c r="K496" s="65"/>
      <c r="L496" s="65"/>
      <c r="M496" s="65"/>
      <c r="N496" s="65"/>
      <c r="O496" s="65"/>
      <c r="P496" s="65"/>
      <c r="Q496" s="92"/>
      <c r="R496" s="94"/>
    </row>
    <row r="497" spans="8:18" s="38" customFormat="1" x14ac:dyDescent="0.2">
      <c r="H497" s="65"/>
      <c r="I497" s="80"/>
      <c r="J497" s="65"/>
      <c r="K497" s="65"/>
      <c r="L497" s="65"/>
      <c r="M497" s="65"/>
      <c r="N497" s="65"/>
      <c r="O497" s="65"/>
      <c r="P497" s="65"/>
      <c r="Q497" s="92"/>
      <c r="R497" s="94"/>
    </row>
    <row r="498" spans="8:18" s="38" customFormat="1" x14ac:dyDescent="0.2">
      <c r="H498" s="65"/>
      <c r="I498" s="80"/>
      <c r="J498" s="65"/>
      <c r="K498" s="65"/>
      <c r="L498" s="65"/>
      <c r="M498" s="65"/>
      <c r="N498" s="65"/>
      <c r="O498" s="65"/>
      <c r="P498" s="65"/>
      <c r="Q498" s="92"/>
      <c r="R498" s="94"/>
    </row>
    <row r="499" spans="8:18" s="38" customFormat="1" x14ac:dyDescent="0.2">
      <c r="H499" s="65"/>
      <c r="I499" s="80"/>
      <c r="J499" s="65"/>
      <c r="K499" s="65"/>
      <c r="L499" s="65"/>
      <c r="M499" s="65"/>
      <c r="N499" s="65"/>
      <c r="O499" s="65"/>
      <c r="P499" s="65"/>
      <c r="Q499" s="92"/>
      <c r="R499" s="94"/>
    </row>
    <row r="500" spans="8:18" s="38" customFormat="1" x14ac:dyDescent="0.2">
      <c r="H500" s="65"/>
      <c r="I500" s="80"/>
      <c r="J500" s="65"/>
      <c r="K500" s="65"/>
      <c r="L500" s="65"/>
      <c r="M500" s="65"/>
      <c r="N500" s="65"/>
      <c r="O500" s="65"/>
      <c r="P500" s="65"/>
      <c r="Q500" s="92"/>
      <c r="R500" s="94"/>
    </row>
    <row r="501" spans="8:18" s="38" customFormat="1" x14ac:dyDescent="0.2">
      <c r="H501" s="65"/>
      <c r="I501" s="80"/>
      <c r="J501" s="65"/>
      <c r="K501" s="65"/>
      <c r="L501" s="65"/>
      <c r="M501" s="65"/>
      <c r="N501" s="65"/>
      <c r="O501" s="65"/>
      <c r="P501" s="65"/>
      <c r="Q501" s="92"/>
      <c r="R501" s="94"/>
    </row>
    <row r="502" spans="8:18" s="38" customFormat="1" x14ac:dyDescent="0.2">
      <c r="H502" s="65"/>
      <c r="I502" s="80"/>
      <c r="J502" s="65"/>
      <c r="K502" s="65"/>
      <c r="L502" s="65"/>
      <c r="M502" s="65"/>
      <c r="N502" s="65"/>
      <c r="O502" s="65"/>
      <c r="P502" s="65"/>
      <c r="Q502" s="92"/>
      <c r="R502" s="94"/>
    </row>
    <row r="503" spans="8:18" s="38" customFormat="1" x14ac:dyDescent="0.2">
      <c r="H503" s="65"/>
      <c r="I503" s="80"/>
      <c r="J503" s="65"/>
      <c r="K503" s="65"/>
      <c r="L503" s="65"/>
      <c r="M503" s="65"/>
      <c r="N503" s="65"/>
      <c r="O503" s="65"/>
      <c r="P503" s="65"/>
      <c r="Q503" s="92"/>
      <c r="R503" s="94"/>
    </row>
    <row r="504" spans="8:18" s="38" customFormat="1" x14ac:dyDescent="0.2">
      <c r="H504" s="65"/>
      <c r="I504" s="80"/>
      <c r="J504" s="65"/>
      <c r="K504" s="65"/>
      <c r="L504" s="65"/>
      <c r="M504" s="65"/>
      <c r="N504" s="65"/>
      <c r="O504" s="65"/>
      <c r="P504" s="65"/>
      <c r="Q504" s="92"/>
      <c r="R504" s="94"/>
    </row>
    <row r="505" spans="8:18" s="38" customFormat="1" x14ac:dyDescent="0.2">
      <c r="H505" s="65"/>
      <c r="I505" s="80"/>
      <c r="J505" s="65"/>
      <c r="K505" s="65"/>
      <c r="L505" s="65"/>
      <c r="M505" s="65"/>
      <c r="N505" s="65"/>
      <c r="O505" s="65"/>
      <c r="P505" s="65"/>
      <c r="Q505" s="92"/>
      <c r="R505" s="94"/>
    </row>
    <row r="506" spans="8:18" s="38" customFormat="1" x14ac:dyDescent="0.2">
      <c r="H506" s="65"/>
      <c r="I506" s="80"/>
      <c r="J506" s="65"/>
      <c r="K506" s="65"/>
      <c r="L506" s="65"/>
      <c r="M506" s="65"/>
      <c r="N506" s="65"/>
      <c r="O506" s="65"/>
      <c r="P506" s="65"/>
      <c r="Q506" s="92"/>
      <c r="R506" s="94"/>
    </row>
    <row r="507" spans="8:18" s="38" customFormat="1" x14ac:dyDescent="0.2">
      <c r="H507" s="65"/>
      <c r="I507" s="80"/>
      <c r="J507" s="65"/>
      <c r="K507" s="65"/>
      <c r="L507" s="65"/>
      <c r="M507" s="65"/>
      <c r="N507" s="65"/>
      <c r="O507" s="65"/>
      <c r="P507" s="65"/>
      <c r="Q507" s="92"/>
      <c r="R507" s="94"/>
    </row>
    <row r="508" spans="8:18" s="38" customFormat="1" x14ac:dyDescent="0.2">
      <c r="H508" s="65"/>
      <c r="I508" s="80"/>
      <c r="J508" s="65"/>
      <c r="K508" s="65"/>
      <c r="L508" s="65"/>
      <c r="M508" s="65"/>
      <c r="N508" s="65"/>
      <c r="O508" s="65"/>
      <c r="P508" s="65"/>
      <c r="Q508" s="92"/>
      <c r="R508" s="94"/>
    </row>
    <row r="509" spans="8:18" s="38" customFormat="1" x14ac:dyDescent="0.2">
      <c r="H509" s="65"/>
      <c r="I509" s="80"/>
      <c r="J509" s="65"/>
      <c r="K509" s="65"/>
      <c r="L509" s="65"/>
      <c r="M509" s="65"/>
      <c r="N509" s="65"/>
      <c r="O509" s="65"/>
      <c r="P509" s="65"/>
      <c r="Q509" s="92"/>
      <c r="R509" s="94"/>
    </row>
    <row r="510" spans="8:18" s="38" customFormat="1" x14ac:dyDescent="0.2">
      <c r="H510" s="65"/>
      <c r="I510" s="80"/>
      <c r="J510" s="65"/>
      <c r="K510" s="65"/>
      <c r="L510" s="65"/>
      <c r="M510" s="65"/>
      <c r="N510" s="65"/>
      <c r="O510" s="65"/>
      <c r="P510" s="65"/>
      <c r="Q510" s="92"/>
      <c r="R510" s="94"/>
    </row>
    <row r="511" spans="8:18" s="38" customFormat="1" x14ac:dyDescent="0.2">
      <c r="H511" s="65"/>
      <c r="I511" s="80"/>
      <c r="J511" s="65"/>
      <c r="K511" s="65"/>
      <c r="L511" s="65"/>
      <c r="M511" s="65"/>
      <c r="N511" s="65"/>
      <c r="O511" s="65"/>
      <c r="P511" s="65"/>
      <c r="Q511" s="92"/>
      <c r="R511" s="94"/>
    </row>
    <row r="512" spans="8:18" s="38" customFormat="1" x14ac:dyDescent="0.2">
      <c r="H512" s="65"/>
      <c r="I512" s="80"/>
      <c r="J512" s="65"/>
      <c r="K512" s="65"/>
      <c r="L512" s="65"/>
      <c r="M512" s="65"/>
      <c r="N512" s="65"/>
      <c r="O512" s="65"/>
      <c r="P512" s="65"/>
      <c r="Q512" s="92"/>
      <c r="R512" s="94"/>
    </row>
    <row r="513" spans="8:18" s="38" customFormat="1" x14ac:dyDescent="0.2">
      <c r="H513" s="65"/>
      <c r="I513" s="80"/>
      <c r="J513" s="65"/>
      <c r="K513" s="65"/>
      <c r="L513" s="65"/>
      <c r="M513" s="65"/>
      <c r="N513" s="65"/>
      <c r="O513" s="65"/>
      <c r="P513" s="65"/>
      <c r="Q513" s="92"/>
      <c r="R513" s="94"/>
    </row>
    <row r="514" spans="8:18" s="38" customFormat="1" x14ac:dyDescent="0.2">
      <c r="H514" s="65"/>
      <c r="I514" s="80"/>
      <c r="J514" s="65"/>
      <c r="K514" s="65"/>
      <c r="L514" s="65"/>
      <c r="M514" s="65"/>
      <c r="N514" s="65"/>
      <c r="O514" s="65"/>
      <c r="P514" s="65"/>
      <c r="Q514" s="92"/>
      <c r="R514" s="94"/>
    </row>
    <row r="515" spans="8:18" s="38" customFormat="1" x14ac:dyDescent="0.2">
      <c r="H515" s="65"/>
      <c r="I515" s="80"/>
      <c r="J515" s="65"/>
      <c r="K515" s="65"/>
      <c r="L515" s="65"/>
      <c r="M515" s="65"/>
      <c r="N515" s="65"/>
      <c r="O515" s="65"/>
      <c r="P515" s="65"/>
      <c r="Q515" s="92"/>
      <c r="R515" s="94"/>
    </row>
    <row r="516" spans="8:18" s="38" customFormat="1" x14ac:dyDescent="0.2">
      <c r="H516" s="65"/>
      <c r="I516" s="80"/>
      <c r="J516" s="65"/>
      <c r="K516" s="65"/>
      <c r="L516" s="65"/>
      <c r="M516" s="65"/>
      <c r="N516" s="65"/>
      <c r="O516" s="65"/>
      <c r="P516" s="65"/>
      <c r="Q516" s="92"/>
      <c r="R516" s="94"/>
    </row>
    <row r="517" spans="8:18" s="38" customFormat="1" x14ac:dyDescent="0.2">
      <c r="H517" s="65"/>
      <c r="I517" s="80"/>
      <c r="J517" s="65"/>
      <c r="K517" s="65"/>
      <c r="L517" s="65"/>
      <c r="M517" s="65"/>
      <c r="N517" s="65"/>
      <c r="O517" s="65"/>
      <c r="P517" s="65"/>
      <c r="Q517" s="92"/>
      <c r="R517" s="94"/>
    </row>
    <row r="518" spans="8:18" s="38" customFormat="1" x14ac:dyDescent="0.2">
      <c r="H518" s="65"/>
      <c r="I518" s="80"/>
      <c r="J518" s="65"/>
      <c r="K518" s="65"/>
      <c r="L518" s="65"/>
      <c r="M518" s="65"/>
      <c r="N518" s="65"/>
      <c r="O518" s="65"/>
      <c r="P518" s="65"/>
      <c r="Q518" s="92"/>
      <c r="R518" s="94"/>
    </row>
    <row r="519" spans="8:18" s="38" customFormat="1" x14ac:dyDescent="0.2">
      <c r="H519" s="65"/>
      <c r="I519" s="80"/>
      <c r="J519" s="65"/>
      <c r="K519" s="65"/>
      <c r="L519" s="65"/>
      <c r="M519" s="65"/>
      <c r="N519" s="65"/>
      <c r="O519" s="65"/>
      <c r="P519" s="65"/>
      <c r="Q519" s="92"/>
      <c r="R519" s="94"/>
    </row>
    <row r="520" spans="8:18" s="38" customFormat="1" x14ac:dyDescent="0.2">
      <c r="H520" s="65"/>
      <c r="I520" s="80"/>
      <c r="J520" s="65"/>
      <c r="K520" s="65"/>
      <c r="L520" s="65"/>
      <c r="M520" s="65"/>
      <c r="N520" s="65"/>
      <c r="O520" s="65"/>
      <c r="P520" s="65"/>
      <c r="Q520" s="92"/>
      <c r="R520" s="94"/>
    </row>
    <row r="521" spans="8:18" s="38" customFormat="1" x14ac:dyDescent="0.2">
      <c r="H521" s="65"/>
      <c r="I521" s="80"/>
      <c r="J521" s="65"/>
      <c r="K521" s="65"/>
      <c r="L521" s="65"/>
      <c r="M521" s="65"/>
      <c r="N521" s="65"/>
      <c r="O521" s="65"/>
      <c r="P521" s="65"/>
      <c r="Q521" s="92"/>
      <c r="R521" s="94"/>
    </row>
    <row r="522" spans="8:18" s="38" customFormat="1" x14ac:dyDescent="0.2">
      <c r="H522" s="65"/>
      <c r="I522" s="80"/>
      <c r="J522" s="65"/>
      <c r="K522" s="65"/>
      <c r="L522" s="65"/>
      <c r="M522" s="65"/>
      <c r="N522" s="65"/>
      <c r="O522" s="65"/>
      <c r="P522" s="65"/>
      <c r="Q522" s="92"/>
      <c r="R522" s="94"/>
    </row>
    <row r="523" spans="8:18" s="38" customFormat="1" x14ac:dyDescent="0.2">
      <c r="H523" s="65"/>
      <c r="I523" s="80"/>
      <c r="J523" s="65"/>
      <c r="K523" s="65"/>
      <c r="L523" s="65"/>
      <c r="M523" s="65"/>
      <c r="N523" s="65"/>
      <c r="O523" s="65"/>
      <c r="P523" s="65"/>
      <c r="Q523" s="92"/>
      <c r="R523" s="94"/>
    </row>
    <row r="524" spans="8:18" s="38" customFormat="1" x14ac:dyDescent="0.2">
      <c r="H524" s="65"/>
      <c r="I524" s="80"/>
      <c r="J524" s="65"/>
      <c r="K524" s="65"/>
      <c r="L524" s="65"/>
      <c r="M524" s="65"/>
      <c r="N524" s="65"/>
      <c r="O524" s="65"/>
      <c r="P524" s="65"/>
      <c r="Q524" s="92"/>
      <c r="R524" s="94"/>
    </row>
    <row r="525" spans="8:18" s="38" customFormat="1" x14ac:dyDescent="0.2">
      <c r="H525" s="65"/>
      <c r="I525" s="80"/>
      <c r="J525" s="65"/>
      <c r="K525" s="65"/>
      <c r="L525" s="65"/>
      <c r="M525" s="65"/>
      <c r="N525" s="65"/>
      <c r="O525" s="65"/>
      <c r="P525" s="65"/>
      <c r="Q525" s="92"/>
      <c r="R525" s="94"/>
    </row>
    <row r="526" spans="8:18" s="38" customFormat="1" x14ac:dyDescent="0.2">
      <c r="H526" s="65"/>
      <c r="I526" s="80"/>
      <c r="J526" s="65"/>
      <c r="K526" s="65"/>
      <c r="L526" s="65"/>
      <c r="M526" s="65"/>
      <c r="N526" s="65"/>
      <c r="O526" s="65"/>
      <c r="P526" s="65"/>
      <c r="Q526" s="92"/>
      <c r="R526" s="94"/>
    </row>
    <row r="527" spans="8:18" s="38" customFormat="1" x14ac:dyDescent="0.2">
      <c r="H527" s="65"/>
      <c r="I527" s="80"/>
      <c r="J527" s="65"/>
      <c r="K527" s="65"/>
      <c r="L527" s="65"/>
      <c r="M527" s="65"/>
      <c r="N527" s="65"/>
      <c r="O527" s="65"/>
      <c r="P527" s="65"/>
      <c r="Q527" s="92"/>
      <c r="R527" s="94"/>
    </row>
    <row r="528" spans="8:18" s="38" customFormat="1" x14ac:dyDescent="0.2">
      <c r="H528" s="65"/>
      <c r="I528" s="80"/>
      <c r="J528" s="65"/>
      <c r="K528" s="65"/>
      <c r="L528" s="65"/>
      <c r="M528" s="65"/>
      <c r="N528" s="65"/>
      <c r="O528" s="65"/>
      <c r="P528" s="65"/>
      <c r="Q528" s="92"/>
      <c r="R528" s="94"/>
    </row>
    <row r="529" spans="8:18" s="38" customFormat="1" x14ac:dyDescent="0.2">
      <c r="H529" s="65"/>
      <c r="I529" s="80"/>
      <c r="J529" s="65"/>
      <c r="K529" s="65"/>
      <c r="L529" s="65"/>
      <c r="M529" s="65"/>
      <c r="N529" s="65"/>
      <c r="O529" s="65"/>
      <c r="P529" s="65"/>
      <c r="Q529" s="92"/>
      <c r="R529" s="94"/>
    </row>
    <row r="530" spans="8:18" s="38" customFormat="1" x14ac:dyDescent="0.2">
      <c r="H530" s="65"/>
      <c r="I530" s="80"/>
      <c r="J530" s="65"/>
      <c r="K530" s="65"/>
      <c r="L530" s="65"/>
      <c r="M530" s="65"/>
      <c r="N530" s="65"/>
      <c r="O530" s="65"/>
      <c r="P530" s="65"/>
      <c r="Q530" s="92"/>
      <c r="R530" s="94"/>
    </row>
    <row r="531" spans="8:18" s="38" customFormat="1" x14ac:dyDescent="0.2">
      <c r="H531" s="65"/>
      <c r="I531" s="80"/>
      <c r="J531" s="65"/>
      <c r="K531" s="65"/>
      <c r="L531" s="65"/>
      <c r="M531" s="65"/>
      <c r="N531" s="65"/>
      <c r="O531" s="65"/>
      <c r="P531" s="65"/>
      <c r="Q531" s="92"/>
      <c r="R531" s="94"/>
    </row>
    <row r="532" spans="8:18" s="38" customFormat="1" x14ac:dyDescent="0.2">
      <c r="H532" s="65"/>
      <c r="I532" s="80"/>
      <c r="J532" s="65"/>
      <c r="K532" s="65"/>
      <c r="L532" s="65"/>
      <c r="M532" s="65"/>
      <c r="N532" s="65"/>
      <c r="O532" s="65"/>
      <c r="P532" s="65"/>
      <c r="Q532" s="92"/>
      <c r="R532" s="94"/>
    </row>
    <row r="533" spans="8:18" s="38" customFormat="1" x14ac:dyDescent="0.2">
      <c r="H533" s="65"/>
      <c r="I533" s="80"/>
      <c r="J533" s="65"/>
      <c r="K533" s="65"/>
      <c r="L533" s="65"/>
      <c r="M533" s="65"/>
      <c r="N533" s="65"/>
      <c r="O533" s="65"/>
      <c r="P533" s="65"/>
      <c r="Q533" s="92"/>
      <c r="R533" s="94"/>
    </row>
    <row r="534" spans="8:18" s="38" customFormat="1" x14ac:dyDescent="0.2">
      <c r="H534" s="65"/>
      <c r="I534" s="80"/>
      <c r="J534" s="65"/>
      <c r="K534" s="65"/>
      <c r="L534" s="65"/>
      <c r="M534" s="65"/>
      <c r="N534" s="65"/>
      <c r="O534" s="65"/>
      <c r="P534" s="65"/>
      <c r="Q534" s="92"/>
      <c r="R534" s="94"/>
    </row>
  </sheetData>
  <mergeCells count="45">
    <mergeCell ref="A30:H30"/>
    <mergeCell ref="I30:P30"/>
    <mergeCell ref="A28:H28"/>
    <mergeCell ref="I28:P28"/>
    <mergeCell ref="Q2:X2"/>
    <mergeCell ref="D7:G7"/>
    <mergeCell ref="L7:O7"/>
    <mergeCell ref="A123:H123"/>
    <mergeCell ref="I123:P123"/>
    <mergeCell ref="D39:G39"/>
    <mergeCell ref="L39:O39"/>
    <mergeCell ref="A61:H61"/>
    <mergeCell ref="I61:P61"/>
    <mergeCell ref="D70:G70"/>
    <mergeCell ref="L70:O70"/>
    <mergeCell ref="A92:H92"/>
    <mergeCell ref="I92:P92"/>
    <mergeCell ref="B100:H100"/>
    <mergeCell ref="D101:G101"/>
    <mergeCell ref="L101:O101"/>
    <mergeCell ref="D132:G132"/>
    <mergeCell ref="L132:O132"/>
    <mergeCell ref="A154:H154"/>
    <mergeCell ref="I154:P154"/>
    <mergeCell ref="D163:G163"/>
    <mergeCell ref="L163:O163"/>
    <mergeCell ref="A309:H309"/>
    <mergeCell ref="A185:H185"/>
    <mergeCell ref="I185:P185"/>
    <mergeCell ref="D194:G194"/>
    <mergeCell ref="L194:O194"/>
    <mergeCell ref="A216:H216"/>
    <mergeCell ref="I216:P216"/>
    <mergeCell ref="D225:G225"/>
    <mergeCell ref="A247:H247"/>
    <mergeCell ref="D256:G256"/>
    <mergeCell ref="A278:H278"/>
    <mergeCell ref="D287:G287"/>
    <mergeCell ref="D440:G440"/>
    <mergeCell ref="D318:G318"/>
    <mergeCell ref="A340:H340"/>
    <mergeCell ref="D349:G349"/>
    <mergeCell ref="A371:H371"/>
    <mergeCell ref="D380:G380"/>
    <mergeCell ref="D410:G410"/>
  </mergeCells>
  <conditionalFormatting sqref="Q1:R7 Q9:R1048576">
    <cfRule type="cellIs" dxfId="654" priority="1" stopIfTrue="1" operator="notEqual">
      <formula>100</formula>
    </cfRule>
  </conditionalFormatting>
  <pageMargins left="0.7" right="0.7" top="0.75" bottom="0.75" header="0.3" footer="0.3"/>
  <pageSetup scale="97" firstPageNumber="91" orientation="landscape" useFirstPageNumber="1" r:id="rId1"/>
  <headerFooter>
    <oddHeader>&amp;R&amp;"Arial,Regular"&amp;8SREB-State Data Exchange</oddHeader>
    <oddFooter>&amp;CC-&amp;P</oddFooter>
  </headerFooter>
  <rowBreaks count="14" manualBreakCount="14">
    <brk id="32" max="15" man="1"/>
    <brk id="63" max="15" man="1"/>
    <brk id="94" max="15" man="1"/>
    <brk id="125" max="15" man="1"/>
    <brk id="156" max="15" man="1"/>
    <brk id="187" max="15" man="1"/>
    <brk id="218" max="15" man="1"/>
    <brk id="249" max="15" man="1"/>
    <brk id="280" max="15" man="1"/>
    <brk id="311" max="15" man="1"/>
    <brk id="342" max="15" man="1"/>
    <brk id="373" max="15" man="1"/>
    <brk id="403" max="15" man="1"/>
    <brk id="433" max="15" man="1"/>
  </rowBreaks>
  <colBreaks count="1" manualBreakCount="1">
    <brk id="8"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00"/>
  </sheetPr>
  <dimension ref="A2:W725"/>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RowHeight="15" x14ac:dyDescent="0.25"/>
  <cols>
    <col min="1" max="1" width="6" style="148" customWidth="1"/>
    <col min="2" max="2" width="21.7109375" style="148" customWidth="1"/>
    <col min="3" max="3" width="12.85546875" style="148" customWidth="1"/>
    <col min="4" max="9" width="12.85546875" style="156" customWidth="1"/>
    <col min="10" max="10" width="16" style="156" customWidth="1"/>
    <col min="11" max="14" width="11.140625" style="156" customWidth="1"/>
    <col min="15" max="15" width="14.28515625" style="156" customWidth="1"/>
    <col min="16" max="17" width="11.28515625" style="156" customWidth="1"/>
    <col min="18" max="18" width="14.5703125" style="156" customWidth="1"/>
    <col min="19" max="19" width="11.42578125" style="156" customWidth="1"/>
    <col min="20" max="22" width="9.140625" style="148" customWidth="1"/>
    <col min="23" max="16384" width="9.140625" style="148"/>
  </cols>
  <sheetData>
    <row r="2" spans="1:22" x14ac:dyDescent="0.25">
      <c r="D2" s="156" t="s">
        <v>39</v>
      </c>
    </row>
    <row r="3" spans="1:22" x14ac:dyDescent="0.25">
      <c r="A3" s="268"/>
      <c r="B3" s="158"/>
      <c r="C3" s="268" t="s">
        <v>258</v>
      </c>
      <c r="D3" s="293" t="s">
        <v>9</v>
      </c>
      <c r="E3" s="293"/>
      <c r="F3" s="159"/>
      <c r="G3" s="159"/>
      <c r="H3" s="159"/>
      <c r="I3" s="159"/>
      <c r="J3" s="269"/>
      <c r="K3" s="269"/>
      <c r="L3" s="269"/>
      <c r="M3" s="269"/>
      <c r="N3" s="269"/>
      <c r="O3" s="269"/>
      <c r="P3" s="269"/>
      <c r="Q3" s="269"/>
      <c r="R3" s="269"/>
      <c r="S3" s="529"/>
      <c r="T3" s="15"/>
      <c r="U3" s="15"/>
      <c r="V3" s="15"/>
    </row>
    <row r="4" spans="1:22" x14ac:dyDescent="0.25">
      <c r="A4" s="160"/>
      <c r="B4" s="161"/>
      <c r="C4" s="160" t="s">
        <v>769</v>
      </c>
      <c r="D4" s="162"/>
      <c r="E4" s="161"/>
      <c r="F4" s="161"/>
      <c r="G4" s="161"/>
      <c r="H4" s="161"/>
      <c r="I4" s="161"/>
      <c r="J4" s="268" t="s">
        <v>770</v>
      </c>
      <c r="K4" s="538" t="s">
        <v>56</v>
      </c>
      <c r="L4" s="162"/>
      <c r="M4" s="161"/>
      <c r="N4" s="161"/>
      <c r="O4" s="268" t="s">
        <v>260</v>
      </c>
      <c r="P4" s="268" t="s">
        <v>57</v>
      </c>
      <c r="Q4" s="271"/>
      <c r="R4" s="268" t="s">
        <v>771</v>
      </c>
      <c r="S4" s="527" t="s">
        <v>882</v>
      </c>
      <c r="T4" s="15" t="s">
        <v>883</v>
      </c>
      <c r="U4" s="15" t="s">
        <v>768</v>
      </c>
      <c r="V4" s="15"/>
    </row>
    <row r="5" spans="1:22" x14ac:dyDescent="0.25">
      <c r="A5" s="268" t="s">
        <v>4</v>
      </c>
      <c r="B5" s="268" t="s">
        <v>58</v>
      </c>
      <c r="C5" s="268">
        <v>1</v>
      </c>
      <c r="D5" s="273">
        <v>2</v>
      </c>
      <c r="E5" s="273">
        <v>3</v>
      </c>
      <c r="F5" s="273">
        <v>4</v>
      </c>
      <c r="G5" s="273">
        <v>5</v>
      </c>
      <c r="H5" s="273">
        <v>6</v>
      </c>
      <c r="I5" s="273">
        <v>15</v>
      </c>
      <c r="J5" s="164"/>
      <c r="K5" s="163">
        <v>7</v>
      </c>
      <c r="L5" s="273">
        <v>8</v>
      </c>
      <c r="M5" s="273">
        <v>9</v>
      </c>
      <c r="N5" s="273">
        <v>10</v>
      </c>
      <c r="O5" s="164"/>
      <c r="P5" s="535">
        <v>12</v>
      </c>
      <c r="Q5" s="156">
        <v>13</v>
      </c>
      <c r="R5" s="164"/>
      <c r="S5" s="528" t="s">
        <v>882</v>
      </c>
      <c r="T5" s="15"/>
      <c r="U5" s="15"/>
      <c r="V5" s="15"/>
    </row>
    <row r="6" spans="1:22" x14ac:dyDescent="0.25">
      <c r="A6" s="523" t="s">
        <v>38</v>
      </c>
      <c r="B6" s="268" t="s">
        <v>59</v>
      </c>
      <c r="C6" s="524">
        <v>0.96045359519296081</v>
      </c>
      <c r="D6" s="525">
        <v>0.9274755330408001</v>
      </c>
      <c r="E6" s="525">
        <v>0.78808557399120893</v>
      </c>
      <c r="F6" s="525">
        <v>0.89225686596135023</v>
      </c>
      <c r="G6" s="525">
        <v>0.9475295777357402</v>
      </c>
      <c r="H6" s="525">
        <v>0.24173298172738092</v>
      </c>
      <c r="I6" s="525">
        <v>0</v>
      </c>
      <c r="J6" s="536">
        <v>0.87782861910309073</v>
      </c>
      <c r="K6" s="536">
        <v>0</v>
      </c>
      <c r="L6" s="525">
        <v>0.64651501764579622</v>
      </c>
      <c r="M6" s="525">
        <v>0.64488193562464191</v>
      </c>
      <c r="N6" s="525">
        <v>0.615121658367765</v>
      </c>
      <c r="O6" s="536">
        <v>0.64169665761456851</v>
      </c>
      <c r="P6" s="165">
        <v>0.4333966304391742</v>
      </c>
      <c r="Q6" s="525">
        <v>0.66522179461211262</v>
      </c>
      <c r="R6" s="536">
        <v>0.57234312908212404</v>
      </c>
      <c r="S6" s="536">
        <v>0</v>
      </c>
      <c r="T6" s="15">
        <v>0</v>
      </c>
      <c r="U6" s="15">
        <v>0.77957691085395031</v>
      </c>
      <c r="V6" s="15"/>
    </row>
    <row r="7" spans="1:22" x14ac:dyDescent="0.25">
      <c r="A7" s="166"/>
      <c r="B7" s="167" t="s">
        <v>60</v>
      </c>
      <c r="C7" s="168">
        <v>0.95319481306023335</v>
      </c>
      <c r="D7" s="169">
        <v>0.90233245822710428</v>
      </c>
      <c r="E7" s="169">
        <v>0.82866190752511149</v>
      </c>
      <c r="F7" s="169">
        <v>0.85159677505346276</v>
      </c>
      <c r="G7" s="169">
        <v>0.94916575209556076</v>
      </c>
      <c r="H7" s="169">
        <v>0.33792740411073624</v>
      </c>
      <c r="I7" s="169">
        <v>1</v>
      </c>
      <c r="J7" s="170">
        <v>0.88519267010942038</v>
      </c>
      <c r="K7" s="170">
        <v>0</v>
      </c>
      <c r="L7" s="169">
        <v>0.75754560485470379</v>
      </c>
      <c r="M7" s="169">
        <v>0.66282754625685758</v>
      </c>
      <c r="N7" s="169">
        <v>0.62806008359252741</v>
      </c>
      <c r="O7" s="170">
        <v>0.69286182088787107</v>
      </c>
      <c r="P7" s="170">
        <v>0.40738178763772914</v>
      </c>
      <c r="Q7" s="169">
        <v>0.8616484840796651</v>
      </c>
      <c r="R7" s="170">
        <v>0.68406057445287904</v>
      </c>
      <c r="S7" s="170">
        <v>0</v>
      </c>
      <c r="T7" s="15">
        <v>0</v>
      </c>
      <c r="U7" s="15">
        <v>0.81019013381247906</v>
      </c>
      <c r="V7" s="15"/>
    </row>
    <row r="8" spans="1:22" x14ac:dyDescent="0.25">
      <c r="A8" s="166"/>
      <c r="B8" s="207" t="s">
        <v>772</v>
      </c>
      <c r="C8" s="208">
        <v>-0.72587821327274593</v>
      </c>
      <c r="D8" s="209">
        <v>-2.514307481369582</v>
      </c>
      <c r="E8" s="209">
        <v>4.0576333533902549</v>
      </c>
      <c r="F8" s="209">
        <v>-4.0660090907887465</v>
      </c>
      <c r="G8" s="209">
        <v>0.16361743598205525</v>
      </c>
      <c r="H8" s="530">
        <v>9.619442238335532</v>
      </c>
      <c r="I8" s="209">
        <v>0</v>
      </c>
      <c r="J8" s="210">
        <v>0.73640510063296416</v>
      </c>
      <c r="K8" s="210">
        <v>0</v>
      </c>
      <c r="L8" s="530">
        <v>11.103058720890758</v>
      </c>
      <c r="M8" s="209">
        <v>1.7945610632215669</v>
      </c>
      <c r="N8" s="209">
        <v>1.2938425224762407</v>
      </c>
      <c r="O8" s="210">
        <v>5.1165163273302561</v>
      </c>
      <c r="P8" s="210">
        <v>-2.6014842801445059</v>
      </c>
      <c r="Q8" s="530">
        <v>19.642668946755247</v>
      </c>
      <c r="R8" s="210">
        <v>11.171744537075501</v>
      </c>
      <c r="S8" s="210">
        <v>0</v>
      </c>
      <c r="T8" s="15">
        <v>0</v>
      </c>
      <c r="U8" s="15">
        <v>3.0613222958528752</v>
      </c>
      <c r="V8" s="15"/>
    </row>
    <row r="9" spans="1:22" x14ac:dyDescent="0.25">
      <c r="A9" s="166"/>
      <c r="B9" s="268" t="s">
        <v>61</v>
      </c>
      <c r="C9" s="524">
        <v>1.3599695971241177E-4</v>
      </c>
      <c r="D9" s="525">
        <v>4.3285410200611226E-4</v>
      </c>
      <c r="E9" s="525">
        <v>6.8170118401774046E-3</v>
      </c>
      <c r="F9" s="525">
        <v>8.3518222473111057E-3</v>
      </c>
      <c r="G9" s="525">
        <v>6.4045015870980151E-3</v>
      </c>
      <c r="H9" s="525">
        <v>4.4666402184313087E-2</v>
      </c>
      <c r="I9" s="525">
        <v>0</v>
      </c>
      <c r="J9" s="536">
        <v>4.5586446002950391E-3</v>
      </c>
      <c r="K9" s="536">
        <v>0</v>
      </c>
      <c r="L9" s="525">
        <v>0.14994808591780603</v>
      </c>
      <c r="M9" s="525">
        <v>0.2064698738728401</v>
      </c>
      <c r="N9" s="525">
        <v>0.15718473002083555</v>
      </c>
      <c r="O9" s="536">
        <v>0.17995866372596528</v>
      </c>
      <c r="P9" s="165">
        <v>0.49787887358086541</v>
      </c>
      <c r="Q9" s="525">
        <v>0.21340895280534738</v>
      </c>
      <c r="R9" s="536">
        <v>0.32737926624958519</v>
      </c>
      <c r="S9" s="536">
        <v>0</v>
      </c>
      <c r="T9" s="15">
        <v>0</v>
      </c>
      <c r="U9" s="15">
        <v>7.9599446834632992E-2</v>
      </c>
      <c r="V9" s="15"/>
    </row>
    <row r="10" spans="1:22" x14ac:dyDescent="0.25">
      <c r="A10" s="166"/>
      <c r="B10" s="167" t="s">
        <v>62</v>
      </c>
      <c r="C10" s="168">
        <v>1.1210125800905253E-4</v>
      </c>
      <c r="D10" s="169">
        <v>1.2249907592573287E-3</v>
      </c>
      <c r="E10" s="169">
        <v>4.9154555146215407E-3</v>
      </c>
      <c r="F10" s="169">
        <v>7.6180772352185018E-3</v>
      </c>
      <c r="G10" s="169">
        <v>4.867108841914396E-3</v>
      </c>
      <c r="H10" s="169">
        <v>6.3766659488431077E-2</v>
      </c>
      <c r="I10" s="169">
        <v>0</v>
      </c>
      <c r="J10" s="170">
        <v>4.2647214963258484E-3</v>
      </c>
      <c r="K10" s="170">
        <v>0</v>
      </c>
      <c r="L10" s="169">
        <v>4.2576798670735883E-2</v>
      </c>
      <c r="M10" s="169">
        <v>0.19018444328697506</v>
      </c>
      <c r="N10" s="169">
        <v>0.13557443520408363</v>
      </c>
      <c r="O10" s="170">
        <v>0.12955850367892943</v>
      </c>
      <c r="P10" s="170">
        <v>0.51111715005682101</v>
      </c>
      <c r="Q10" s="169">
        <v>5.7560573385766839E-2</v>
      </c>
      <c r="R10" s="170">
        <v>0.23487087365513512</v>
      </c>
      <c r="S10" s="170">
        <v>0</v>
      </c>
      <c r="T10" s="15">
        <v>0</v>
      </c>
      <c r="U10" s="15">
        <v>5.5016924381797908E-2</v>
      </c>
      <c r="V10" s="15"/>
    </row>
    <row r="11" spans="1:22" x14ac:dyDescent="0.25">
      <c r="A11" s="166"/>
      <c r="B11" s="207" t="s">
        <v>63</v>
      </c>
      <c r="C11" s="208">
        <v>-2.3895701703359239E-3</v>
      </c>
      <c r="D11" s="209">
        <v>7.9213665725121646E-2</v>
      </c>
      <c r="E11" s="209">
        <v>-0.1901556325555864</v>
      </c>
      <c r="F11" s="209">
        <v>-7.3374501209260395E-2</v>
      </c>
      <c r="G11" s="209">
        <v>-0.15373927451836192</v>
      </c>
      <c r="H11" s="209">
        <v>1.9100257304117991</v>
      </c>
      <c r="I11" s="209">
        <v>0</v>
      </c>
      <c r="J11" s="210">
        <v>-2.9392310396919065E-2</v>
      </c>
      <c r="K11" s="210">
        <v>0</v>
      </c>
      <c r="L11" s="530">
        <v>-10.737128724707015</v>
      </c>
      <c r="M11" s="209">
        <v>-1.6285430585865042</v>
      </c>
      <c r="N11" s="209">
        <v>-2.1610294816751918</v>
      </c>
      <c r="O11" s="210">
        <v>-5.0400160047035847</v>
      </c>
      <c r="P11" s="210">
        <v>1.3238276475955602</v>
      </c>
      <c r="Q11" s="530">
        <v>-15.584837941958055</v>
      </c>
      <c r="R11" s="210">
        <v>-9.2508392594450068</v>
      </c>
      <c r="S11" s="210">
        <v>0</v>
      </c>
      <c r="T11" s="15">
        <v>0</v>
      </c>
      <c r="U11" s="15">
        <v>-2.4582522452835085</v>
      </c>
      <c r="V11" s="15"/>
    </row>
    <row r="12" spans="1:22" x14ac:dyDescent="0.25">
      <c r="A12" s="166"/>
      <c r="B12" s="268" t="s">
        <v>64</v>
      </c>
      <c r="C12" s="524">
        <v>3.5362987218552404E-2</v>
      </c>
      <c r="D12" s="525">
        <v>7.1756269844101175E-2</v>
      </c>
      <c r="E12" s="525">
        <v>0.20242446442006889</v>
      </c>
      <c r="F12" s="525">
        <v>9.939131179133863E-2</v>
      </c>
      <c r="G12" s="525">
        <v>4.6065920677161823E-2</v>
      </c>
      <c r="H12" s="525">
        <v>0.71360061608830594</v>
      </c>
      <c r="I12" s="525">
        <v>0</v>
      </c>
      <c r="J12" s="536">
        <v>0.11519931889698759</v>
      </c>
      <c r="K12" s="536">
        <v>0</v>
      </c>
      <c r="L12" s="525">
        <v>0.17339553039719266</v>
      </c>
      <c r="M12" s="525">
        <v>0.135071417580956</v>
      </c>
      <c r="N12" s="525">
        <v>0.22614683758872761</v>
      </c>
      <c r="O12" s="536">
        <v>0.16035279467308861</v>
      </c>
      <c r="P12" s="165">
        <v>6.8724495979960401E-2</v>
      </c>
      <c r="Q12" s="525">
        <v>0.12136925258254</v>
      </c>
      <c r="R12" s="536">
        <v>0.10027760466829075</v>
      </c>
      <c r="S12" s="536">
        <v>0</v>
      </c>
      <c r="T12" s="15">
        <v>0</v>
      </c>
      <c r="U12" s="15">
        <v>0.13241270000682856</v>
      </c>
      <c r="V12" s="15"/>
    </row>
    <row r="13" spans="1:22" x14ac:dyDescent="0.25">
      <c r="A13" s="166"/>
      <c r="B13" s="167" t="s">
        <v>65</v>
      </c>
      <c r="C13" s="168">
        <v>4.0372467348688781E-2</v>
      </c>
      <c r="D13" s="169">
        <v>9.6084768412772123E-2</v>
      </c>
      <c r="E13" s="169">
        <v>0.16336383142382899</v>
      </c>
      <c r="F13" s="169">
        <v>0.1407851477113187</v>
      </c>
      <c r="G13" s="169">
        <v>4.596713906252485E-2</v>
      </c>
      <c r="H13" s="169">
        <v>0.59830593640083263</v>
      </c>
      <c r="I13" s="169">
        <v>0</v>
      </c>
      <c r="J13" s="170">
        <v>0.10707232230589908</v>
      </c>
      <c r="K13" s="170">
        <v>0</v>
      </c>
      <c r="L13" s="169">
        <v>0.1801771716061987</v>
      </c>
      <c r="M13" s="169">
        <v>0.13882265892352103</v>
      </c>
      <c r="N13" s="169">
        <v>0.23291563086601391</v>
      </c>
      <c r="O13" s="170">
        <v>0.16581781007393556</v>
      </c>
      <c r="P13" s="170">
        <v>8.1501062305449873E-2</v>
      </c>
      <c r="Q13" s="169">
        <v>8.0790942534568061E-2</v>
      </c>
      <c r="R13" s="170">
        <v>8.1068551891985863E-2</v>
      </c>
      <c r="S13" s="170">
        <v>0</v>
      </c>
      <c r="T13" s="15">
        <v>0</v>
      </c>
      <c r="U13" s="15">
        <v>0.12831988755916882</v>
      </c>
      <c r="V13" s="15"/>
    </row>
    <row r="14" spans="1:22" s="171" customFormat="1" x14ac:dyDescent="0.25">
      <c r="A14" s="166"/>
      <c r="B14" s="207" t="s">
        <v>66</v>
      </c>
      <c r="C14" s="208">
        <v>0.50094801301363778</v>
      </c>
      <c r="D14" s="209">
        <v>2.4328498568670947</v>
      </c>
      <c r="E14" s="209">
        <v>-3.906063299623991</v>
      </c>
      <c r="F14" s="209">
        <v>4.1393835919980067</v>
      </c>
      <c r="G14" s="209">
        <v>-9.8781614636972437E-3</v>
      </c>
      <c r="H14" s="530">
        <v>-11.529467968747332</v>
      </c>
      <c r="I14" s="209">
        <v>0</v>
      </c>
      <c r="J14" s="210">
        <v>-0.81269965910885089</v>
      </c>
      <c r="K14" s="210">
        <v>0</v>
      </c>
      <c r="L14" s="209">
        <v>0.67816412090060396</v>
      </c>
      <c r="M14" s="209">
        <v>0.37512413425650204</v>
      </c>
      <c r="N14" s="209">
        <v>0.67687932772863002</v>
      </c>
      <c r="O14" s="210">
        <v>0.54650154008469565</v>
      </c>
      <c r="P14" s="210">
        <v>1.2776566325489471</v>
      </c>
      <c r="Q14" s="209">
        <v>-4.0578310047971939</v>
      </c>
      <c r="R14" s="210">
        <v>-1.9209052776304887</v>
      </c>
      <c r="S14" s="210">
        <v>0</v>
      </c>
      <c r="T14" s="15">
        <v>0</v>
      </c>
      <c r="U14" s="15">
        <v>-0.40928124476597438</v>
      </c>
      <c r="V14" s="15"/>
    </row>
    <row r="15" spans="1:22" x14ac:dyDescent="0.25">
      <c r="A15" s="166"/>
      <c r="B15" s="268" t="s">
        <v>67</v>
      </c>
      <c r="C15" s="524">
        <v>3.5963640457282222E-4</v>
      </c>
      <c r="D15" s="525">
        <v>3.353430130926474E-4</v>
      </c>
      <c r="E15" s="525">
        <v>2.5303924286223418E-3</v>
      </c>
      <c r="F15" s="525">
        <v>0</v>
      </c>
      <c r="G15" s="525">
        <v>0</v>
      </c>
      <c r="H15" s="525">
        <v>0</v>
      </c>
      <c r="I15" s="525">
        <v>0</v>
      </c>
      <c r="J15" s="536">
        <v>9.3410263588867659E-4</v>
      </c>
      <c r="K15" s="536">
        <v>0</v>
      </c>
      <c r="L15" s="525">
        <v>2.1015219811212444E-3</v>
      </c>
      <c r="M15" s="525">
        <v>4.3760708725280283E-3</v>
      </c>
      <c r="N15" s="525">
        <v>1.0276512342409154E-3</v>
      </c>
      <c r="O15" s="536">
        <v>3.1362410122241359E-3</v>
      </c>
      <c r="P15" s="165">
        <v>0</v>
      </c>
      <c r="Q15" s="525">
        <v>0</v>
      </c>
      <c r="R15" s="536">
        <v>0</v>
      </c>
      <c r="S15" s="536">
        <v>0</v>
      </c>
      <c r="T15" s="15">
        <v>0</v>
      </c>
      <c r="U15" s="15">
        <v>1.7691700486565202E-3</v>
      </c>
      <c r="V15" s="15"/>
    </row>
    <row r="16" spans="1:22" x14ac:dyDescent="0.25">
      <c r="A16" s="166"/>
      <c r="B16" s="167" t="s">
        <v>68</v>
      </c>
      <c r="C16" s="168">
        <v>2.8243693576306746E-4</v>
      </c>
      <c r="D16" s="169">
        <v>3.577826008662604E-4</v>
      </c>
      <c r="E16" s="169">
        <v>2.4920268635097993E-3</v>
      </c>
      <c r="F16" s="169">
        <v>0</v>
      </c>
      <c r="G16" s="169">
        <v>0</v>
      </c>
      <c r="H16" s="169">
        <v>0</v>
      </c>
      <c r="I16" s="169">
        <v>0</v>
      </c>
      <c r="J16" s="170">
        <v>8.2747430962586902E-4</v>
      </c>
      <c r="K16" s="170">
        <v>0</v>
      </c>
      <c r="L16" s="169">
        <v>2.1318386836032435E-3</v>
      </c>
      <c r="M16" s="169">
        <v>4.6215480774379472E-3</v>
      </c>
      <c r="N16" s="169">
        <v>0</v>
      </c>
      <c r="O16" s="170">
        <v>3.1288624297047089E-3</v>
      </c>
      <c r="P16" s="170">
        <v>0</v>
      </c>
      <c r="Q16" s="169">
        <v>0</v>
      </c>
      <c r="R16" s="170">
        <v>0</v>
      </c>
      <c r="S16" s="170">
        <v>0</v>
      </c>
      <c r="T16" s="15">
        <v>0</v>
      </c>
      <c r="U16" s="15">
        <v>1.6634931061641997E-3</v>
      </c>
      <c r="V16" s="15"/>
    </row>
    <row r="17" spans="1:22" x14ac:dyDescent="0.25">
      <c r="A17" s="166"/>
      <c r="B17" s="207" t="s">
        <v>69</v>
      </c>
      <c r="C17" s="208">
        <v>-7.7199468809754758E-3</v>
      </c>
      <c r="D17" s="209">
        <v>2.2439587773613002E-3</v>
      </c>
      <c r="E17" s="209">
        <v>-3.8365565112542539E-3</v>
      </c>
      <c r="F17" s="209">
        <v>0</v>
      </c>
      <c r="G17" s="209">
        <v>0</v>
      </c>
      <c r="H17" s="209">
        <v>0</v>
      </c>
      <c r="I17" s="209">
        <v>0</v>
      </c>
      <c r="J17" s="210">
        <v>-1.0662832626280757E-2</v>
      </c>
      <c r="K17" s="210">
        <v>0</v>
      </c>
      <c r="L17" s="209">
        <v>3.031670248199907E-3</v>
      </c>
      <c r="M17" s="209">
        <v>2.4547720490991892E-2</v>
      </c>
      <c r="N17" s="209">
        <v>-0.10276512342409154</v>
      </c>
      <c r="O17" s="210">
        <v>-7.378582519426951E-4</v>
      </c>
      <c r="P17" s="210">
        <v>0</v>
      </c>
      <c r="Q17" s="209">
        <v>0</v>
      </c>
      <c r="R17" s="210">
        <v>0</v>
      </c>
      <c r="S17" s="210">
        <v>0</v>
      </c>
      <c r="T17" s="15">
        <v>0</v>
      </c>
      <c r="U17" s="15">
        <v>-1.0567694249232059E-2</v>
      </c>
      <c r="V17" s="15"/>
    </row>
    <row r="18" spans="1:22" x14ac:dyDescent="0.25">
      <c r="A18" s="166"/>
      <c r="B18" s="268" t="s">
        <v>70</v>
      </c>
      <c r="C18" s="524">
        <v>3.6877842242015657E-3</v>
      </c>
      <c r="D18" s="525">
        <v>0</v>
      </c>
      <c r="E18" s="525">
        <v>1.4255731992238546E-4</v>
      </c>
      <c r="F18" s="525">
        <v>0</v>
      </c>
      <c r="G18" s="525">
        <v>0</v>
      </c>
      <c r="H18" s="525">
        <v>0</v>
      </c>
      <c r="I18" s="525">
        <v>0</v>
      </c>
      <c r="J18" s="536">
        <v>1.4793147637379767E-3</v>
      </c>
      <c r="K18" s="536">
        <v>0</v>
      </c>
      <c r="L18" s="525">
        <v>2.8039844058083872E-2</v>
      </c>
      <c r="M18" s="525">
        <v>9.1946169286311E-3</v>
      </c>
      <c r="N18" s="525">
        <v>5.1912278843097785E-4</v>
      </c>
      <c r="O18" s="536">
        <v>1.4852510760273326E-2</v>
      </c>
      <c r="P18" s="165">
        <v>0</v>
      </c>
      <c r="Q18" s="525">
        <v>0</v>
      </c>
      <c r="R18" s="536">
        <v>0</v>
      </c>
      <c r="S18" s="536">
        <v>0</v>
      </c>
      <c r="T18" s="15">
        <v>0</v>
      </c>
      <c r="U18" s="15">
        <v>6.6405559732424756E-3</v>
      </c>
      <c r="V18" s="15"/>
    </row>
    <row r="19" spans="1:22" x14ac:dyDescent="0.25">
      <c r="A19" s="166"/>
      <c r="B19" s="167" t="s">
        <v>71</v>
      </c>
      <c r="C19" s="168">
        <v>6.0381813973057847E-3</v>
      </c>
      <c r="D19" s="169">
        <v>0</v>
      </c>
      <c r="E19" s="169">
        <v>5.6677867292822149E-4</v>
      </c>
      <c r="F19" s="169">
        <v>0</v>
      </c>
      <c r="G19" s="169">
        <v>0</v>
      </c>
      <c r="H19" s="169">
        <v>0</v>
      </c>
      <c r="I19" s="169">
        <v>0</v>
      </c>
      <c r="J19" s="170">
        <v>2.6428117787288645E-3</v>
      </c>
      <c r="K19" s="170">
        <v>0</v>
      </c>
      <c r="L19" s="169">
        <v>1.7568586184758445E-2</v>
      </c>
      <c r="M19" s="169">
        <v>3.5438034552083687E-3</v>
      </c>
      <c r="N19" s="169">
        <v>3.4498503373750697E-3</v>
      </c>
      <c r="O19" s="170">
        <v>8.6330029295591977E-3</v>
      </c>
      <c r="P19" s="170">
        <v>0</v>
      </c>
      <c r="Q19" s="169">
        <v>0</v>
      </c>
      <c r="R19" s="170">
        <v>0</v>
      </c>
      <c r="S19" s="170">
        <v>0</v>
      </c>
      <c r="T19" s="15">
        <v>0</v>
      </c>
      <c r="U19" s="15">
        <v>4.809561140390029E-3</v>
      </c>
      <c r="V19" s="15"/>
    </row>
    <row r="20" spans="1:22" x14ac:dyDescent="0.25">
      <c r="A20" s="166"/>
      <c r="B20" s="207" t="s">
        <v>72</v>
      </c>
      <c r="C20" s="208">
        <v>0.23503971731042189</v>
      </c>
      <c r="D20" s="209">
        <v>0</v>
      </c>
      <c r="E20" s="209">
        <v>4.2422135300583606E-2</v>
      </c>
      <c r="F20" s="209">
        <v>0</v>
      </c>
      <c r="G20" s="209">
        <v>0</v>
      </c>
      <c r="H20" s="209">
        <v>0</v>
      </c>
      <c r="I20" s="209">
        <v>0</v>
      </c>
      <c r="J20" s="210">
        <v>0.11634970149908877</v>
      </c>
      <c r="K20" s="210">
        <v>0</v>
      </c>
      <c r="L20" s="209">
        <v>-1.0471257873325428</v>
      </c>
      <c r="M20" s="209">
        <v>-0.56508134734227311</v>
      </c>
      <c r="N20" s="209">
        <v>0.29307275489440915</v>
      </c>
      <c r="O20" s="210">
        <v>-0.62195078307141283</v>
      </c>
      <c r="P20" s="210">
        <v>0</v>
      </c>
      <c r="Q20" s="209">
        <v>0</v>
      </c>
      <c r="R20" s="210">
        <v>0</v>
      </c>
      <c r="S20" s="210">
        <v>0</v>
      </c>
      <c r="T20" s="15">
        <v>0</v>
      </c>
      <c r="U20" s="15">
        <v>-0.18309948328524467</v>
      </c>
      <c r="V20" s="15"/>
    </row>
    <row r="21" spans="1:22" x14ac:dyDescent="0.25">
      <c r="A21" s="166"/>
      <c r="B21" s="268" t="s">
        <v>73</v>
      </c>
      <c r="C21" s="524">
        <v>0</v>
      </c>
      <c r="D21" s="525">
        <v>0</v>
      </c>
      <c r="E21" s="525">
        <v>0</v>
      </c>
      <c r="F21" s="525">
        <v>0</v>
      </c>
      <c r="G21" s="525">
        <v>0</v>
      </c>
      <c r="H21" s="525">
        <v>0</v>
      </c>
      <c r="I21" s="525">
        <v>0</v>
      </c>
      <c r="J21" s="536">
        <v>0</v>
      </c>
      <c r="K21" s="536">
        <v>0</v>
      </c>
      <c r="L21" s="525">
        <v>0</v>
      </c>
      <c r="M21" s="525">
        <v>6.0851204028001985E-6</v>
      </c>
      <c r="N21" s="525">
        <v>0</v>
      </c>
      <c r="O21" s="536">
        <v>3.1322138800925881E-6</v>
      </c>
      <c r="P21" s="165">
        <v>0</v>
      </c>
      <c r="Q21" s="525">
        <v>0</v>
      </c>
      <c r="R21" s="536">
        <v>0</v>
      </c>
      <c r="S21" s="536">
        <v>0</v>
      </c>
      <c r="T21" s="15">
        <v>0</v>
      </c>
      <c r="U21" s="15">
        <v>1.2162826891176233E-6</v>
      </c>
      <c r="V21" s="15"/>
    </row>
    <row r="22" spans="1:22" x14ac:dyDescent="0.25">
      <c r="A22" s="166"/>
      <c r="B22" s="167" t="s">
        <v>74</v>
      </c>
      <c r="C22" s="168">
        <v>0</v>
      </c>
      <c r="D22" s="169">
        <v>0</v>
      </c>
      <c r="E22" s="169">
        <v>0</v>
      </c>
      <c r="F22" s="169">
        <v>0</v>
      </c>
      <c r="G22" s="169">
        <v>0</v>
      </c>
      <c r="H22" s="169">
        <v>0</v>
      </c>
      <c r="I22" s="169">
        <v>0</v>
      </c>
      <c r="J22" s="170">
        <v>0</v>
      </c>
      <c r="K22" s="170">
        <v>0</v>
      </c>
      <c r="L22" s="169">
        <v>0</v>
      </c>
      <c r="M22" s="169">
        <v>0</v>
      </c>
      <c r="N22" s="169">
        <v>0</v>
      </c>
      <c r="O22" s="170">
        <v>0</v>
      </c>
      <c r="P22" s="170">
        <v>0</v>
      </c>
      <c r="Q22" s="169">
        <v>0</v>
      </c>
      <c r="R22" s="170">
        <v>0</v>
      </c>
      <c r="S22" s="170">
        <v>0</v>
      </c>
      <c r="T22" s="15">
        <v>0</v>
      </c>
      <c r="U22" s="15">
        <v>0</v>
      </c>
      <c r="V22" s="15"/>
    </row>
    <row r="23" spans="1:22" ht="15.75" thickBot="1" x14ac:dyDescent="0.3">
      <c r="A23" s="166"/>
      <c r="B23" s="531" t="s">
        <v>75</v>
      </c>
      <c r="C23" s="532">
        <v>0</v>
      </c>
      <c r="D23" s="533">
        <v>0</v>
      </c>
      <c r="E23" s="533">
        <v>0</v>
      </c>
      <c r="F23" s="533">
        <v>0</v>
      </c>
      <c r="G23" s="533">
        <v>0</v>
      </c>
      <c r="H23" s="533">
        <v>0</v>
      </c>
      <c r="I23" s="533">
        <v>0</v>
      </c>
      <c r="J23" s="537">
        <v>0</v>
      </c>
      <c r="K23" s="537">
        <v>0</v>
      </c>
      <c r="L23" s="533">
        <v>0</v>
      </c>
      <c r="M23" s="533">
        <v>-6.0851204028001984E-4</v>
      </c>
      <c r="N23" s="533">
        <v>0</v>
      </c>
      <c r="O23" s="537">
        <v>-3.1322138800925881E-4</v>
      </c>
      <c r="P23" s="537">
        <v>0</v>
      </c>
      <c r="Q23" s="533">
        <v>0</v>
      </c>
      <c r="R23" s="537">
        <v>0</v>
      </c>
      <c r="S23" s="537">
        <v>0</v>
      </c>
      <c r="T23" s="15">
        <v>0</v>
      </c>
      <c r="U23" s="15">
        <v>-1.2162826891176233E-4</v>
      </c>
      <c r="V23" s="15"/>
    </row>
    <row r="24" spans="1:22" ht="15.75" thickTop="1" x14ac:dyDescent="0.25">
      <c r="A24" s="166"/>
      <c r="B24" s="167" t="s">
        <v>76</v>
      </c>
      <c r="C24" s="168">
        <v>0.83939962283205727</v>
      </c>
      <c r="D24" s="169">
        <v>0.83373493975903612</v>
      </c>
      <c r="E24" s="169">
        <v>0.62855083175924154</v>
      </c>
      <c r="F24" s="169">
        <v>0.58597205023881127</v>
      </c>
      <c r="G24" s="169">
        <v>0.2587801321094621</v>
      </c>
      <c r="H24" s="169">
        <v>0</v>
      </c>
      <c r="I24" s="169">
        <v>0</v>
      </c>
      <c r="J24" s="170">
        <v>0.69512512214454369</v>
      </c>
      <c r="K24" s="170">
        <v>0</v>
      </c>
      <c r="L24" s="169">
        <v>0</v>
      </c>
      <c r="M24" s="169">
        <v>0</v>
      </c>
      <c r="N24" s="169">
        <v>0</v>
      </c>
      <c r="O24" s="170">
        <v>0</v>
      </c>
      <c r="P24" s="170">
        <v>0</v>
      </c>
      <c r="Q24" s="169">
        <v>0</v>
      </c>
      <c r="R24" s="170">
        <v>0</v>
      </c>
      <c r="S24" s="170">
        <v>0</v>
      </c>
      <c r="T24" s="15">
        <v>0</v>
      </c>
      <c r="U24" s="15">
        <v>0.69512512214454369</v>
      </c>
      <c r="V24" s="15"/>
    </row>
    <row r="25" spans="1:22" x14ac:dyDescent="0.25">
      <c r="A25" s="166"/>
      <c r="B25" s="167" t="s">
        <v>77</v>
      </c>
      <c r="C25" s="168">
        <v>0.84600012370996669</v>
      </c>
      <c r="D25" s="169">
        <v>0.81058539357772097</v>
      </c>
      <c r="E25" s="169">
        <v>0.74372147642050757</v>
      </c>
      <c r="F25" s="169">
        <v>0.56313614358247732</v>
      </c>
      <c r="G25" s="169">
        <v>0.2329170549860205</v>
      </c>
      <c r="H25" s="169">
        <v>0</v>
      </c>
      <c r="I25" s="169">
        <v>0</v>
      </c>
      <c r="J25" s="170">
        <v>0.72411967697494029</v>
      </c>
      <c r="K25" s="170">
        <v>0</v>
      </c>
      <c r="L25" s="169">
        <v>0</v>
      </c>
      <c r="M25" s="169">
        <v>0</v>
      </c>
      <c r="N25" s="169">
        <v>0</v>
      </c>
      <c r="O25" s="170">
        <v>0</v>
      </c>
      <c r="P25" s="170">
        <v>0</v>
      </c>
      <c r="Q25" s="169">
        <v>0</v>
      </c>
      <c r="R25" s="170">
        <v>0</v>
      </c>
      <c r="S25" s="170">
        <v>0</v>
      </c>
      <c r="T25" s="15">
        <v>0</v>
      </c>
      <c r="U25" s="15">
        <v>0.72411967697494029</v>
      </c>
      <c r="V25" s="15"/>
    </row>
    <row r="26" spans="1:22" x14ac:dyDescent="0.25">
      <c r="A26" s="166"/>
      <c r="B26" s="207" t="s">
        <v>78</v>
      </c>
      <c r="C26" s="208">
        <v>0.6600500877909421</v>
      </c>
      <c r="D26" s="209">
        <v>-2.314954618131515</v>
      </c>
      <c r="E26" s="530">
        <v>11.517064466126604</v>
      </c>
      <c r="F26" s="209">
        <v>-2.2835906656333949</v>
      </c>
      <c r="G26" s="209">
        <v>-2.5863077123441602</v>
      </c>
      <c r="H26" s="209">
        <v>0</v>
      </c>
      <c r="I26" s="209">
        <v>0</v>
      </c>
      <c r="J26" s="210">
        <v>2.8994554830396591</v>
      </c>
      <c r="K26" s="210">
        <v>0</v>
      </c>
      <c r="L26" s="209">
        <v>0</v>
      </c>
      <c r="M26" s="209">
        <v>0</v>
      </c>
      <c r="N26" s="209">
        <v>0</v>
      </c>
      <c r="O26" s="210">
        <v>0</v>
      </c>
      <c r="P26" s="210">
        <v>0</v>
      </c>
      <c r="Q26" s="209">
        <v>0</v>
      </c>
      <c r="R26" s="210">
        <v>0</v>
      </c>
      <c r="S26" s="210">
        <v>0</v>
      </c>
      <c r="T26" s="15">
        <v>0</v>
      </c>
      <c r="U26" s="15">
        <v>2.8994554830396591</v>
      </c>
      <c r="V26" s="15"/>
    </row>
    <row r="27" spans="1:22" x14ac:dyDescent="0.25">
      <c r="A27" s="166"/>
      <c r="B27" s="268" t="s">
        <v>79</v>
      </c>
      <c r="C27" s="524">
        <v>3.605251496820866E-2</v>
      </c>
      <c r="D27" s="525">
        <v>1.6896156052782559E-2</v>
      </c>
      <c r="E27" s="525">
        <v>8.4864080593501055E-3</v>
      </c>
      <c r="F27" s="525">
        <v>6.7840084910666898E-2</v>
      </c>
      <c r="G27" s="525">
        <v>9.5221755168568237E-3</v>
      </c>
      <c r="H27" s="525">
        <v>0</v>
      </c>
      <c r="I27" s="525">
        <v>0</v>
      </c>
      <c r="J27" s="536">
        <v>2.6689369126053169E-2</v>
      </c>
      <c r="K27" s="536">
        <v>0</v>
      </c>
      <c r="L27" s="525">
        <v>0</v>
      </c>
      <c r="M27" s="525">
        <v>0</v>
      </c>
      <c r="N27" s="525">
        <v>0</v>
      </c>
      <c r="O27" s="536">
        <v>0</v>
      </c>
      <c r="P27" s="165">
        <v>0</v>
      </c>
      <c r="Q27" s="525">
        <v>0</v>
      </c>
      <c r="R27" s="536">
        <v>0</v>
      </c>
      <c r="S27" s="536">
        <v>0</v>
      </c>
      <c r="T27" s="15">
        <v>0</v>
      </c>
      <c r="U27" s="15">
        <v>2.6689369126053169E-2</v>
      </c>
      <c r="V27" s="15"/>
    </row>
    <row r="28" spans="1:22" x14ac:dyDescent="0.25">
      <c r="A28" s="166"/>
      <c r="B28" s="167" t="s">
        <v>80</v>
      </c>
      <c r="C28" s="168">
        <v>2.7734822928214914E-2</v>
      </c>
      <c r="D28" s="169">
        <v>1.0215970446149475E-2</v>
      </c>
      <c r="E28" s="169">
        <v>3.2426806159758736E-3</v>
      </c>
      <c r="F28" s="169">
        <v>6.9689455661825481E-2</v>
      </c>
      <c r="G28" s="169">
        <v>4.7716682199440818E-3</v>
      </c>
      <c r="H28" s="169">
        <v>0</v>
      </c>
      <c r="I28" s="169">
        <v>0</v>
      </c>
      <c r="J28" s="170">
        <v>2.2144847413628894E-2</v>
      </c>
      <c r="K28" s="170">
        <v>0</v>
      </c>
      <c r="L28" s="169">
        <v>0</v>
      </c>
      <c r="M28" s="169">
        <v>0</v>
      </c>
      <c r="N28" s="169">
        <v>0</v>
      </c>
      <c r="O28" s="170">
        <v>0</v>
      </c>
      <c r="P28" s="170">
        <v>0</v>
      </c>
      <c r="Q28" s="169">
        <v>0</v>
      </c>
      <c r="R28" s="170">
        <v>0</v>
      </c>
      <c r="S28" s="170">
        <v>0</v>
      </c>
      <c r="T28" s="15">
        <v>0</v>
      </c>
      <c r="U28" s="15">
        <v>2.2144847413628894E-2</v>
      </c>
      <c r="V28" s="15"/>
    </row>
    <row r="29" spans="1:22" x14ac:dyDescent="0.25">
      <c r="A29" s="166"/>
      <c r="B29" s="207" t="s">
        <v>81</v>
      </c>
      <c r="C29" s="208">
        <v>-0.8317692039993746</v>
      </c>
      <c r="D29" s="209">
        <v>-0.66801856066330845</v>
      </c>
      <c r="E29" s="209">
        <v>-0.5243727443374232</v>
      </c>
      <c r="F29" s="209">
        <v>0.18493707511585827</v>
      </c>
      <c r="G29" s="209">
        <v>-0.47505072969127421</v>
      </c>
      <c r="H29" s="209">
        <v>0</v>
      </c>
      <c r="I29" s="209">
        <v>0</v>
      </c>
      <c r="J29" s="210">
        <v>-0.45445217124242754</v>
      </c>
      <c r="K29" s="210">
        <v>0</v>
      </c>
      <c r="L29" s="209">
        <v>0</v>
      </c>
      <c r="M29" s="209">
        <v>0</v>
      </c>
      <c r="N29" s="209">
        <v>0</v>
      </c>
      <c r="O29" s="210">
        <v>0</v>
      </c>
      <c r="P29" s="210">
        <v>0</v>
      </c>
      <c r="Q29" s="209">
        <v>0</v>
      </c>
      <c r="R29" s="210">
        <v>0</v>
      </c>
      <c r="S29" s="210">
        <v>0</v>
      </c>
      <c r="T29" s="15">
        <v>0</v>
      </c>
      <c r="U29" s="15">
        <v>-0.45445217124242754</v>
      </c>
      <c r="V29" s="15"/>
    </row>
    <row r="30" spans="1:22" x14ac:dyDescent="0.25">
      <c r="A30" s="166"/>
      <c r="B30" s="268" t="s">
        <v>82</v>
      </c>
      <c r="C30" s="524">
        <v>7.6319830171374392E-2</v>
      </c>
      <c r="D30" s="525">
        <v>0.14726047045324153</v>
      </c>
      <c r="E30" s="525">
        <v>0.33432797685856896</v>
      </c>
      <c r="F30" s="525">
        <v>0.34618786485052183</v>
      </c>
      <c r="G30" s="525">
        <v>0.7316976923736811</v>
      </c>
      <c r="H30" s="525">
        <v>0</v>
      </c>
      <c r="I30" s="525">
        <v>0</v>
      </c>
      <c r="J30" s="536">
        <v>0.25167018247241524</v>
      </c>
      <c r="K30" s="536">
        <v>0</v>
      </c>
      <c r="L30" s="525">
        <v>0</v>
      </c>
      <c r="M30" s="525">
        <v>0</v>
      </c>
      <c r="N30" s="525">
        <v>0</v>
      </c>
      <c r="O30" s="536">
        <v>0</v>
      </c>
      <c r="P30" s="165">
        <v>0</v>
      </c>
      <c r="Q30" s="525">
        <v>0</v>
      </c>
      <c r="R30" s="536">
        <v>0</v>
      </c>
      <c r="S30" s="536">
        <v>0</v>
      </c>
      <c r="T30" s="15">
        <v>0</v>
      </c>
      <c r="U30" s="15">
        <v>0.25167018247241524</v>
      </c>
      <c r="V30" s="15"/>
    </row>
    <row r="31" spans="1:22" x14ac:dyDescent="0.25">
      <c r="A31" s="166"/>
      <c r="B31" s="167" t="s">
        <v>83</v>
      </c>
      <c r="C31" s="168">
        <v>7.9383734042603807E-2</v>
      </c>
      <c r="D31" s="169">
        <v>0.17672634271099744</v>
      </c>
      <c r="E31" s="169">
        <v>0.23205850169473433</v>
      </c>
      <c r="F31" s="169">
        <v>0.36717440075569724</v>
      </c>
      <c r="G31" s="169">
        <v>0.76231127679403543</v>
      </c>
      <c r="H31" s="169">
        <v>0</v>
      </c>
      <c r="I31" s="169">
        <v>0</v>
      </c>
      <c r="J31" s="170">
        <v>0.22804452890702176</v>
      </c>
      <c r="K31" s="170">
        <v>0</v>
      </c>
      <c r="L31" s="169">
        <v>0</v>
      </c>
      <c r="M31" s="169">
        <v>0</v>
      </c>
      <c r="N31" s="169">
        <v>0</v>
      </c>
      <c r="O31" s="170">
        <v>0</v>
      </c>
      <c r="P31" s="170">
        <v>0</v>
      </c>
      <c r="Q31" s="169">
        <v>0</v>
      </c>
      <c r="R31" s="170">
        <v>0</v>
      </c>
      <c r="S31" s="170">
        <v>0</v>
      </c>
      <c r="T31" s="15">
        <v>0</v>
      </c>
      <c r="U31" s="15">
        <v>0.22804452890702176</v>
      </c>
      <c r="V31" s="15"/>
    </row>
    <row r="32" spans="1:22" x14ac:dyDescent="0.25">
      <c r="A32" s="166"/>
      <c r="B32" s="207" t="s">
        <v>84</v>
      </c>
      <c r="C32" s="208">
        <v>0.30639038712294148</v>
      </c>
      <c r="D32" s="209">
        <v>2.9465872257755903</v>
      </c>
      <c r="E32" s="530">
        <v>-10.226947516383463</v>
      </c>
      <c r="F32" s="209">
        <v>2.0986535905175407</v>
      </c>
      <c r="G32" s="209">
        <v>3.0613584420354334</v>
      </c>
      <c r="H32" s="209">
        <v>0</v>
      </c>
      <c r="I32" s="209">
        <v>0</v>
      </c>
      <c r="J32" s="210">
        <v>-2.3625653565393478</v>
      </c>
      <c r="K32" s="210">
        <v>0</v>
      </c>
      <c r="L32" s="209">
        <v>0</v>
      </c>
      <c r="M32" s="209">
        <v>0</v>
      </c>
      <c r="N32" s="209">
        <v>0</v>
      </c>
      <c r="O32" s="210">
        <v>0</v>
      </c>
      <c r="P32" s="210">
        <v>0</v>
      </c>
      <c r="Q32" s="209">
        <v>0</v>
      </c>
      <c r="R32" s="210">
        <v>0</v>
      </c>
      <c r="S32" s="210">
        <v>0</v>
      </c>
      <c r="T32" s="15">
        <v>0</v>
      </c>
      <c r="U32" s="15">
        <v>-2.3625653565393478</v>
      </c>
      <c r="V32" s="15"/>
    </row>
    <row r="33" spans="1:22" x14ac:dyDescent="0.25">
      <c r="A33" s="166"/>
      <c r="B33" s="268" t="s">
        <v>85</v>
      </c>
      <c r="C33" s="524">
        <v>1.7312626881975288E-3</v>
      </c>
      <c r="D33" s="525">
        <v>2.1084337349397591E-3</v>
      </c>
      <c r="E33" s="525">
        <v>4.9275917763968351E-4</v>
      </c>
      <c r="F33" s="525">
        <v>0</v>
      </c>
      <c r="G33" s="525">
        <v>0</v>
      </c>
      <c r="H33" s="525">
        <v>0</v>
      </c>
      <c r="I33" s="525">
        <v>0</v>
      </c>
      <c r="J33" s="536">
        <v>1.126036393831753E-3</v>
      </c>
      <c r="K33" s="536">
        <v>0</v>
      </c>
      <c r="L33" s="525">
        <v>0</v>
      </c>
      <c r="M33" s="525">
        <v>0</v>
      </c>
      <c r="N33" s="525">
        <v>0</v>
      </c>
      <c r="O33" s="536">
        <v>0</v>
      </c>
      <c r="P33" s="165">
        <v>0</v>
      </c>
      <c r="Q33" s="525">
        <v>0</v>
      </c>
      <c r="R33" s="536">
        <v>0</v>
      </c>
      <c r="S33" s="536">
        <v>0</v>
      </c>
      <c r="T33" s="15">
        <v>0</v>
      </c>
      <c r="U33" s="15">
        <v>1.126036393831753E-3</v>
      </c>
      <c r="V33" s="15"/>
    </row>
    <row r="34" spans="1:22" x14ac:dyDescent="0.25">
      <c r="A34" s="166"/>
      <c r="B34" s="167" t="s">
        <v>86</v>
      </c>
      <c r="C34" s="168">
        <v>1.6129876432775527E-3</v>
      </c>
      <c r="D34" s="169">
        <v>2.4722932651321397E-3</v>
      </c>
      <c r="E34" s="169">
        <v>0</v>
      </c>
      <c r="F34" s="169">
        <v>0</v>
      </c>
      <c r="G34" s="169">
        <v>0</v>
      </c>
      <c r="H34" s="169">
        <v>0</v>
      </c>
      <c r="I34" s="169">
        <v>0</v>
      </c>
      <c r="J34" s="170">
        <v>1.136257923903943E-3</v>
      </c>
      <c r="K34" s="170">
        <v>0</v>
      </c>
      <c r="L34" s="169">
        <v>0</v>
      </c>
      <c r="M34" s="169">
        <v>0</v>
      </c>
      <c r="N34" s="169">
        <v>0</v>
      </c>
      <c r="O34" s="170">
        <v>0</v>
      </c>
      <c r="P34" s="170">
        <v>0</v>
      </c>
      <c r="Q34" s="169">
        <v>0</v>
      </c>
      <c r="R34" s="170">
        <v>0</v>
      </c>
      <c r="S34" s="170">
        <v>0</v>
      </c>
      <c r="T34" s="15">
        <v>0</v>
      </c>
      <c r="U34" s="15">
        <v>1.136257923903943E-3</v>
      </c>
      <c r="V34" s="15"/>
    </row>
    <row r="35" spans="1:22" x14ac:dyDescent="0.25">
      <c r="A35" s="166"/>
      <c r="B35" s="207" t="s">
        <v>87</v>
      </c>
      <c r="C35" s="208">
        <v>-1.1827504491997608E-2</v>
      </c>
      <c r="D35" s="209">
        <v>3.6385953019238068E-2</v>
      </c>
      <c r="E35" s="209">
        <v>-4.9275917763968349E-2</v>
      </c>
      <c r="F35" s="209">
        <v>0</v>
      </c>
      <c r="G35" s="209">
        <v>0</v>
      </c>
      <c r="H35" s="209">
        <v>0</v>
      </c>
      <c r="I35" s="209">
        <v>0</v>
      </c>
      <c r="J35" s="210">
        <v>1.0221530072190062E-3</v>
      </c>
      <c r="K35" s="210">
        <v>0</v>
      </c>
      <c r="L35" s="209">
        <v>0</v>
      </c>
      <c r="M35" s="209">
        <v>0</v>
      </c>
      <c r="N35" s="209">
        <v>0</v>
      </c>
      <c r="O35" s="210">
        <v>0</v>
      </c>
      <c r="P35" s="210">
        <v>0</v>
      </c>
      <c r="Q35" s="209">
        <v>0</v>
      </c>
      <c r="R35" s="210">
        <v>0</v>
      </c>
      <c r="S35" s="210">
        <v>0</v>
      </c>
      <c r="T35" s="15">
        <v>0</v>
      </c>
      <c r="U35" s="15">
        <v>1.0221530072190062E-3</v>
      </c>
      <c r="V35" s="15"/>
    </row>
    <row r="36" spans="1:22" x14ac:dyDescent="0.25">
      <c r="A36" s="166"/>
      <c r="B36" s="268" t="s">
        <v>88</v>
      </c>
      <c r="C36" s="524">
        <v>4.6496769340162204E-2</v>
      </c>
      <c r="D36" s="525">
        <v>0</v>
      </c>
      <c r="E36" s="525">
        <v>2.8142024145199705E-2</v>
      </c>
      <c r="F36" s="525">
        <v>0</v>
      </c>
      <c r="G36" s="525">
        <v>0</v>
      </c>
      <c r="H36" s="525">
        <v>0</v>
      </c>
      <c r="I36" s="525">
        <v>0</v>
      </c>
      <c r="J36" s="536">
        <v>2.5389289863156174E-2</v>
      </c>
      <c r="K36" s="536">
        <v>0</v>
      </c>
      <c r="L36" s="525">
        <v>0</v>
      </c>
      <c r="M36" s="525">
        <v>0</v>
      </c>
      <c r="N36" s="525">
        <v>0</v>
      </c>
      <c r="O36" s="536">
        <v>0</v>
      </c>
      <c r="P36" s="165">
        <v>0</v>
      </c>
      <c r="Q36" s="525">
        <v>0</v>
      </c>
      <c r="R36" s="536">
        <v>0</v>
      </c>
      <c r="S36" s="536">
        <v>0</v>
      </c>
      <c r="T36" s="15">
        <v>0</v>
      </c>
      <c r="U36" s="15">
        <v>2.5389289863156174E-2</v>
      </c>
      <c r="V36" s="15"/>
    </row>
    <row r="37" spans="1:22" x14ac:dyDescent="0.25">
      <c r="A37" s="166"/>
      <c r="B37" s="167" t="s">
        <v>89</v>
      </c>
      <c r="C37" s="168">
        <v>4.5268331675936982E-2</v>
      </c>
      <c r="D37" s="169">
        <v>0</v>
      </c>
      <c r="E37" s="169">
        <v>2.0977341268782194E-2</v>
      </c>
      <c r="F37" s="169">
        <v>0</v>
      </c>
      <c r="G37" s="169">
        <v>0</v>
      </c>
      <c r="H37" s="169">
        <v>0</v>
      </c>
      <c r="I37" s="169">
        <v>0</v>
      </c>
      <c r="J37" s="170">
        <v>2.4554688780505093E-2</v>
      </c>
      <c r="K37" s="170">
        <v>0</v>
      </c>
      <c r="L37" s="169">
        <v>0</v>
      </c>
      <c r="M37" s="169">
        <v>0</v>
      </c>
      <c r="N37" s="169">
        <v>0</v>
      </c>
      <c r="O37" s="170">
        <v>0</v>
      </c>
      <c r="P37" s="170">
        <v>0</v>
      </c>
      <c r="Q37" s="169">
        <v>0</v>
      </c>
      <c r="R37" s="170">
        <v>0</v>
      </c>
      <c r="S37" s="170">
        <v>0</v>
      </c>
      <c r="T37" s="15">
        <v>0</v>
      </c>
      <c r="U37" s="15">
        <v>2.4554688780505093E-2</v>
      </c>
      <c r="V37" s="15"/>
    </row>
    <row r="38" spans="1:22" x14ac:dyDescent="0.25">
      <c r="A38" s="166"/>
      <c r="B38" s="207" t="s">
        <v>90</v>
      </c>
      <c r="C38" s="208">
        <v>-0.12284376642252223</v>
      </c>
      <c r="D38" s="209">
        <v>0</v>
      </c>
      <c r="E38" s="209">
        <v>-0.71646828764175097</v>
      </c>
      <c r="F38" s="209">
        <v>0</v>
      </c>
      <c r="G38" s="209">
        <v>0</v>
      </c>
      <c r="H38" s="209">
        <v>0</v>
      </c>
      <c r="I38" s="209">
        <v>0</v>
      </c>
      <c r="J38" s="210">
        <v>-8.3460108265108121E-2</v>
      </c>
      <c r="K38" s="210">
        <v>0</v>
      </c>
      <c r="L38" s="209">
        <v>0</v>
      </c>
      <c r="M38" s="209">
        <v>0</v>
      </c>
      <c r="N38" s="209">
        <v>0</v>
      </c>
      <c r="O38" s="210">
        <v>0</v>
      </c>
      <c r="P38" s="210">
        <v>0</v>
      </c>
      <c r="Q38" s="209">
        <v>0</v>
      </c>
      <c r="R38" s="210">
        <v>0</v>
      </c>
      <c r="S38" s="210">
        <v>0</v>
      </c>
      <c r="T38" s="15">
        <v>0</v>
      </c>
      <c r="U38" s="15">
        <v>-8.3460108265108121E-2</v>
      </c>
      <c r="V38" s="15"/>
    </row>
    <row r="39" spans="1:22" x14ac:dyDescent="0.25">
      <c r="A39" s="166"/>
      <c r="B39" s="268" t="s">
        <v>91</v>
      </c>
      <c r="C39" s="524">
        <v>0</v>
      </c>
      <c r="D39" s="525">
        <v>0</v>
      </c>
      <c r="E39" s="525">
        <v>0</v>
      </c>
      <c r="F39" s="525">
        <v>0</v>
      </c>
      <c r="G39" s="525">
        <v>0</v>
      </c>
      <c r="H39" s="525">
        <v>0</v>
      </c>
      <c r="I39" s="525">
        <v>0</v>
      </c>
      <c r="J39" s="536">
        <v>0</v>
      </c>
      <c r="K39" s="536">
        <v>0</v>
      </c>
      <c r="L39" s="525">
        <v>0</v>
      </c>
      <c r="M39" s="525">
        <v>0</v>
      </c>
      <c r="N39" s="525">
        <v>0</v>
      </c>
      <c r="O39" s="536">
        <v>0</v>
      </c>
      <c r="P39" s="165">
        <v>0</v>
      </c>
      <c r="Q39" s="525">
        <v>0</v>
      </c>
      <c r="R39" s="536">
        <v>0</v>
      </c>
      <c r="S39" s="536">
        <v>0</v>
      </c>
      <c r="T39" s="15">
        <v>0</v>
      </c>
      <c r="U39" s="15">
        <v>0</v>
      </c>
      <c r="V39" s="15"/>
    </row>
    <row r="40" spans="1:22" x14ac:dyDescent="0.25">
      <c r="A40" s="166"/>
      <c r="B40" s="167" t="s">
        <v>92</v>
      </c>
      <c r="C40" s="168">
        <v>0</v>
      </c>
      <c r="D40" s="169">
        <v>0</v>
      </c>
      <c r="E40" s="169">
        <v>0</v>
      </c>
      <c r="F40" s="169">
        <v>0</v>
      </c>
      <c r="G40" s="169">
        <v>0</v>
      </c>
      <c r="H40" s="169">
        <v>0</v>
      </c>
      <c r="I40" s="169">
        <v>0</v>
      </c>
      <c r="J40" s="170">
        <v>0</v>
      </c>
      <c r="K40" s="170">
        <v>0</v>
      </c>
      <c r="L40" s="169">
        <v>0</v>
      </c>
      <c r="M40" s="169">
        <v>0</v>
      </c>
      <c r="N40" s="169">
        <v>0</v>
      </c>
      <c r="O40" s="170">
        <v>0</v>
      </c>
      <c r="P40" s="170">
        <v>0</v>
      </c>
      <c r="Q40" s="169">
        <v>0</v>
      </c>
      <c r="R40" s="170">
        <v>0</v>
      </c>
      <c r="S40" s="170">
        <v>0</v>
      </c>
      <c r="T40" s="15">
        <v>0</v>
      </c>
      <c r="U40" s="15">
        <v>0</v>
      </c>
      <c r="V40" s="15"/>
    </row>
    <row r="41" spans="1:22" ht="15.75" thickBot="1" x14ac:dyDescent="0.3">
      <c r="A41" s="540"/>
      <c r="B41" s="541" t="s">
        <v>93</v>
      </c>
      <c r="C41" s="542">
        <v>0</v>
      </c>
      <c r="D41" s="543">
        <v>0</v>
      </c>
      <c r="E41" s="543">
        <v>0</v>
      </c>
      <c r="F41" s="543">
        <v>0</v>
      </c>
      <c r="G41" s="543">
        <v>0</v>
      </c>
      <c r="H41" s="543">
        <v>0</v>
      </c>
      <c r="I41" s="543">
        <v>0</v>
      </c>
      <c r="J41" s="544">
        <v>0</v>
      </c>
      <c r="K41" s="544">
        <v>0</v>
      </c>
      <c r="L41" s="543">
        <v>0</v>
      </c>
      <c r="M41" s="543">
        <v>0</v>
      </c>
      <c r="N41" s="543">
        <v>0</v>
      </c>
      <c r="O41" s="544">
        <v>0</v>
      </c>
      <c r="P41" s="544">
        <v>0</v>
      </c>
      <c r="Q41" s="543">
        <v>0</v>
      </c>
      <c r="R41" s="544">
        <v>0</v>
      </c>
      <c r="S41" s="544">
        <v>0</v>
      </c>
      <c r="T41" s="15">
        <v>0</v>
      </c>
      <c r="U41" s="15">
        <v>0</v>
      </c>
      <c r="V41" s="15"/>
    </row>
    <row r="42" spans="1:22" x14ac:dyDescent="0.25">
      <c r="A42" s="526" t="s">
        <v>40</v>
      </c>
      <c r="B42" s="167" t="s">
        <v>59</v>
      </c>
      <c r="C42" s="168">
        <v>0.93718874371782857</v>
      </c>
      <c r="D42" s="169">
        <v>0</v>
      </c>
      <c r="E42" s="169">
        <v>0.77018886007497811</v>
      </c>
      <c r="F42" s="169">
        <v>0.89573592823274795</v>
      </c>
      <c r="G42" s="169">
        <v>0.82146329268631424</v>
      </c>
      <c r="H42" s="169">
        <v>0.87279587553934024</v>
      </c>
      <c r="I42" s="169">
        <v>0</v>
      </c>
      <c r="J42" s="170">
        <v>0.83952918444039171</v>
      </c>
      <c r="K42" s="170">
        <v>0</v>
      </c>
      <c r="L42" s="169">
        <v>0.67070803040317251</v>
      </c>
      <c r="M42" s="169">
        <v>0.77386413705517976</v>
      </c>
      <c r="N42" s="169">
        <v>0.69008452964583289</v>
      </c>
      <c r="O42" s="170">
        <v>0.69577522520164758</v>
      </c>
      <c r="P42" s="170">
        <v>0</v>
      </c>
      <c r="Q42" s="169">
        <v>0</v>
      </c>
      <c r="R42" s="170">
        <v>0</v>
      </c>
      <c r="S42" s="170">
        <v>0</v>
      </c>
      <c r="T42" s="15">
        <v>0</v>
      </c>
      <c r="U42" s="15">
        <v>0.78251902797337936</v>
      </c>
      <c r="V42" s="15"/>
    </row>
    <row r="43" spans="1:22" x14ac:dyDescent="0.25">
      <c r="A43" s="166"/>
      <c r="B43" s="167" t="s">
        <v>60</v>
      </c>
      <c r="C43" s="168">
        <v>0.93001120017414696</v>
      </c>
      <c r="D43" s="169">
        <v>0</v>
      </c>
      <c r="E43" s="169">
        <v>0.75723366376855461</v>
      </c>
      <c r="F43" s="169">
        <v>0.87690139256920563</v>
      </c>
      <c r="G43" s="169">
        <v>0.81114384454138577</v>
      </c>
      <c r="H43" s="169">
        <v>0.86737412525483959</v>
      </c>
      <c r="I43" s="169">
        <v>1</v>
      </c>
      <c r="J43" s="170">
        <v>0.83199644677951434</v>
      </c>
      <c r="K43" s="170">
        <v>0</v>
      </c>
      <c r="L43" s="169">
        <v>0.59772017043794512</v>
      </c>
      <c r="M43" s="169">
        <v>0.73131269490464557</v>
      </c>
      <c r="N43" s="169">
        <v>0.68540320816035216</v>
      </c>
      <c r="O43" s="170">
        <v>0.66273567527865318</v>
      </c>
      <c r="P43" s="170">
        <v>0</v>
      </c>
      <c r="Q43" s="169">
        <v>0</v>
      </c>
      <c r="R43" s="170">
        <v>0</v>
      </c>
      <c r="S43" s="170">
        <v>0</v>
      </c>
      <c r="T43" s="15">
        <v>0</v>
      </c>
      <c r="U43" s="15">
        <v>0.76774827178408755</v>
      </c>
      <c r="V43" s="15"/>
    </row>
    <row r="44" spans="1:22" x14ac:dyDescent="0.25">
      <c r="A44" s="166"/>
      <c r="B44" s="207" t="s">
        <v>772</v>
      </c>
      <c r="C44" s="208">
        <v>-0.71775435436816082</v>
      </c>
      <c r="D44" s="209">
        <v>0</v>
      </c>
      <c r="E44" s="209">
        <v>-1.29551963064235</v>
      </c>
      <c r="F44" s="209">
        <v>-1.8834535663542318</v>
      </c>
      <c r="G44" s="209">
        <v>-1.0319448144928467</v>
      </c>
      <c r="H44" s="209">
        <v>-0.54217502845006482</v>
      </c>
      <c r="I44" s="209">
        <v>0</v>
      </c>
      <c r="J44" s="210">
        <v>-0.75327376608773644</v>
      </c>
      <c r="K44" s="210">
        <v>0</v>
      </c>
      <c r="L44" s="530">
        <v>-7.2987859965227386</v>
      </c>
      <c r="M44" s="209">
        <v>-4.2551442150534191</v>
      </c>
      <c r="N44" s="209">
        <v>-0.46813214854807272</v>
      </c>
      <c r="O44" s="210">
        <v>-3.3039549922994405</v>
      </c>
      <c r="P44" s="210">
        <v>0</v>
      </c>
      <c r="Q44" s="209">
        <v>0</v>
      </c>
      <c r="R44" s="210">
        <v>0</v>
      </c>
      <c r="S44" s="210">
        <v>0</v>
      </c>
      <c r="T44" s="15">
        <v>0</v>
      </c>
      <c r="U44" s="15">
        <v>-1.47707561892918</v>
      </c>
      <c r="V44" s="15"/>
    </row>
    <row r="45" spans="1:22" x14ac:dyDescent="0.25">
      <c r="A45" s="166"/>
      <c r="B45" s="268" t="s">
        <v>61</v>
      </c>
      <c r="C45" s="524">
        <v>1.9452626294702534E-2</v>
      </c>
      <c r="D45" s="525">
        <v>0</v>
      </c>
      <c r="E45" s="525">
        <v>6.3241276043353042E-2</v>
      </c>
      <c r="F45" s="525">
        <v>1.502860887618607E-2</v>
      </c>
      <c r="G45" s="525">
        <v>1.4332935196244548E-2</v>
      </c>
      <c r="H45" s="525">
        <v>1.161162516434066E-2</v>
      </c>
      <c r="I45" s="525">
        <v>0</v>
      </c>
      <c r="J45" s="536">
        <v>3.9114631078517065E-2</v>
      </c>
      <c r="K45" s="536">
        <v>0</v>
      </c>
      <c r="L45" s="525">
        <v>5.0788995373430269E-2</v>
      </c>
      <c r="M45" s="525">
        <v>4.7186584765311144E-2</v>
      </c>
      <c r="N45" s="525">
        <v>0.12007689010046826</v>
      </c>
      <c r="O45" s="536">
        <v>8.7452477089109748E-2</v>
      </c>
      <c r="P45" s="165">
        <v>0</v>
      </c>
      <c r="Q45" s="525">
        <v>0</v>
      </c>
      <c r="R45" s="536">
        <v>0</v>
      </c>
      <c r="S45" s="536">
        <v>0</v>
      </c>
      <c r="T45" s="15">
        <v>0</v>
      </c>
      <c r="U45" s="15">
        <v>5.8284525103943767E-2</v>
      </c>
      <c r="V45" s="15"/>
    </row>
    <row r="46" spans="1:22" x14ac:dyDescent="0.25">
      <c r="A46" s="166"/>
      <c r="B46" s="167" t="s">
        <v>62</v>
      </c>
      <c r="C46" s="168">
        <v>1.5002615714651864E-2</v>
      </c>
      <c r="D46" s="169">
        <v>0</v>
      </c>
      <c r="E46" s="169">
        <v>5.7141463181497751E-2</v>
      </c>
      <c r="F46" s="169">
        <v>1.7359192648136665E-2</v>
      </c>
      <c r="G46" s="169">
        <v>1.4319302022548297E-2</v>
      </c>
      <c r="H46" s="169">
        <v>9.2062570893455386E-3</v>
      </c>
      <c r="I46" s="169">
        <v>0</v>
      </c>
      <c r="J46" s="170">
        <v>3.438765787345828E-2</v>
      </c>
      <c r="K46" s="170">
        <v>0</v>
      </c>
      <c r="L46" s="169">
        <v>0.11495913182295209</v>
      </c>
      <c r="M46" s="169">
        <v>7.8183419465261972E-2</v>
      </c>
      <c r="N46" s="169">
        <v>0.11829632381771964</v>
      </c>
      <c r="O46" s="170">
        <v>0.1115721612903476</v>
      </c>
      <c r="P46" s="170">
        <v>0</v>
      </c>
      <c r="Q46" s="169">
        <v>0</v>
      </c>
      <c r="R46" s="170">
        <v>0</v>
      </c>
      <c r="S46" s="170">
        <v>0</v>
      </c>
      <c r="T46" s="15">
        <v>0</v>
      </c>
      <c r="U46" s="15">
        <v>6.3685429817255571E-2</v>
      </c>
      <c r="V46" s="15"/>
    </row>
    <row r="47" spans="1:22" x14ac:dyDescent="0.25">
      <c r="A47" s="166"/>
      <c r="B47" s="207" t="s">
        <v>63</v>
      </c>
      <c r="C47" s="208">
        <v>-0.44500105800506695</v>
      </c>
      <c r="D47" s="209">
        <v>0</v>
      </c>
      <c r="E47" s="209">
        <v>-0.60998128618552916</v>
      </c>
      <c r="F47" s="209">
        <v>0.23305837719505945</v>
      </c>
      <c r="G47" s="209">
        <v>-1.3633173696250833E-3</v>
      </c>
      <c r="H47" s="209">
        <v>-0.24053680749951209</v>
      </c>
      <c r="I47" s="209">
        <v>0</v>
      </c>
      <c r="J47" s="210">
        <v>-0.47269732050587848</v>
      </c>
      <c r="K47" s="210">
        <v>0</v>
      </c>
      <c r="L47" s="530">
        <v>6.4170136449521822</v>
      </c>
      <c r="M47" s="209">
        <v>3.0996834699950826</v>
      </c>
      <c r="N47" s="209">
        <v>-0.17805662827486274</v>
      </c>
      <c r="O47" s="210">
        <v>2.411968420123785</v>
      </c>
      <c r="P47" s="210">
        <v>0</v>
      </c>
      <c r="Q47" s="209">
        <v>0</v>
      </c>
      <c r="R47" s="210">
        <v>0</v>
      </c>
      <c r="S47" s="210">
        <v>0</v>
      </c>
      <c r="T47" s="15">
        <v>0</v>
      </c>
      <c r="U47" s="15">
        <v>0.54009047133118038</v>
      </c>
      <c r="V47" s="15"/>
    </row>
    <row r="48" spans="1:22" x14ac:dyDescent="0.25">
      <c r="A48" s="166"/>
      <c r="B48" s="268" t="s">
        <v>64</v>
      </c>
      <c r="C48" s="524">
        <v>2.7941045041481823E-2</v>
      </c>
      <c r="D48" s="525">
        <v>0</v>
      </c>
      <c r="E48" s="525">
        <v>0.16177688070542828</v>
      </c>
      <c r="F48" s="525">
        <v>8.8872000748952296E-2</v>
      </c>
      <c r="G48" s="525">
        <v>0.11770506374822921</v>
      </c>
      <c r="H48" s="525">
        <v>9.9648337709812698E-2</v>
      </c>
      <c r="I48" s="525">
        <v>0</v>
      </c>
      <c r="J48" s="536">
        <v>0.11127433974770193</v>
      </c>
      <c r="K48" s="536">
        <v>0</v>
      </c>
      <c r="L48" s="525">
        <v>0.27825512227362853</v>
      </c>
      <c r="M48" s="525">
        <v>0.17894927817950912</v>
      </c>
      <c r="N48" s="525">
        <v>0.1738601138786906</v>
      </c>
      <c r="O48" s="536">
        <v>0.20811957085069788</v>
      </c>
      <c r="P48" s="165">
        <v>0</v>
      </c>
      <c r="Q48" s="525">
        <v>0</v>
      </c>
      <c r="R48" s="536">
        <v>0</v>
      </c>
      <c r="S48" s="536">
        <v>0</v>
      </c>
      <c r="T48" s="15">
        <v>0</v>
      </c>
      <c r="U48" s="15">
        <v>0.14968136385683492</v>
      </c>
      <c r="V48" s="15"/>
    </row>
    <row r="49" spans="1:22" x14ac:dyDescent="0.25">
      <c r="A49" s="166"/>
      <c r="B49" s="167" t="s">
        <v>65</v>
      </c>
      <c r="C49" s="168">
        <v>3.420617449098895E-2</v>
      </c>
      <c r="D49" s="169">
        <v>0</v>
      </c>
      <c r="E49" s="169">
        <v>0.18122991202112448</v>
      </c>
      <c r="F49" s="169">
        <v>0.10546879404634379</v>
      </c>
      <c r="G49" s="169">
        <v>0.12133873434932865</v>
      </c>
      <c r="H49" s="169">
        <v>0.1217012168237471</v>
      </c>
      <c r="I49" s="169">
        <v>0</v>
      </c>
      <c r="J49" s="170">
        <v>0.12388297529069216</v>
      </c>
      <c r="K49" s="170">
        <v>0</v>
      </c>
      <c r="L49" s="169">
        <v>0.28670831784853651</v>
      </c>
      <c r="M49" s="169">
        <v>0.19050388563009243</v>
      </c>
      <c r="N49" s="169">
        <v>0.18168708174303291</v>
      </c>
      <c r="O49" s="170">
        <v>0.21777097664130202</v>
      </c>
      <c r="P49" s="170">
        <v>0</v>
      </c>
      <c r="Q49" s="169">
        <v>0</v>
      </c>
      <c r="R49" s="170">
        <v>0</v>
      </c>
      <c r="S49" s="170">
        <v>0</v>
      </c>
      <c r="T49" s="15">
        <v>0</v>
      </c>
      <c r="U49" s="15">
        <v>0.15952107788975864</v>
      </c>
      <c r="V49" s="15"/>
    </row>
    <row r="50" spans="1:22" x14ac:dyDescent="0.25">
      <c r="A50" s="166"/>
      <c r="B50" s="207" t="s">
        <v>66</v>
      </c>
      <c r="C50" s="208">
        <v>0.62651294495071275</v>
      </c>
      <c r="D50" s="209">
        <v>0</v>
      </c>
      <c r="E50" s="209">
        <v>1.9453031315696201</v>
      </c>
      <c r="F50" s="209">
        <v>1.6596793297391499</v>
      </c>
      <c r="G50" s="209">
        <v>0.36336706010994396</v>
      </c>
      <c r="H50" s="209">
        <v>2.20528791139344</v>
      </c>
      <c r="I50" s="209">
        <v>0</v>
      </c>
      <c r="J50" s="210">
        <v>1.260863554299023</v>
      </c>
      <c r="K50" s="210">
        <v>0</v>
      </c>
      <c r="L50" s="209">
        <v>0.8453195574907979</v>
      </c>
      <c r="M50" s="209">
        <v>1.1554607450583316</v>
      </c>
      <c r="N50" s="209">
        <v>0.78269678643423102</v>
      </c>
      <c r="O50" s="210">
        <v>0.96514057906041395</v>
      </c>
      <c r="P50" s="210">
        <v>0</v>
      </c>
      <c r="Q50" s="209">
        <v>0</v>
      </c>
      <c r="R50" s="210">
        <v>0</v>
      </c>
      <c r="S50" s="210">
        <v>0</v>
      </c>
      <c r="T50" s="15">
        <v>0</v>
      </c>
      <c r="U50" s="15">
        <v>0.98397140329237187</v>
      </c>
      <c r="V50" s="15"/>
    </row>
    <row r="51" spans="1:22" x14ac:dyDescent="0.25">
      <c r="A51" s="166"/>
      <c r="B51" s="268" t="s">
        <v>67</v>
      </c>
      <c r="C51" s="524">
        <v>1.5440403275951572E-3</v>
      </c>
      <c r="D51" s="525">
        <v>0</v>
      </c>
      <c r="E51" s="525">
        <v>4.162353712395107E-3</v>
      </c>
      <c r="F51" s="525">
        <v>3.6346214211369754E-4</v>
      </c>
      <c r="G51" s="525">
        <v>4.6415377350629151E-2</v>
      </c>
      <c r="H51" s="525">
        <v>1.5944161586506429E-2</v>
      </c>
      <c r="I51" s="525">
        <v>0</v>
      </c>
      <c r="J51" s="536">
        <v>6.2371966192291519E-3</v>
      </c>
      <c r="K51" s="536">
        <v>0</v>
      </c>
      <c r="L51" s="525">
        <v>2.4785194976867153E-4</v>
      </c>
      <c r="M51" s="525">
        <v>0</v>
      </c>
      <c r="N51" s="525">
        <v>1.5584122936223537E-2</v>
      </c>
      <c r="O51" s="536">
        <v>8.441145312289202E-3</v>
      </c>
      <c r="P51" s="165">
        <v>0</v>
      </c>
      <c r="Q51" s="525">
        <v>0</v>
      </c>
      <c r="R51" s="536">
        <v>0</v>
      </c>
      <c r="S51" s="536">
        <v>0</v>
      </c>
      <c r="T51" s="15">
        <v>0</v>
      </c>
      <c r="U51" s="15">
        <v>7.1112418316322933E-3</v>
      </c>
      <c r="V51" s="15"/>
    </row>
    <row r="52" spans="1:22" x14ac:dyDescent="0.25">
      <c r="A52" s="166"/>
      <c r="B52" s="167" t="s">
        <v>68</v>
      </c>
      <c r="C52" s="168">
        <v>1.5308075009567547E-3</v>
      </c>
      <c r="D52" s="169">
        <v>0</v>
      </c>
      <c r="E52" s="169">
        <v>3.8572902187722787E-3</v>
      </c>
      <c r="F52" s="169">
        <v>2.7062073631392005E-4</v>
      </c>
      <c r="G52" s="169">
        <v>5.3198119086737293E-2</v>
      </c>
      <c r="H52" s="169">
        <v>1.7184008320677714E-3</v>
      </c>
      <c r="I52" s="169">
        <v>0</v>
      </c>
      <c r="J52" s="170">
        <v>4.2735448309373135E-3</v>
      </c>
      <c r="K52" s="170">
        <v>0</v>
      </c>
      <c r="L52" s="169">
        <v>6.1237989056631115E-4</v>
      </c>
      <c r="M52" s="169">
        <v>0</v>
      </c>
      <c r="N52" s="169">
        <v>1.4271217752819219E-2</v>
      </c>
      <c r="O52" s="170">
        <v>7.7404723549572762E-3</v>
      </c>
      <c r="P52" s="170">
        <v>0</v>
      </c>
      <c r="Q52" s="169">
        <v>0</v>
      </c>
      <c r="R52" s="170">
        <v>0</v>
      </c>
      <c r="S52" s="170">
        <v>0</v>
      </c>
      <c r="T52" s="15">
        <v>0</v>
      </c>
      <c r="U52" s="15">
        <v>5.5895246902076742E-3</v>
      </c>
      <c r="V52" s="15"/>
    </row>
    <row r="53" spans="1:22" x14ac:dyDescent="0.25">
      <c r="A53" s="166"/>
      <c r="B53" s="207" t="s">
        <v>69</v>
      </c>
      <c r="C53" s="208">
        <v>-1.3232826638402435E-3</v>
      </c>
      <c r="D53" s="209">
        <v>0</v>
      </c>
      <c r="E53" s="209">
        <v>-3.0506349362282831E-2</v>
      </c>
      <c r="F53" s="209">
        <v>-9.2841405799777496E-3</v>
      </c>
      <c r="G53" s="209">
        <v>0.67827417361081421</v>
      </c>
      <c r="H53" s="209">
        <v>-1.4225760754438659</v>
      </c>
      <c r="I53" s="209">
        <v>0</v>
      </c>
      <c r="J53" s="210">
        <v>-0.19636517882918383</v>
      </c>
      <c r="K53" s="210">
        <v>0</v>
      </c>
      <c r="L53" s="209">
        <v>3.6452794079763963E-2</v>
      </c>
      <c r="M53" s="209">
        <v>0</v>
      </c>
      <c r="N53" s="209">
        <v>-0.13129051834043173</v>
      </c>
      <c r="O53" s="210">
        <v>-7.0067295733192578E-2</v>
      </c>
      <c r="P53" s="210">
        <v>0</v>
      </c>
      <c r="Q53" s="209">
        <v>0</v>
      </c>
      <c r="R53" s="210">
        <v>0</v>
      </c>
      <c r="S53" s="210">
        <v>0</v>
      </c>
      <c r="T53" s="15">
        <v>0</v>
      </c>
      <c r="U53" s="15">
        <v>-0.15217171414246192</v>
      </c>
      <c r="V53" s="15"/>
    </row>
    <row r="54" spans="1:22" x14ac:dyDescent="0.25">
      <c r="A54" s="166"/>
      <c r="B54" s="268" t="s">
        <v>70</v>
      </c>
      <c r="C54" s="524">
        <v>9.127331985784181E-5</v>
      </c>
      <c r="D54" s="525">
        <v>0</v>
      </c>
      <c r="E54" s="525">
        <v>1.1058431356530801E-4</v>
      </c>
      <c r="F54" s="525">
        <v>0</v>
      </c>
      <c r="G54" s="525">
        <v>0</v>
      </c>
      <c r="H54" s="525">
        <v>0</v>
      </c>
      <c r="I54" s="525">
        <v>0</v>
      </c>
      <c r="J54" s="536">
        <v>7.703831759942788E-5</v>
      </c>
      <c r="K54" s="536">
        <v>0</v>
      </c>
      <c r="L54" s="525">
        <v>0</v>
      </c>
      <c r="M54" s="525">
        <v>0</v>
      </c>
      <c r="N54" s="525">
        <v>3.2426847231077009E-4</v>
      </c>
      <c r="O54" s="536">
        <v>1.7398343176421412E-4</v>
      </c>
      <c r="P54" s="165">
        <v>0</v>
      </c>
      <c r="Q54" s="525">
        <v>0</v>
      </c>
      <c r="R54" s="536">
        <v>0</v>
      </c>
      <c r="S54" s="536">
        <v>0</v>
      </c>
      <c r="T54" s="15">
        <v>0</v>
      </c>
      <c r="U54" s="15">
        <v>1.1548495348002944E-4</v>
      </c>
      <c r="V54" s="15"/>
    </row>
    <row r="55" spans="1:22" x14ac:dyDescent="0.25">
      <c r="A55" s="166"/>
      <c r="B55" s="167" t="s">
        <v>71</v>
      </c>
      <c r="C55" s="168">
        <v>1.0006425178272364E-4</v>
      </c>
      <c r="D55" s="169">
        <v>0</v>
      </c>
      <c r="E55" s="169">
        <v>8.3637681563467067E-5</v>
      </c>
      <c r="F55" s="169">
        <v>0</v>
      </c>
      <c r="G55" s="169">
        <v>0</v>
      </c>
      <c r="H55" s="169">
        <v>0</v>
      </c>
      <c r="I55" s="169">
        <v>0</v>
      </c>
      <c r="J55" s="170">
        <v>6.6907597286493581E-5</v>
      </c>
      <c r="K55" s="170">
        <v>0</v>
      </c>
      <c r="L55" s="169">
        <v>0</v>
      </c>
      <c r="M55" s="169">
        <v>0</v>
      </c>
      <c r="N55" s="169">
        <v>3.0692369935575393E-4</v>
      </c>
      <c r="O55" s="170">
        <v>1.6210007236333373E-4</v>
      </c>
      <c r="P55" s="170">
        <v>0</v>
      </c>
      <c r="Q55" s="169">
        <v>0</v>
      </c>
      <c r="R55" s="170">
        <v>0</v>
      </c>
      <c r="S55" s="170">
        <v>0</v>
      </c>
      <c r="T55" s="15">
        <v>0</v>
      </c>
      <c r="U55" s="15">
        <v>1.0304085334313105E-4</v>
      </c>
      <c r="V55" s="15"/>
    </row>
    <row r="56" spans="1:22" x14ac:dyDescent="0.25">
      <c r="A56" s="166"/>
      <c r="B56" s="207" t="s">
        <v>72</v>
      </c>
      <c r="C56" s="208">
        <v>8.7909319248818301E-4</v>
      </c>
      <c r="D56" s="209">
        <v>0</v>
      </c>
      <c r="E56" s="209">
        <v>-2.694663200184094E-3</v>
      </c>
      <c r="F56" s="209">
        <v>0</v>
      </c>
      <c r="G56" s="209">
        <v>0</v>
      </c>
      <c r="H56" s="209">
        <v>0</v>
      </c>
      <c r="I56" s="209">
        <v>0</v>
      </c>
      <c r="J56" s="210">
        <v>-1.0130720312934299E-3</v>
      </c>
      <c r="K56" s="210">
        <v>0</v>
      </c>
      <c r="L56" s="209">
        <v>0</v>
      </c>
      <c r="M56" s="209">
        <v>0</v>
      </c>
      <c r="N56" s="209">
        <v>-1.7344772955016157E-3</v>
      </c>
      <c r="O56" s="210">
        <v>-1.1883359400880389E-3</v>
      </c>
      <c r="P56" s="210">
        <v>0</v>
      </c>
      <c r="Q56" s="209">
        <v>0</v>
      </c>
      <c r="R56" s="210">
        <v>0</v>
      </c>
      <c r="S56" s="210">
        <v>0</v>
      </c>
      <c r="T56" s="15">
        <v>0</v>
      </c>
      <c r="U56" s="15">
        <v>-1.2444100136898384E-3</v>
      </c>
      <c r="V56" s="15"/>
    </row>
    <row r="57" spans="1:22" x14ac:dyDescent="0.25">
      <c r="A57" s="166"/>
      <c r="B57" s="268" t="s">
        <v>73</v>
      </c>
      <c r="C57" s="524">
        <v>1.3782271298534113E-2</v>
      </c>
      <c r="D57" s="525">
        <v>0</v>
      </c>
      <c r="E57" s="525">
        <v>5.2004515028009708E-4</v>
      </c>
      <c r="F57" s="525">
        <v>0</v>
      </c>
      <c r="G57" s="525">
        <v>8.3331018582817148E-5</v>
      </c>
      <c r="H57" s="525">
        <v>0</v>
      </c>
      <c r="I57" s="525">
        <v>0</v>
      </c>
      <c r="J57" s="536">
        <v>3.7676097965606992E-3</v>
      </c>
      <c r="K57" s="536">
        <v>0</v>
      </c>
      <c r="L57" s="525">
        <v>0</v>
      </c>
      <c r="M57" s="525">
        <v>0</v>
      </c>
      <c r="N57" s="525">
        <v>7.0074966473937603E-5</v>
      </c>
      <c r="O57" s="536">
        <v>3.7598114491419154E-5</v>
      </c>
      <c r="P57" s="165">
        <v>0</v>
      </c>
      <c r="Q57" s="525">
        <v>0</v>
      </c>
      <c r="R57" s="536">
        <v>0</v>
      </c>
      <c r="S57" s="536">
        <v>0</v>
      </c>
      <c r="T57" s="15">
        <v>0</v>
      </c>
      <c r="U57" s="15">
        <v>2.2883562807295959E-3</v>
      </c>
      <c r="V57" s="15"/>
    </row>
    <row r="58" spans="1:22" x14ac:dyDescent="0.25">
      <c r="A58" s="166"/>
      <c r="B58" s="167" t="s">
        <v>74</v>
      </c>
      <c r="C58" s="168">
        <v>1.9149137867472799E-2</v>
      </c>
      <c r="D58" s="169">
        <v>0</v>
      </c>
      <c r="E58" s="169">
        <v>4.5403312848739261E-4</v>
      </c>
      <c r="F58" s="169">
        <v>0</v>
      </c>
      <c r="G58" s="169">
        <v>0</v>
      </c>
      <c r="H58" s="169">
        <v>0</v>
      </c>
      <c r="I58" s="169">
        <v>0</v>
      </c>
      <c r="J58" s="170">
        <v>5.3924676281114402E-3</v>
      </c>
      <c r="K58" s="170">
        <v>0</v>
      </c>
      <c r="L58" s="169">
        <v>0</v>
      </c>
      <c r="M58" s="169">
        <v>0</v>
      </c>
      <c r="N58" s="169">
        <v>3.5244826720277966E-5</v>
      </c>
      <c r="O58" s="170">
        <v>1.8614362376650763E-5</v>
      </c>
      <c r="P58" s="170">
        <v>0</v>
      </c>
      <c r="Q58" s="169">
        <v>0</v>
      </c>
      <c r="R58" s="170">
        <v>0</v>
      </c>
      <c r="S58" s="170">
        <v>0</v>
      </c>
      <c r="T58" s="15">
        <v>0</v>
      </c>
      <c r="U58" s="15">
        <v>3.3526549653473611E-3</v>
      </c>
      <c r="V58" s="15"/>
    </row>
    <row r="59" spans="1:22" ht="15.75" thickBot="1" x14ac:dyDescent="0.3">
      <c r="A59" s="166"/>
      <c r="B59" s="531" t="s">
        <v>75</v>
      </c>
      <c r="C59" s="532">
        <v>0.53668665689386863</v>
      </c>
      <c r="D59" s="533">
        <v>0</v>
      </c>
      <c r="E59" s="533">
        <v>-6.601202179270447E-3</v>
      </c>
      <c r="F59" s="533">
        <v>0</v>
      </c>
      <c r="G59" s="533">
        <v>-8.3331018582817155E-3</v>
      </c>
      <c r="H59" s="533">
        <v>0</v>
      </c>
      <c r="I59" s="533">
        <v>0</v>
      </c>
      <c r="J59" s="537">
        <v>0.16248578315507409</v>
      </c>
      <c r="K59" s="537">
        <v>0</v>
      </c>
      <c r="L59" s="533">
        <v>0</v>
      </c>
      <c r="M59" s="533">
        <v>0</v>
      </c>
      <c r="N59" s="533">
        <v>-3.4830139753659639E-3</v>
      </c>
      <c r="O59" s="537">
        <v>-1.8983752114768392E-3</v>
      </c>
      <c r="P59" s="537">
        <v>0</v>
      </c>
      <c r="Q59" s="533">
        <v>0</v>
      </c>
      <c r="R59" s="537">
        <v>0</v>
      </c>
      <c r="S59" s="537">
        <v>0</v>
      </c>
      <c r="T59" s="15">
        <v>0</v>
      </c>
      <c r="U59" s="15">
        <v>0.10642986846177652</v>
      </c>
      <c r="V59" s="15"/>
    </row>
    <row r="60" spans="1:22" ht="15.75" thickTop="1" x14ac:dyDescent="0.25">
      <c r="A60" s="166"/>
      <c r="B60" s="167" t="s">
        <v>76</v>
      </c>
      <c r="C60" s="168">
        <v>0.74132904914294595</v>
      </c>
      <c r="D60" s="169">
        <v>0</v>
      </c>
      <c r="E60" s="169">
        <v>0.44162297977124965</v>
      </c>
      <c r="F60" s="169">
        <v>0.57554095826893359</v>
      </c>
      <c r="G60" s="169">
        <v>0.49013949013949015</v>
      </c>
      <c r="H60" s="169">
        <v>0.86472148541114058</v>
      </c>
      <c r="I60" s="169">
        <v>0</v>
      </c>
      <c r="J60" s="170">
        <v>0.5361658676476978</v>
      </c>
      <c r="K60" s="170">
        <v>0</v>
      </c>
      <c r="L60" s="169">
        <v>0</v>
      </c>
      <c r="M60" s="169">
        <v>0</v>
      </c>
      <c r="N60" s="169">
        <v>0</v>
      </c>
      <c r="O60" s="170">
        <v>0</v>
      </c>
      <c r="P60" s="170">
        <v>0</v>
      </c>
      <c r="Q60" s="169">
        <v>0</v>
      </c>
      <c r="R60" s="170">
        <v>0</v>
      </c>
      <c r="S60" s="170">
        <v>0</v>
      </c>
      <c r="T60" s="15">
        <v>0</v>
      </c>
      <c r="U60" s="15">
        <v>0.5361658676476978</v>
      </c>
      <c r="V60" s="15"/>
    </row>
    <row r="61" spans="1:22" x14ac:dyDescent="0.25">
      <c r="A61" s="166"/>
      <c r="B61" s="167" t="s">
        <v>77</v>
      </c>
      <c r="C61" s="168">
        <v>0.75502855884676656</v>
      </c>
      <c r="D61" s="169">
        <v>0</v>
      </c>
      <c r="E61" s="169">
        <v>0.45533390649688632</v>
      </c>
      <c r="F61" s="169">
        <v>0.51431244153414402</v>
      </c>
      <c r="G61" s="169">
        <v>0.44397759103641454</v>
      </c>
      <c r="H61" s="169">
        <v>0.77022058823529416</v>
      </c>
      <c r="I61" s="169">
        <v>1</v>
      </c>
      <c r="J61" s="170">
        <v>0.62101971160863745</v>
      </c>
      <c r="K61" s="170">
        <v>0</v>
      </c>
      <c r="L61" s="169">
        <v>0</v>
      </c>
      <c r="M61" s="169">
        <v>0</v>
      </c>
      <c r="N61" s="169">
        <v>0</v>
      </c>
      <c r="O61" s="170">
        <v>0</v>
      </c>
      <c r="P61" s="170">
        <v>0</v>
      </c>
      <c r="Q61" s="169">
        <v>0</v>
      </c>
      <c r="R61" s="170">
        <v>0</v>
      </c>
      <c r="S61" s="170">
        <v>0</v>
      </c>
      <c r="T61" s="15">
        <v>0</v>
      </c>
      <c r="U61" s="15">
        <v>0.62101971160863745</v>
      </c>
      <c r="V61" s="15"/>
    </row>
    <row r="62" spans="1:22" x14ac:dyDescent="0.25">
      <c r="A62" s="166"/>
      <c r="B62" s="207" t="s">
        <v>78</v>
      </c>
      <c r="C62" s="208">
        <v>1.3699509703820612</v>
      </c>
      <c r="D62" s="209">
        <v>0</v>
      </c>
      <c r="E62" s="209">
        <v>1.3710926725636674</v>
      </c>
      <c r="F62" s="530">
        <v>-6.1228516734789569</v>
      </c>
      <c r="G62" s="530">
        <v>-4.6161899103075612</v>
      </c>
      <c r="H62" s="530">
        <v>-9.4500897175846426</v>
      </c>
      <c r="I62" s="209">
        <v>0</v>
      </c>
      <c r="J62" s="210">
        <v>8.4853843960939646</v>
      </c>
      <c r="K62" s="210">
        <v>0</v>
      </c>
      <c r="L62" s="209">
        <v>0</v>
      </c>
      <c r="M62" s="209">
        <v>0</v>
      </c>
      <c r="N62" s="209">
        <v>0</v>
      </c>
      <c r="O62" s="210">
        <v>0</v>
      </c>
      <c r="P62" s="210">
        <v>0</v>
      </c>
      <c r="Q62" s="209">
        <v>0</v>
      </c>
      <c r="R62" s="210">
        <v>0</v>
      </c>
      <c r="S62" s="210">
        <v>0</v>
      </c>
      <c r="T62" s="15">
        <v>0</v>
      </c>
      <c r="U62" s="15">
        <v>8.4853843960939646</v>
      </c>
      <c r="V62" s="15"/>
    </row>
    <row r="63" spans="1:22" x14ac:dyDescent="0.25">
      <c r="A63" s="166"/>
      <c r="B63" s="268" t="s">
        <v>79</v>
      </c>
      <c r="C63" s="524">
        <v>4.3234909241672392E-2</v>
      </c>
      <c r="D63" s="525">
        <v>0</v>
      </c>
      <c r="E63" s="525">
        <v>8.7461071772787294E-2</v>
      </c>
      <c r="F63" s="525">
        <v>8.1530139103554874E-2</v>
      </c>
      <c r="G63" s="525">
        <v>1.9240019240019241E-2</v>
      </c>
      <c r="H63" s="525">
        <v>0</v>
      </c>
      <c r="I63" s="525">
        <v>0</v>
      </c>
      <c r="J63" s="536">
        <v>7.3656996364584393E-2</v>
      </c>
      <c r="K63" s="536">
        <v>0</v>
      </c>
      <c r="L63" s="525">
        <v>0</v>
      </c>
      <c r="M63" s="525">
        <v>0</v>
      </c>
      <c r="N63" s="525">
        <v>0</v>
      </c>
      <c r="O63" s="536">
        <v>0</v>
      </c>
      <c r="P63" s="165">
        <v>0</v>
      </c>
      <c r="Q63" s="525">
        <v>0</v>
      </c>
      <c r="R63" s="536">
        <v>0</v>
      </c>
      <c r="S63" s="536">
        <v>0</v>
      </c>
      <c r="T63" s="15">
        <v>0</v>
      </c>
      <c r="U63" s="15">
        <v>7.3656996364584393E-2</v>
      </c>
      <c r="V63" s="15"/>
    </row>
    <row r="64" spans="1:22" x14ac:dyDescent="0.25">
      <c r="A64" s="166"/>
      <c r="B64" s="167" t="s">
        <v>80</v>
      </c>
      <c r="C64" s="168">
        <v>4.9294771334948001E-2</v>
      </c>
      <c r="D64" s="169">
        <v>0</v>
      </c>
      <c r="E64" s="169">
        <v>7.6029370759364251E-2</v>
      </c>
      <c r="F64" s="169">
        <v>6.6604303086997191E-2</v>
      </c>
      <c r="G64" s="169">
        <v>0</v>
      </c>
      <c r="H64" s="169">
        <v>0</v>
      </c>
      <c r="I64" s="169">
        <v>0</v>
      </c>
      <c r="J64" s="170">
        <v>5.5783821387421467E-2</v>
      </c>
      <c r="K64" s="170">
        <v>0</v>
      </c>
      <c r="L64" s="169">
        <v>0</v>
      </c>
      <c r="M64" s="169">
        <v>0</v>
      </c>
      <c r="N64" s="169">
        <v>0</v>
      </c>
      <c r="O64" s="170">
        <v>0</v>
      </c>
      <c r="P64" s="170">
        <v>0</v>
      </c>
      <c r="Q64" s="169">
        <v>0</v>
      </c>
      <c r="R64" s="170">
        <v>0</v>
      </c>
      <c r="S64" s="170">
        <v>0</v>
      </c>
      <c r="T64" s="15">
        <v>0</v>
      </c>
      <c r="U64" s="15">
        <v>5.5783821387421467E-2</v>
      </c>
      <c r="V64" s="15"/>
    </row>
    <row r="65" spans="1:23" x14ac:dyDescent="0.25">
      <c r="A65" s="166"/>
      <c r="B65" s="207" t="s">
        <v>81</v>
      </c>
      <c r="C65" s="208">
        <v>0.60598620932756087</v>
      </c>
      <c r="D65" s="209">
        <v>0</v>
      </c>
      <c r="E65" s="209">
        <v>-1.1431701013423043</v>
      </c>
      <c r="F65" s="209">
        <v>-1.4925836016557683</v>
      </c>
      <c r="G65" s="209">
        <v>-1.9240019240019242</v>
      </c>
      <c r="H65" s="209">
        <v>0</v>
      </c>
      <c r="I65" s="209">
        <v>0</v>
      </c>
      <c r="J65" s="210">
        <v>-1.7873174977162924</v>
      </c>
      <c r="K65" s="210">
        <v>0</v>
      </c>
      <c r="L65" s="209">
        <v>0</v>
      </c>
      <c r="M65" s="209">
        <v>0</v>
      </c>
      <c r="N65" s="209">
        <v>0</v>
      </c>
      <c r="O65" s="210">
        <v>0</v>
      </c>
      <c r="P65" s="210">
        <v>0</v>
      </c>
      <c r="Q65" s="209">
        <v>0</v>
      </c>
      <c r="R65" s="210">
        <v>0</v>
      </c>
      <c r="S65" s="210">
        <v>0</v>
      </c>
      <c r="T65" s="15">
        <v>0</v>
      </c>
      <c r="U65" s="15">
        <v>-1.7873174977162924</v>
      </c>
      <c r="V65" s="15"/>
    </row>
    <row r="66" spans="1:23" x14ac:dyDescent="0.25">
      <c r="A66" s="166"/>
      <c r="B66" s="268" t="s">
        <v>82</v>
      </c>
      <c r="C66" s="524">
        <v>0.20027726312789085</v>
      </c>
      <c r="D66" s="525">
        <v>0</v>
      </c>
      <c r="E66" s="525">
        <v>0.45508838587831552</v>
      </c>
      <c r="F66" s="525">
        <v>0.34292890262751158</v>
      </c>
      <c r="G66" s="525">
        <v>0.49062049062049062</v>
      </c>
      <c r="H66" s="525">
        <v>6.0477453580901855E-2</v>
      </c>
      <c r="I66" s="525">
        <v>0</v>
      </c>
      <c r="J66" s="536">
        <v>0.37514302680937966</v>
      </c>
      <c r="K66" s="536">
        <v>0</v>
      </c>
      <c r="L66" s="525">
        <v>0</v>
      </c>
      <c r="M66" s="525">
        <v>0</v>
      </c>
      <c r="N66" s="525">
        <v>0</v>
      </c>
      <c r="O66" s="536">
        <v>0</v>
      </c>
      <c r="P66" s="165">
        <v>0</v>
      </c>
      <c r="Q66" s="525">
        <v>0</v>
      </c>
      <c r="R66" s="536">
        <v>0</v>
      </c>
      <c r="S66" s="536">
        <v>0</v>
      </c>
      <c r="T66" s="15">
        <v>0</v>
      </c>
      <c r="U66" s="15">
        <v>0.37514302680937966</v>
      </c>
      <c r="V66" s="15"/>
    </row>
    <row r="67" spans="1:23" x14ac:dyDescent="0.25">
      <c r="A67" s="166"/>
      <c r="B67" s="167" t="s">
        <v>83</v>
      </c>
      <c r="C67" s="168">
        <v>0.1863901876724216</v>
      </c>
      <c r="D67" s="169">
        <v>0</v>
      </c>
      <c r="E67" s="169">
        <v>0.45565340645041363</v>
      </c>
      <c r="F67" s="169">
        <v>0.41908325537885877</v>
      </c>
      <c r="G67" s="169">
        <v>0.55602240896358546</v>
      </c>
      <c r="H67" s="169">
        <v>0.22977941176470587</v>
      </c>
      <c r="I67" s="169">
        <v>0</v>
      </c>
      <c r="J67" s="170">
        <v>0.31402856583838779</v>
      </c>
      <c r="K67" s="170">
        <v>0</v>
      </c>
      <c r="L67" s="169">
        <v>0</v>
      </c>
      <c r="M67" s="169">
        <v>0</v>
      </c>
      <c r="N67" s="169">
        <v>0</v>
      </c>
      <c r="O67" s="170">
        <v>0</v>
      </c>
      <c r="P67" s="170">
        <v>0</v>
      </c>
      <c r="Q67" s="169">
        <v>0</v>
      </c>
      <c r="R67" s="170">
        <v>0</v>
      </c>
      <c r="S67" s="170">
        <v>0</v>
      </c>
      <c r="T67" s="15">
        <v>0</v>
      </c>
      <c r="U67" s="15">
        <v>0.31402856583838779</v>
      </c>
      <c r="V67" s="15"/>
    </row>
    <row r="68" spans="1:23" x14ac:dyDescent="0.25">
      <c r="A68" s="166"/>
      <c r="B68" s="207" t="s">
        <v>84</v>
      </c>
      <c r="C68" s="208">
        <v>-1.3887075455469244</v>
      </c>
      <c r="D68" s="209">
        <v>0</v>
      </c>
      <c r="E68" s="209">
        <v>5.6502057209811829E-2</v>
      </c>
      <c r="F68" s="530">
        <v>7.6154352751347183</v>
      </c>
      <c r="G68" s="530">
        <v>6.5401918343094838</v>
      </c>
      <c r="H68" s="530">
        <v>16.930195818380401</v>
      </c>
      <c r="I68" s="209">
        <v>0</v>
      </c>
      <c r="J68" s="210">
        <v>-6.1114460970991882</v>
      </c>
      <c r="K68" s="210">
        <v>0</v>
      </c>
      <c r="L68" s="209">
        <v>0</v>
      </c>
      <c r="M68" s="209">
        <v>0</v>
      </c>
      <c r="N68" s="209">
        <v>0</v>
      </c>
      <c r="O68" s="210">
        <v>0</v>
      </c>
      <c r="P68" s="210">
        <v>0</v>
      </c>
      <c r="Q68" s="209">
        <v>0</v>
      </c>
      <c r="R68" s="210">
        <v>0</v>
      </c>
      <c r="S68" s="210">
        <v>0</v>
      </c>
      <c r="T68" s="15">
        <v>0</v>
      </c>
      <c r="U68" s="15">
        <v>-6.1114460970991882</v>
      </c>
      <c r="V68" s="15"/>
    </row>
    <row r="69" spans="1:23" x14ac:dyDescent="0.25">
      <c r="A69" s="166"/>
      <c r="B69" s="268" t="s">
        <v>85</v>
      </c>
      <c r="C69" s="524">
        <v>0</v>
      </c>
      <c r="D69" s="525">
        <v>0</v>
      </c>
      <c r="E69" s="525">
        <v>1.5242594583753488E-2</v>
      </c>
      <c r="F69" s="525">
        <v>0</v>
      </c>
      <c r="G69" s="525">
        <v>0</v>
      </c>
      <c r="H69" s="525">
        <v>7.4801061007957553E-2</v>
      </c>
      <c r="I69" s="525">
        <v>0</v>
      </c>
      <c r="J69" s="536">
        <v>1.0417421027475631E-2</v>
      </c>
      <c r="K69" s="536">
        <v>0</v>
      </c>
      <c r="L69" s="525">
        <v>0</v>
      </c>
      <c r="M69" s="525">
        <v>0</v>
      </c>
      <c r="N69" s="525">
        <v>0</v>
      </c>
      <c r="O69" s="536">
        <v>0</v>
      </c>
      <c r="P69" s="165">
        <v>0</v>
      </c>
      <c r="Q69" s="525">
        <v>0</v>
      </c>
      <c r="R69" s="536">
        <v>0</v>
      </c>
      <c r="S69" s="536">
        <v>0</v>
      </c>
      <c r="T69" s="15">
        <v>0</v>
      </c>
      <c r="U69" s="15">
        <v>1.0417421027475631E-2</v>
      </c>
      <c r="V69" s="15"/>
    </row>
    <row r="70" spans="1:23" x14ac:dyDescent="0.25">
      <c r="A70" s="166"/>
      <c r="B70" s="167" t="s">
        <v>86</v>
      </c>
      <c r="C70" s="168">
        <v>0</v>
      </c>
      <c r="D70" s="169">
        <v>0</v>
      </c>
      <c r="E70" s="169">
        <v>1.2373361836601914E-2</v>
      </c>
      <c r="F70" s="169">
        <v>0</v>
      </c>
      <c r="G70" s="169">
        <v>0</v>
      </c>
      <c r="H70" s="169">
        <v>0</v>
      </c>
      <c r="I70" s="169">
        <v>0</v>
      </c>
      <c r="J70" s="170">
        <v>6.6150506377467833E-3</v>
      </c>
      <c r="K70" s="170">
        <v>0</v>
      </c>
      <c r="L70" s="169">
        <v>0</v>
      </c>
      <c r="M70" s="169">
        <v>0</v>
      </c>
      <c r="N70" s="169">
        <v>0</v>
      </c>
      <c r="O70" s="170">
        <v>0</v>
      </c>
      <c r="P70" s="170">
        <v>0</v>
      </c>
      <c r="Q70" s="169">
        <v>0</v>
      </c>
      <c r="R70" s="170">
        <v>0</v>
      </c>
      <c r="S70" s="170">
        <v>0</v>
      </c>
      <c r="T70" s="15">
        <v>0</v>
      </c>
      <c r="U70" s="15">
        <v>6.6150506377467833E-3</v>
      </c>
      <c r="V70" s="15"/>
    </row>
    <row r="71" spans="1:23" x14ac:dyDescent="0.25">
      <c r="A71" s="166"/>
      <c r="B71" s="207" t="s">
        <v>87</v>
      </c>
      <c r="C71" s="208">
        <v>0</v>
      </c>
      <c r="D71" s="209">
        <v>0</v>
      </c>
      <c r="E71" s="209">
        <v>-0.28692327471515744</v>
      </c>
      <c r="F71" s="209">
        <v>0</v>
      </c>
      <c r="G71" s="209">
        <v>0</v>
      </c>
      <c r="H71" s="530">
        <v>-7.480106100795755</v>
      </c>
      <c r="I71" s="209">
        <v>0</v>
      </c>
      <c r="J71" s="210">
        <v>-0.38023703897288474</v>
      </c>
      <c r="K71" s="210">
        <v>0</v>
      </c>
      <c r="L71" s="209">
        <v>0</v>
      </c>
      <c r="M71" s="209">
        <v>0</v>
      </c>
      <c r="N71" s="209">
        <v>0</v>
      </c>
      <c r="O71" s="210">
        <v>0</v>
      </c>
      <c r="P71" s="210">
        <v>0</v>
      </c>
      <c r="Q71" s="209">
        <v>0</v>
      </c>
      <c r="R71" s="210">
        <v>0</v>
      </c>
      <c r="S71" s="210">
        <v>0</v>
      </c>
      <c r="T71" s="15">
        <v>0</v>
      </c>
      <c r="U71" s="15">
        <v>-0.38023703897288474</v>
      </c>
      <c r="V71" s="15"/>
    </row>
    <row r="72" spans="1:23" x14ac:dyDescent="0.25">
      <c r="A72" s="166"/>
      <c r="B72" s="268" t="s">
        <v>88</v>
      </c>
      <c r="C72" s="524">
        <v>1.5158778487490769E-2</v>
      </c>
      <c r="D72" s="525">
        <v>0</v>
      </c>
      <c r="E72" s="525">
        <v>5.8496799389404837E-4</v>
      </c>
      <c r="F72" s="525">
        <v>0</v>
      </c>
      <c r="G72" s="525">
        <v>0</v>
      </c>
      <c r="H72" s="525">
        <v>0</v>
      </c>
      <c r="I72" s="525">
        <v>0</v>
      </c>
      <c r="J72" s="536">
        <v>4.6166881508625064E-3</v>
      </c>
      <c r="K72" s="536">
        <v>0</v>
      </c>
      <c r="L72" s="525">
        <v>0</v>
      </c>
      <c r="M72" s="525">
        <v>0</v>
      </c>
      <c r="N72" s="525">
        <v>0</v>
      </c>
      <c r="O72" s="536">
        <v>0</v>
      </c>
      <c r="P72" s="165">
        <v>0</v>
      </c>
      <c r="Q72" s="525">
        <v>0</v>
      </c>
      <c r="R72" s="536">
        <v>0</v>
      </c>
      <c r="S72" s="536">
        <v>0</v>
      </c>
      <c r="T72" s="15">
        <v>0</v>
      </c>
      <c r="U72" s="15">
        <v>4.6166881508625064E-3</v>
      </c>
      <c r="V72" s="15"/>
    </row>
    <row r="73" spans="1:23" x14ac:dyDescent="0.25">
      <c r="A73" s="166"/>
      <c r="B73" s="167" t="s">
        <v>89</v>
      </c>
      <c r="C73" s="168">
        <v>9.2087709981996911E-3</v>
      </c>
      <c r="D73" s="169">
        <v>0</v>
      </c>
      <c r="E73" s="169">
        <v>6.0995445673389724E-4</v>
      </c>
      <c r="F73" s="169">
        <v>0</v>
      </c>
      <c r="G73" s="169">
        <v>0</v>
      </c>
      <c r="H73" s="169">
        <v>0</v>
      </c>
      <c r="I73" s="169">
        <v>0</v>
      </c>
      <c r="J73" s="170">
        <v>2.5342165823480636E-3</v>
      </c>
      <c r="K73" s="170">
        <v>0</v>
      </c>
      <c r="L73" s="169">
        <v>0</v>
      </c>
      <c r="M73" s="169">
        <v>0</v>
      </c>
      <c r="N73" s="169">
        <v>0</v>
      </c>
      <c r="O73" s="170">
        <v>0</v>
      </c>
      <c r="P73" s="170">
        <v>0</v>
      </c>
      <c r="Q73" s="169">
        <v>0</v>
      </c>
      <c r="R73" s="170">
        <v>0</v>
      </c>
      <c r="S73" s="170">
        <v>0</v>
      </c>
      <c r="T73" s="15">
        <v>0</v>
      </c>
      <c r="U73" s="15">
        <v>2.5342165823480636E-3</v>
      </c>
      <c r="V73" s="15"/>
    </row>
    <row r="74" spans="1:23" x14ac:dyDescent="0.25">
      <c r="A74" s="166"/>
      <c r="B74" s="207" t="s">
        <v>90</v>
      </c>
      <c r="C74" s="208">
        <v>-0.59500074892910781</v>
      </c>
      <c r="D74" s="209">
        <v>0</v>
      </c>
      <c r="E74" s="209">
        <v>2.4986462839848866E-3</v>
      </c>
      <c r="F74" s="209">
        <v>0</v>
      </c>
      <c r="G74" s="209">
        <v>0</v>
      </c>
      <c r="H74" s="209">
        <v>0</v>
      </c>
      <c r="I74" s="209">
        <v>0</v>
      </c>
      <c r="J74" s="210">
        <v>-0.20824715685144429</v>
      </c>
      <c r="K74" s="210">
        <v>0</v>
      </c>
      <c r="L74" s="209">
        <v>0</v>
      </c>
      <c r="M74" s="209">
        <v>0</v>
      </c>
      <c r="N74" s="209">
        <v>0</v>
      </c>
      <c r="O74" s="210">
        <v>0</v>
      </c>
      <c r="P74" s="210">
        <v>0</v>
      </c>
      <c r="Q74" s="209">
        <v>0</v>
      </c>
      <c r="R74" s="210">
        <v>0</v>
      </c>
      <c r="S74" s="210">
        <v>0</v>
      </c>
      <c r="T74" s="15">
        <v>0</v>
      </c>
      <c r="U74" s="15">
        <v>-0.20824715685144429</v>
      </c>
      <c r="V74" s="15"/>
    </row>
    <row r="75" spans="1:23" x14ac:dyDescent="0.25">
      <c r="A75" s="166"/>
      <c r="B75" s="268" t="s">
        <v>91</v>
      </c>
      <c r="C75" s="524">
        <v>0</v>
      </c>
      <c r="D75" s="525">
        <v>0</v>
      </c>
      <c r="E75" s="525">
        <v>0</v>
      </c>
      <c r="F75" s="525">
        <v>0</v>
      </c>
      <c r="G75" s="525">
        <v>0</v>
      </c>
      <c r="H75" s="525">
        <v>0</v>
      </c>
      <c r="I75" s="525">
        <v>0</v>
      </c>
      <c r="J75" s="536">
        <v>0</v>
      </c>
      <c r="K75" s="536">
        <v>0</v>
      </c>
      <c r="L75" s="525">
        <v>0</v>
      </c>
      <c r="M75" s="525">
        <v>0</v>
      </c>
      <c r="N75" s="525">
        <v>0</v>
      </c>
      <c r="O75" s="536">
        <v>0</v>
      </c>
      <c r="P75" s="165">
        <v>0</v>
      </c>
      <c r="Q75" s="525">
        <v>0</v>
      </c>
      <c r="R75" s="536">
        <v>0</v>
      </c>
      <c r="S75" s="536">
        <v>0</v>
      </c>
      <c r="T75" s="15">
        <v>0</v>
      </c>
      <c r="U75" s="15">
        <v>0</v>
      </c>
      <c r="V75" s="15"/>
    </row>
    <row r="76" spans="1:23" x14ac:dyDescent="0.25">
      <c r="A76" s="166"/>
      <c r="B76" s="167" t="s">
        <v>92</v>
      </c>
      <c r="C76" s="168">
        <v>7.7711147664132415E-5</v>
      </c>
      <c r="D76" s="169">
        <v>0</v>
      </c>
      <c r="E76" s="169">
        <v>0</v>
      </c>
      <c r="F76" s="169">
        <v>0</v>
      </c>
      <c r="G76" s="169">
        <v>0</v>
      </c>
      <c r="H76" s="169">
        <v>0</v>
      </c>
      <c r="I76" s="169">
        <v>0</v>
      </c>
      <c r="J76" s="170">
        <v>1.8633945458441642E-5</v>
      </c>
      <c r="K76" s="170">
        <v>0</v>
      </c>
      <c r="L76" s="169">
        <v>0</v>
      </c>
      <c r="M76" s="169">
        <v>0</v>
      </c>
      <c r="N76" s="169">
        <v>0</v>
      </c>
      <c r="O76" s="170">
        <v>0</v>
      </c>
      <c r="P76" s="170">
        <v>0</v>
      </c>
      <c r="Q76" s="169">
        <v>0</v>
      </c>
      <c r="R76" s="170">
        <v>0</v>
      </c>
      <c r="S76" s="170">
        <v>0</v>
      </c>
      <c r="T76" s="15">
        <v>0</v>
      </c>
      <c r="U76" s="15">
        <v>1.8633945458441642E-5</v>
      </c>
      <c r="V76" s="15"/>
      <c r="W76" s="253"/>
    </row>
    <row r="77" spans="1:23" ht="15.75" thickBot="1" x14ac:dyDescent="0.3">
      <c r="A77" s="540"/>
      <c r="B77" s="541" t="s">
        <v>93</v>
      </c>
      <c r="C77" s="542">
        <v>0</v>
      </c>
      <c r="D77" s="543">
        <v>0</v>
      </c>
      <c r="E77" s="543">
        <v>0</v>
      </c>
      <c r="F77" s="543">
        <v>0</v>
      </c>
      <c r="G77" s="543">
        <v>0</v>
      </c>
      <c r="H77" s="543">
        <v>0</v>
      </c>
      <c r="I77" s="543">
        <v>0</v>
      </c>
      <c r="J77" s="544">
        <v>0</v>
      </c>
      <c r="K77" s="544">
        <v>0</v>
      </c>
      <c r="L77" s="543">
        <v>0</v>
      </c>
      <c r="M77" s="543">
        <v>0</v>
      </c>
      <c r="N77" s="543">
        <v>0</v>
      </c>
      <c r="O77" s="544">
        <v>0</v>
      </c>
      <c r="P77" s="544">
        <v>0</v>
      </c>
      <c r="Q77" s="543">
        <v>0</v>
      </c>
      <c r="R77" s="544">
        <v>0</v>
      </c>
      <c r="S77" s="544">
        <v>0</v>
      </c>
      <c r="T77" s="15">
        <v>0</v>
      </c>
      <c r="U77" s="15">
        <v>0</v>
      </c>
      <c r="V77" s="15"/>
    </row>
    <row r="78" spans="1:23" x14ac:dyDescent="0.25">
      <c r="A78" s="523" t="s">
        <v>41</v>
      </c>
      <c r="B78" s="268" t="s">
        <v>59</v>
      </c>
      <c r="C78" s="524">
        <v>0.96971455425143505</v>
      </c>
      <c r="D78" s="525">
        <v>0</v>
      </c>
      <c r="E78" s="525">
        <v>0.98361074816792593</v>
      </c>
      <c r="F78" s="525">
        <v>0</v>
      </c>
      <c r="G78" s="525">
        <v>0</v>
      </c>
      <c r="H78" s="525">
        <v>0</v>
      </c>
      <c r="I78" s="525">
        <v>0</v>
      </c>
      <c r="J78" s="536">
        <v>0.97203972643322345</v>
      </c>
      <c r="K78" s="536">
        <v>0</v>
      </c>
      <c r="L78" s="525">
        <v>0.86705081393579797</v>
      </c>
      <c r="M78" s="525">
        <v>0.80962476505862346</v>
      </c>
      <c r="N78" s="525">
        <v>0</v>
      </c>
      <c r="O78" s="536">
        <v>0.83654463330559847</v>
      </c>
      <c r="P78" s="165">
        <v>0</v>
      </c>
      <c r="Q78" s="525">
        <v>0</v>
      </c>
      <c r="R78" s="536">
        <v>0</v>
      </c>
      <c r="S78" s="536">
        <v>0</v>
      </c>
      <c r="T78" s="15">
        <v>0</v>
      </c>
      <c r="U78" s="15">
        <v>0.92492278377286385</v>
      </c>
      <c r="V78" s="15"/>
    </row>
    <row r="79" spans="1:23" x14ac:dyDescent="0.25">
      <c r="A79" s="166"/>
      <c r="B79" s="167" t="s">
        <v>60</v>
      </c>
      <c r="C79" s="168">
        <v>0.97369197619193448</v>
      </c>
      <c r="D79" s="169">
        <v>0</v>
      </c>
      <c r="E79" s="169">
        <v>0.98520443866839946</v>
      </c>
      <c r="F79" s="169">
        <v>0</v>
      </c>
      <c r="G79" s="169">
        <v>0</v>
      </c>
      <c r="H79" s="169">
        <v>0</v>
      </c>
      <c r="I79" s="169">
        <v>0</v>
      </c>
      <c r="J79" s="170">
        <v>0.9756443016944033</v>
      </c>
      <c r="K79" s="170">
        <v>0</v>
      </c>
      <c r="L79" s="169">
        <v>0.8912624017313534</v>
      </c>
      <c r="M79" s="169">
        <v>0.8101540834770935</v>
      </c>
      <c r="N79" s="169">
        <v>0</v>
      </c>
      <c r="O79" s="170">
        <v>0.84864609016578552</v>
      </c>
      <c r="P79" s="170">
        <v>0</v>
      </c>
      <c r="Q79" s="169">
        <v>0</v>
      </c>
      <c r="R79" s="170">
        <v>0</v>
      </c>
      <c r="S79" s="170">
        <v>0</v>
      </c>
      <c r="T79" s="15">
        <v>0</v>
      </c>
      <c r="U79" s="15">
        <v>0.93341364131547355</v>
      </c>
      <c r="V79" s="15"/>
    </row>
    <row r="80" spans="1:23" x14ac:dyDescent="0.25">
      <c r="A80" s="166"/>
      <c r="B80" s="207" t="s">
        <v>772</v>
      </c>
      <c r="C80" s="208">
        <v>0.39774219404994371</v>
      </c>
      <c r="D80" s="209">
        <v>0</v>
      </c>
      <c r="E80" s="209">
        <v>0.15936905004735324</v>
      </c>
      <c r="F80" s="209">
        <v>0</v>
      </c>
      <c r="G80" s="209">
        <v>0</v>
      </c>
      <c r="H80" s="209">
        <v>0</v>
      </c>
      <c r="I80" s="209">
        <v>0</v>
      </c>
      <c r="J80" s="210">
        <v>0.36045752611798543</v>
      </c>
      <c r="K80" s="210">
        <v>0</v>
      </c>
      <c r="L80" s="209">
        <v>2.4211587795555434</v>
      </c>
      <c r="M80" s="209">
        <v>5.2931841847003724E-2</v>
      </c>
      <c r="N80" s="209">
        <v>0</v>
      </c>
      <c r="O80" s="210">
        <v>1.2101456860187043</v>
      </c>
      <c r="P80" s="210">
        <v>0</v>
      </c>
      <c r="Q80" s="209">
        <v>0</v>
      </c>
      <c r="R80" s="210">
        <v>0</v>
      </c>
      <c r="S80" s="210">
        <v>0</v>
      </c>
      <c r="T80" s="15">
        <v>0</v>
      </c>
      <c r="U80" s="15">
        <v>0.84908575426096977</v>
      </c>
      <c r="V80" s="15"/>
    </row>
    <row r="81" spans="1:22" x14ac:dyDescent="0.25">
      <c r="A81" s="166"/>
      <c r="B81" s="268" t="s">
        <v>61</v>
      </c>
      <c r="C81" s="524">
        <v>0</v>
      </c>
      <c r="D81" s="525">
        <v>0</v>
      </c>
      <c r="E81" s="525">
        <v>0</v>
      </c>
      <c r="F81" s="525">
        <v>0</v>
      </c>
      <c r="G81" s="525">
        <v>0</v>
      </c>
      <c r="H81" s="525">
        <v>0</v>
      </c>
      <c r="I81" s="525">
        <v>0</v>
      </c>
      <c r="J81" s="536">
        <v>0</v>
      </c>
      <c r="K81" s="536">
        <v>0</v>
      </c>
      <c r="L81" s="525">
        <v>0</v>
      </c>
      <c r="M81" s="525">
        <v>0</v>
      </c>
      <c r="N81" s="525">
        <v>0</v>
      </c>
      <c r="O81" s="536">
        <v>0</v>
      </c>
      <c r="P81" s="165">
        <v>0</v>
      </c>
      <c r="Q81" s="525">
        <v>0</v>
      </c>
      <c r="R81" s="536">
        <v>0</v>
      </c>
      <c r="S81" s="536">
        <v>0</v>
      </c>
      <c r="T81" s="15">
        <v>0</v>
      </c>
      <c r="U81" s="15">
        <v>0</v>
      </c>
      <c r="V81" s="15"/>
    </row>
    <row r="82" spans="1:22" x14ac:dyDescent="0.25">
      <c r="A82" s="166"/>
      <c r="B82" s="167" t="s">
        <v>62</v>
      </c>
      <c r="C82" s="168">
        <v>0</v>
      </c>
      <c r="D82" s="169">
        <v>0</v>
      </c>
      <c r="E82" s="169">
        <v>0</v>
      </c>
      <c r="F82" s="169">
        <v>0</v>
      </c>
      <c r="G82" s="169">
        <v>0</v>
      </c>
      <c r="H82" s="169">
        <v>0</v>
      </c>
      <c r="I82" s="169">
        <v>0</v>
      </c>
      <c r="J82" s="170">
        <v>0</v>
      </c>
      <c r="K82" s="170">
        <v>0</v>
      </c>
      <c r="L82" s="169">
        <v>0</v>
      </c>
      <c r="M82" s="169">
        <v>0</v>
      </c>
      <c r="N82" s="169">
        <v>0</v>
      </c>
      <c r="O82" s="170">
        <v>0</v>
      </c>
      <c r="P82" s="170">
        <v>0</v>
      </c>
      <c r="Q82" s="169">
        <v>0</v>
      </c>
      <c r="R82" s="170">
        <v>0</v>
      </c>
      <c r="S82" s="170">
        <v>0</v>
      </c>
      <c r="T82" s="15">
        <v>0</v>
      </c>
      <c r="U82" s="15">
        <v>0</v>
      </c>
      <c r="V82" s="15"/>
    </row>
    <row r="83" spans="1:22" x14ac:dyDescent="0.25">
      <c r="A83" s="166"/>
      <c r="B83" s="207" t="s">
        <v>63</v>
      </c>
      <c r="C83" s="208">
        <v>0</v>
      </c>
      <c r="D83" s="209">
        <v>0</v>
      </c>
      <c r="E83" s="209">
        <v>0</v>
      </c>
      <c r="F83" s="209">
        <v>0</v>
      </c>
      <c r="G83" s="209">
        <v>0</v>
      </c>
      <c r="H83" s="209">
        <v>0</v>
      </c>
      <c r="I83" s="209">
        <v>0</v>
      </c>
      <c r="J83" s="210">
        <v>0</v>
      </c>
      <c r="K83" s="210">
        <v>0</v>
      </c>
      <c r="L83" s="209">
        <v>0</v>
      </c>
      <c r="M83" s="209">
        <v>0</v>
      </c>
      <c r="N83" s="209">
        <v>0</v>
      </c>
      <c r="O83" s="210">
        <v>0</v>
      </c>
      <c r="P83" s="210">
        <v>0</v>
      </c>
      <c r="Q83" s="209">
        <v>0</v>
      </c>
      <c r="R83" s="210">
        <v>0</v>
      </c>
      <c r="S83" s="210">
        <v>0</v>
      </c>
      <c r="T83" s="15">
        <v>0</v>
      </c>
      <c r="U83" s="15">
        <v>0</v>
      </c>
      <c r="V83" s="15"/>
    </row>
    <row r="84" spans="1:22" x14ac:dyDescent="0.25">
      <c r="A84" s="166"/>
      <c r="B84" s="268" t="s">
        <v>64</v>
      </c>
      <c r="C84" s="524">
        <v>3.0285445748564972E-2</v>
      </c>
      <c r="D84" s="525">
        <v>0</v>
      </c>
      <c r="E84" s="525">
        <v>1.6389251832074077E-2</v>
      </c>
      <c r="F84" s="525">
        <v>0</v>
      </c>
      <c r="G84" s="525">
        <v>0</v>
      </c>
      <c r="H84" s="525">
        <v>0</v>
      </c>
      <c r="I84" s="525">
        <v>0</v>
      </c>
      <c r="J84" s="536">
        <v>2.796027356677656E-2</v>
      </c>
      <c r="K84" s="536">
        <v>0</v>
      </c>
      <c r="L84" s="525">
        <v>8.5894315127541962E-2</v>
      </c>
      <c r="M84" s="525">
        <v>0.13473887944151078</v>
      </c>
      <c r="N84" s="525">
        <v>0</v>
      </c>
      <c r="O84" s="536">
        <v>0.11184179246404374</v>
      </c>
      <c r="P84" s="165">
        <v>0</v>
      </c>
      <c r="Q84" s="525">
        <v>0</v>
      </c>
      <c r="R84" s="536">
        <v>0</v>
      </c>
      <c r="S84" s="536">
        <v>0</v>
      </c>
      <c r="T84" s="15">
        <v>0</v>
      </c>
      <c r="U84" s="15">
        <v>5.7129158025372599E-2</v>
      </c>
      <c r="V84" s="15"/>
    </row>
    <row r="85" spans="1:22" x14ac:dyDescent="0.25">
      <c r="A85" s="166"/>
      <c r="B85" s="167" t="s">
        <v>65</v>
      </c>
      <c r="C85" s="168">
        <v>2.6308023808065566E-2</v>
      </c>
      <c r="D85" s="169">
        <v>0</v>
      </c>
      <c r="E85" s="169">
        <v>1.479556133160052E-2</v>
      </c>
      <c r="F85" s="169">
        <v>0</v>
      </c>
      <c r="G85" s="169">
        <v>0</v>
      </c>
      <c r="H85" s="169">
        <v>0</v>
      </c>
      <c r="I85" s="169">
        <v>0</v>
      </c>
      <c r="J85" s="170">
        <v>2.4355698305596741E-2</v>
      </c>
      <c r="K85" s="170">
        <v>0</v>
      </c>
      <c r="L85" s="169">
        <v>0.10024379750466084</v>
      </c>
      <c r="M85" s="169">
        <v>0.18480008007395066</v>
      </c>
      <c r="N85" s="169">
        <v>0</v>
      </c>
      <c r="O85" s="170">
        <v>0.14467175459166154</v>
      </c>
      <c r="P85" s="170">
        <v>0</v>
      </c>
      <c r="Q85" s="169">
        <v>0</v>
      </c>
      <c r="R85" s="170">
        <v>0</v>
      </c>
      <c r="S85" s="170">
        <v>0</v>
      </c>
      <c r="T85" s="15">
        <v>0</v>
      </c>
      <c r="U85" s="15">
        <v>6.4364344490382072E-2</v>
      </c>
      <c r="V85" s="15"/>
    </row>
    <row r="86" spans="1:22" x14ac:dyDescent="0.25">
      <c r="A86" s="166"/>
      <c r="B86" s="207" t="s">
        <v>66</v>
      </c>
      <c r="C86" s="208">
        <v>-0.3977421940499406</v>
      </c>
      <c r="D86" s="209">
        <v>0</v>
      </c>
      <c r="E86" s="209">
        <v>-0.15936905004735569</v>
      </c>
      <c r="F86" s="209">
        <v>0</v>
      </c>
      <c r="G86" s="209">
        <v>0</v>
      </c>
      <c r="H86" s="209">
        <v>0</v>
      </c>
      <c r="I86" s="209">
        <v>0</v>
      </c>
      <c r="J86" s="210">
        <v>-0.36045752611798199</v>
      </c>
      <c r="K86" s="210">
        <v>0</v>
      </c>
      <c r="L86" s="209">
        <v>1.4349482377118874</v>
      </c>
      <c r="M86" s="209">
        <v>5.0061200632439879</v>
      </c>
      <c r="N86" s="209">
        <v>0</v>
      </c>
      <c r="O86" s="210">
        <v>3.2829962127617796</v>
      </c>
      <c r="P86" s="210">
        <v>0</v>
      </c>
      <c r="Q86" s="209">
        <v>0</v>
      </c>
      <c r="R86" s="210">
        <v>0</v>
      </c>
      <c r="S86" s="210">
        <v>0</v>
      </c>
      <c r="T86" s="15">
        <v>0</v>
      </c>
      <c r="U86" s="15">
        <v>0.72351864650094733</v>
      </c>
      <c r="V86" s="15"/>
    </row>
    <row r="87" spans="1:22" x14ac:dyDescent="0.25">
      <c r="A87" s="166"/>
      <c r="B87" s="268" t="s">
        <v>67</v>
      </c>
      <c r="C87" s="524">
        <v>0</v>
      </c>
      <c r="D87" s="525">
        <v>0</v>
      </c>
      <c r="E87" s="525">
        <v>0</v>
      </c>
      <c r="F87" s="525">
        <v>0</v>
      </c>
      <c r="G87" s="525">
        <v>0</v>
      </c>
      <c r="H87" s="525">
        <v>0</v>
      </c>
      <c r="I87" s="525">
        <v>0</v>
      </c>
      <c r="J87" s="536">
        <v>0</v>
      </c>
      <c r="K87" s="536">
        <v>0</v>
      </c>
      <c r="L87" s="525">
        <v>1.7495816217860947E-3</v>
      </c>
      <c r="M87" s="525">
        <v>2.8528595721829409E-3</v>
      </c>
      <c r="N87" s="525">
        <v>0</v>
      </c>
      <c r="O87" s="536">
        <v>2.3356709853797693E-3</v>
      </c>
      <c r="P87" s="165">
        <v>0</v>
      </c>
      <c r="Q87" s="525">
        <v>0</v>
      </c>
      <c r="R87" s="536">
        <v>0</v>
      </c>
      <c r="S87" s="536">
        <v>0</v>
      </c>
      <c r="T87" s="15">
        <v>0</v>
      </c>
      <c r="U87" s="15">
        <v>8.1220414224112542E-4</v>
      </c>
      <c r="V87" s="15"/>
    </row>
    <row r="88" spans="1:22" x14ac:dyDescent="0.25">
      <c r="A88" s="166"/>
      <c r="B88" s="167" t="s">
        <v>68</v>
      </c>
      <c r="C88" s="168">
        <v>0</v>
      </c>
      <c r="D88" s="169">
        <v>0</v>
      </c>
      <c r="E88" s="169">
        <v>0</v>
      </c>
      <c r="F88" s="169">
        <v>0</v>
      </c>
      <c r="G88" s="169">
        <v>0</v>
      </c>
      <c r="H88" s="169">
        <v>0</v>
      </c>
      <c r="I88" s="169">
        <v>0</v>
      </c>
      <c r="J88" s="170">
        <v>0</v>
      </c>
      <c r="K88" s="170">
        <v>0</v>
      </c>
      <c r="L88" s="169">
        <v>5.7885610732305122E-3</v>
      </c>
      <c r="M88" s="169">
        <v>0</v>
      </c>
      <c r="N88" s="169">
        <v>0</v>
      </c>
      <c r="O88" s="170">
        <v>2.7471082663828813E-3</v>
      </c>
      <c r="P88" s="170">
        <v>0</v>
      </c>
      <c r="Q88" s="169">
        <v>0</v>
      </c>
      <c r="R88" s="170">
        <v>0</v>
      </c>
      <c r="S88" s="170">
        <v>0</v>
      </c>
      <c r="T88" s="15">
        <v>0</v>
      </c>
      <c r="U88" s="15">
        <v>9.1349472425935436E-4</v>
      </c>
      <c r="V88" s="15"/>
    </row>
    <row r="89" spans="1:22" x14ac:dyDescent="0.25">
      <c r="A89" s="166"/>
      <c r="B89" s="207" t="s">
        <v>69</v>
      </c>
      <c r="C89" s="208">
        <v>0</v>
      </c>
      <c r="D89" s="209">
        <v>0</v>
      </c>
      <c r="E89" s="209">
        <v>0</v>
      </c>
      <c r="F89" s="209">
        <v>0</v>
      </c>
      <c r="G89" s="209">
        <v>0</v>
      </c>
      <c r="H89" s="209">
        <v>0</v>
      </c>
      <c r="I89" s="209">
        <v>0</v>
      </c>
      <c r="J89" s="210">
        <v>0</v>
      </c>
      <c r="K89" s="210">
        <v>0</v>
      </c>
      <c r="L89" s="209">
        <v>0.40389794514444172</v>
      </c>
      <c r="M89" s="209">
        <v>-0.28528595721829408</v>
      </c>
      <c r="N89" s="209">
        <v>0</v>
      </c>
      <c r="O89" s="210">
        <v>4.1143728100311201E-2</v>
      </c>
      <c r="P89" s="210">
        <v>0</v>
      </c>
      <c r="Q89" s="209">
        <v>0</v>
      </c>
      <c r="R89" s="210">
        <v>0</v>
      </c>
      <c r="S89" s="210">
        <v>0</v>
      </c>
      <c r="T89" s="15">
        <v>0</v>
      </c>
      <c r="U89" s="15">
        <v>1.0129058201822895E-2</v>
      </c>
      <c r="V89" s="15"/>
    </row>
    <row r="90" spans="1:22" x14ac:dyDescent="0.25">
      <c r="A90" s="166"/>
      <c r="B90" s="268" t="s">
        <v>70</v>
      </c>
      <c r="C90" s="524">
        <v>0</v>
      </c>
      <c r="D90" s="525">
        <v>0</v>
      </c>
      <c r="E90" s="525">
        <v>0</v>
      </c>
      <c r="F90" s="525">
        <v>0</v>
      </c>
      <c r="G90" s="525">
        <v>0</v>
      </c>
      <c r="H90" s="525">
        <v>0</v>
      </c>
      <c r="I90" s="525">
        <v>0</v>
      </c>
      <c r="J90" s="536">
        <v>0</v>
      </c>
      <c r="K90" s="536">
        <v>0</v>
      </c>
      <c r="L90" s="525">
        <v>4.530528931487398E-2</v>
      </c>
      <c r="M90" s="525">
        <v>5.2783495927682805E-2</v>
      </c>
      <c r="N90" s="525">
        <v>0</v>
      </c>
      <c r="O90" s="536">
        <v>4.9277903244978008E-2</v>
      </c>
      <c r="P90" s="165">
        <v>0</v>
      </c>
      <c r="Q90" s="525">
        <v>0</v>
      </c>
      <c r="R90" s="536">
        <v>0</v>
      </c>
      <c r="S90" s="536">
        <v>0</v>
      </c>
      <c r="T90" s="15">
        <v>0</v>
      </c>
      <c r="U90" s="15">
        <v>1.7135854059522369E-2</v>
      </c>
      <c r="V90" s="15"/>
    </row>
    <row r="91" spans="1:22" x14ac:dyDescent="0.25">
      <c r="A91" s="166"/>
      <c r="B91" s="167" t="s">
        <v>71</v>
      </c>
      <c r="C91" s="168">
        <v>0</v>
      </c>
      <c r="D91" s="169">
        <v>0</v>
      </c>
      <c r="E91" s="169">
        <v>0</v>
      </c>
      <c r="F91" s="169">
        <v>0</v>
      </c>
      <c r="G91" s="169">
        <v>0</v>
      </c>
      <c r="H91" s="169">
        <v>0</v>
      </c>
      <c r="I91" s="169">
        <v>0</v>
      </c>
      <c r="J91" s="170">
        <v>0</v>
      </c>
      <c r="K91" s="170">
        <v>0</v>
      </c>
      <c r="L91" s="169">
        <v>2.7052396907552506E-3</v>
      </c>
      <c r="M91" s="169">
        <v>5.0458364489558002E-3</v>
      </c>
      <c r="N91" s="169">
        <v>0</v>
      </c>
      <c r="O91" s="170">
        <v>3.9350469761700729E-3</v>
      </c>
      <c r="P91" s="170">
        <v>0</v>
      </c>
      <c r="Q91" s="169">
        <v>0</v>
      </c>
      <c r="R91" s="170">
        <v>0</v>
      </c>
      <c r="S91" s="170">
        <v>0</v>
      </c>
      <c r="T91" s="15">
        <v>0</v>
      </c>
      <c r="U91" s="15">
        <v>1.308519469885021E-3</v>
      </c>
      <c r="V91" s="15"/>
    </row>
    <row r="92" spans="1:22" x14ac:dyDescent="0.25">
      <c r="A92" s="166"/>
      <c r="B92" s="207" t="s">
        <v>72</v>
      </c>
      <c r="C92" s="208">
        <v>0</v>
      </c>
      <c r="D92" s="209">
        <v>0</v>
      </c>
      <c r="E92" s="209">
        <v>0</v>
      </c>
      <c r="F92" s="209">
        <v>0</v>
      </c>
      <c r="G92" s="209">
        <v>0</v>
      </c>
      <c r="H92" s="209">
        <v>0</v>
      </c>
      <c r="I92" s="209">
        <v>0</v>
      </c>
      <c r="J92" s="210">
        <v>0</v>
      </c>
      <c r="K92" s="210">
        <v>0</v>
      </c>
      <c r="L92" s="209">
        <v>-4.2600049624118732</v>
      </c>
      <c r="M92" s="209">
        <v>-4.7737659478727004</v>
      </c>
      <c r="N92" s="209">
        <v>0</v>
      </c>
      <c r="O92" s="210">
        <v>-4.5342856268807932</v>
      </c>
      <c r="P92" s="210">
        <v>0</v>
      </c>
      <c r="Q92" s="209">
        <v>0</v>
      </c>
      <c r="R92" s="210">
        <v>0</v>
      </c>
      <c r="S92" s="210">
        <v>0</v>
      </c>
      <c r="T92" s="15">
        <v>0</v>
      </c>
      <c r="U92" s="15">
        <v>-1.5827334589637347</v>
      </c>
      <c r="V92" s="15"/>
    </row>
    <row r="93" spans="1:22" x14ac:dyDescent="0.25">
      <c r="A93" s="166"/>
      <c r="B93" s="268" t="s">
        <v>73</v>
      </c>
      <c r="C93" s="524">
        <v>0</v>
      </c>
      <c r="D93" s="525">
        <v>0</v>
      </c>
      <c r="E93" s="525">
        <v>0</v>
      </c>
      <c r="F93" s="525">
        <v>0</v>
      </c>
      <c r="G93" s="525">
        <v>0</v>
      </c>
      <c r="H93" s="525">
        <v>0</v>
      </c>
      <c r="I93" s="525">
        <v>0</v>
      </c>
      <c r="J93" s="536">
        <v>0</v>
      </c>
      <c r="K93" s="536">
        <v>0</v>
      </c>
      <c r="L93" s="525">
        <v>0</v>
      </c>
      <c r="M93" s="525">
        <v>0</v>
      </c>
      <c r="N93" s="525">
        <v>0</v>
      </c>
      <c r="O93" s="536">
        <v>0</v>
      </c>
      <c r="P93" s="165">
        <v>0</v>
      </c>
      <c r="Q93" s="525">
        <v>0</v>
      </c>
      <c r="R93" s="536">
        <v>0</v>
      </c>
      <c r="S93" s="536">
        <v>0</v>
      </c>
      <c r="T93" s="15">
        <v>0</v>
      </c>
      <c r="U93" s="15">
        <v>0</v>
      </c>
      <c r="V93" s="15"/>
    </row>
    <row r="94" spans="1:22" x14ac:dyDescent="0.25">
      <c r="A94" s="166"/>
      <c r="B94" s="167" t="s">
        <v>74</v>
      </c>
      <c r="C94" s="168">
        <v>0</v>
      </c>
      <c r="D94" s="169">
        <v>0</v>
      </c>
      <c r="E94" s="169">
        <v>0</v>
      </c>
      <c r="F94" s="169">
        <v>0</v>
      </c>
      <c r="G94" s="169">
        <v>0</v>
      </c>
      <c r="H94" s="169">
        <v>0</v>
      </c>
      <c r="I94" s="169">
        <v>0</v>
      </c>
      <c r="J94" s="170">
        <v>0</v>
      </c>
      <c r="K94" s="170">
        <v>0</v>
      </c>
      <c r="L94" s="169">
        <v>0</v>
      </c>
      <c r="M94" s="169">
        <v>0</v>
      </c>
      <c r="N94" s="169">
        <v>0</v>
      </c>
      <c r="O94" s="170">
        <v>0</v>
      </c>
      <c r="P94" s="170">
        <v>0</v>
      </c>
      <c r="Q94" s="169">
        <v>0</v>
      </c>
      <c r="R94" s="170">
        <v>0</v>
      </c>
      <c r="S94" s="170">
        <v>0</v>
      </c>
      <c r="T94" s="15">
        <v>0</v>
      </c>
      <c r="U94" s="15">
        <v>0</v>
      </c>
      <c r="V94" s="15"/>
    </row>
    <row r="95" spans="1:22" ht="15.75" thickBot="1" x14ac:dyDescent="0.3">
      <c r="A95" s="166"/>
      <c r="B95" s="531" t="s">
        <v>75</v>
      </c>
      <c r="C95" s="532">
        <v>0</v>
      </c>
      <c r="D95" s="533">
        <v>0</v>
      </c>
      <c r="E95" s="533">
        <v>0</v>
      </c>
      <c r="F95" s="533">
        <v>0</v>
      </c>
      <c r="G95" s="533">
        <v>0</v>
      </c>
      <c r="H95" s="533">
        <v>0</v>
      </c>
      <c r="I95" s="533">
        <v>0</v>
      </c>
      <c r="J95" s="537">
        <v>0</v>
      </c>
      <c r="K95" s="537">
        <v>0</v>
      </c>
      <c r="L95" s="533">
        <v>0</v>
      </c>
      <c r="M95" s="533">
        <v>0</v>
      </c>
      <c r="N95" s="533">
        <v>0</v>
      </c>
      <c r="O95" s="537">
        <v>0</v>
      </c>
      <c r="P95" s="537">
        <v>0</v>
      </c>
      <c r="Q95" s="533">
        <v>0</v>
      </c>
      <c r="R95" s="537">
        <v>0</v>
      </c>
      <c r="S95" s="537">
        <v>0</v>
      </c>
      <c r="T95" s="15">
        <v>0</v>
      </c>
      <c r="U95" s="15">
        <v>0</v>
      </c>
      <c r="V95" s="15"/>
    </row>
    <row r="96" spans="1:22" ht="15.75" thickTop="1" x14ac:dyDescent="0.25">
      <c r="A96" s="166"/>
      <c r="B96" s="167" t="s">
        <v>76</v>
      </c>
      <c r="C96" s="168">
        <v>0.94352968460111319</v>
      </c>
      <c r="D96" s="169">
        <v>0</v>
      </c>
      <c r="E96" s="169">
        <v>0.69058415577487331</v>
      </c>
      <c r="F96" s="169">
        <v>0</v>
      </c>
      <c r="G96" s="169">
        <v>0</v>
      </c>
      <c r="H96" s="169">
        <v>0</v>
      </c>
      <c r="I96" s="169">
        <v>0</v>
      </c>
      <c r="J96" s="170">
        <v>0.89836643329999522</v>
      </c>
      <c r="K96" s="170">
        <v>0</v>
      </c>
      <c r="L96" s="169">
        <v>0</v>
      </c>
      <c r="M96" s="169">
        <v>0</v>
      </c>
      <c r="N96" s="169">
        <v>0</v>
      </c>
      <c r="O96" s="170">
        <v>0</v>
      </c>
      <c r="P96" s="170">
        <v>0</v>
      </c>
      <c r="Q96" s="169">
        <v>0</v>
      </c>
      <c r="R96" s="170">
        <v>0</v>
      </c>
      <c r="S96" s="170">
        <v>0</v>
      </c>
      <c r="T96" s="15">
        <v>0</v>
      </c>
      <c r="U96" s="15">
        <v>0.89836643329999522</v>
      </c>
      <c r="V96" s="15"/>
    </row>
    <row r="97" spans="1:22" x14ac:dyDescent="0.25">
      <c r="A97" s="166"/>
      <c r="B97" s="167" t="s">
        <v>77</v>
      </c>
      <c r="C97" s="168">
        <v>0.9445403877855405</v>
      </c>
      <c r="D97" s="169">
        <v>0</v>
      </c>
      <c r="E97" s="169">
        <v>0.96627727573286315</v>
      </c>
      <c r="F97" s="169">
        <v>0</v>
      </c>
      <c r="G97" s="169">
        <v>0</v>
      </c>
      <c r="H97" s="169">
        <v>0</v>
      </c>
      <c r="I97" s="169">
        <v>0</v>
      </c>
      <c r="J97" s="170">
        <v>0.94631755356531455</v>
      </c>
      <c r="K97" s="170">
        <v>0</v>
      </c>
      <c r="L97" s="169">
        <v>0</v>
      </c>
      <c r="M97" s="169">
        <v>0</v>
      </c>
      <c r="N97" s="169">
        <v>0</v>
      </c>
      <c r="O97" s="170">
        <v>0</v>
      </c>
      <c r="P97" s="170">
        <v>0</v>
      </c>
      <c r="Q97" s="169">
        <v>0</v>
      </c>
      <c r="R97" s="170">
        <v>0</v>
      </c>
      <c r="S97" s="170">
        <v>0</v>
      </c>
      <c r="T97" s="15">
        <v>0</v>
      </c>
      <c r="U97" s="15">
        <v>0.94631755356531455</v>
      </c>
      <c r="V97" s="15"/>
    </row>
    <row r="98" spans="1:22" x14ac:dyDescent="0.25">
      <c r="A98" s="166"/>
      <c r="B98" s="207" t="s">
        <v>78</v>
      </c>
      <c r="C98" s="208">
        <v>0.10107031844273084</v>
      </c>
      <c r="D98" s="209">
        <v>0</v>
      </c>
      <c r="E98" s="530">
        <v>27.569311995798984</v>
      </c>
      <c r="F98" s="209">
        <v>0</v>
      </c>
      <c r="G98" s="209">
        <v>0</v>
      </c>
      <c r="H98" s="209">
        <v>0</v>
      </c>
      <c r="I98" s="209">
        <v>0</v>
      </c>
      <c r="J98" s="210">
        <v>4.7951120265319336</v>
      </c>
      <c r="K98" s="210">
        <v>0</v>
      </c>
      <c r="L98" s="209">
        <v>0</v>
      </c>
      <c r="M98" s="209">
        <v>0</v>
      </c>
      <c r="N98" s="209">
        <v>0</v>
      </c>
      <c r="O98" s="210">
        <v>0</v>
      </c>
      <c r="P98" s="210">
        <v>0</v>
      </c>
      <c r="Q98" s="209">
        <v>0</v>
      </c>
      <c r="R98" s="210">
        <v>0</v>
      </c>
      <c r="S98" s="210">
        <v>0</v>
      </c>
      <c r="T98" s="15">
        <v>0</v>
      </c>
      <c r="U98" s="15">
        <v>4.7951120265319336</v>
      </c>
      <c r="V98" s="15"/>
    </row>
    <row r="99" spans="1:22" x14ac:dyDescent="0.25">
      <c r="A99" s="166"/>
      <c r="B99" s="268" t="s">
        <v>79</v>
      </c>
      <c r="C99" s="524">
        <v>0</v>
      </c>
      <c r="D99" s="525">
        <v>0</v>
      </c>
      <c r="E99" s="525">
        <v>0</v>
      </c>
      <c r="F99" s="525">
        <v>0</v>
      </c>
      <c r="G99" s="525">
        <v>0</v>
      </c>
      <c r="H99" s="525">
        <v>0</v>
      </c>
      <c r="I99" s="525">
        <v>0</v>
      </c>
      <c r="J99" s="536">
        <v>0</v>
      </c>
      <c r="K99" s="536">
        <v>0</v>
      </c>
      <c r="L99" s="525">
        <v>0</v>
      </c>
      <c r="M99" s="525">
        <v>0</v>
      </c>
      <c r="N99" s="525">
        <v>0</v>
      </c>
      <c r="O99" s="536">
        <v>0</v>
      </c>
      <c r="P99" s="165">
        <v>0</v>
      </c>
      <c r="Q99" s="525">
        <v>0</v>
      </c>
      <c r="R99" s="536">
        <v>0</v>
      </c>
      <c r="S99" s="536">
        <v>0</v>
      </c>
      <c r="T99" s="15">
        <v>0</v>
      </c>
      <c r="U99" s="15">
        <v>0</v>
      </c>
      <c r="V99" s="15"/>
    </row>
    <row r="100" spans="1:22" x14ac:dyDescent="0.25">
      <c r="A100" s="166"/>
      <c r="B100" s="167" t="s">
        <v>80</v>
      </c>
      <c r="C100" s="168">
        <v>0</v>
      </c>
      <c r="D100" s="169">
        <v>0</v>
      </c>
      <c r="E100" s="169">
        <v>0</v>
      </c>
      <c r="F100" s="169">
        <v>0</v>
      </c>
      <c r="G100" s="169">
        <v>0</v>
      </c>
      <c r="H100" s="169">
        <v>0</v>
      </c>
      <c r="I100" s="169">
        <v>0</v>
      </c>
      <c r="J100" s="170">
        <v>0</v>
      </c>
      <c r="K100" s="170">
        <v>0</v>
      </c>
      <c r="L100" s="169">
        <v>0</v>
      </c>
      <c r="M100" s="169">
        <v>0</v>
      </c>
      <c r="N100" s="169">
        <v>0</v>
      </c>
      <c r="O100" s="170">
        <v>0</v>
      </c>
      <c r="P100" s="170">
        <v>0</v>
      </c>
      <c r="Q100" s="169">
        <v>0</v>
      </c>
      <c r="R100" s="170">
        <v>0</v>
      </c>
      <c r="S100" s="170">
        <v>0</v>
      </c>
      <c r="T100" s="15">
        <v>0</v>
      </c>
      <c r="U100" s="15">
        <v>0</v>
      </c>
      <c r="V100" s="15"/>
    </row>
    <row r="101" spans="1:22" x14ac:dyDescent="0.25">
      <c r="A101" s="166"/>
      <c r="B101" s="207" t="s">
        <v>81</v>
      </c>
      <c r="C101" s="208">
        <v>0</v>
      </c>
      <c r="D101" s="209">
        <v>0</v>
      </c>
      <c r="E101" s="209">
        <v>0</v>
      </c>
      <c r="F101" s="209">
        <v>0</v>
      </c>
      <c r="G101" s="209">
        <v>0</v>
      </c>
      <c r="H101" s="209">
        <v>0</v>
      </c>
      <c r="I101" s="209">
        <v>0</v>
      </c>
      <c r="J101" s="210">
        <v>0</v>
      </c>
      <c r="K101" s="210">
        <v>0</v>
      </c>
      <c r="L101" s="209">
        <v>0</v>
      </c>
      <c r="M101" s="209">
        <v>0</v>
      </c>
      <c r="N101" s="209">
        <v>0</v>
      </c>
      <c r="O101" s="210">
        <v>0</v>
      </c>
      <c r="P101" s="210">
        <v>0</v>
      </c>
      <c r="Q101" s="209">
        <v>0</v>
      </c>
      <c r="R101" s="210">
        <v>0</v>
      </c>
      <c r="S101" s="210">
        <v>0</v>
      </c>
      <c r="T101" s="15">
        <v>0</v>
      </c>
      <c r="U101" s="15">
        <v>0</v>
      </c>
      <c r="V101" s="15"/>
    </row>
    <row r="102" spans="1:22" x14ac:dyDescent="0.25">
      <c r="A102" s="166"/>
      <c r="B102" s="268" t="s">
        <v>82</v>
      </c>
      <c r="C102" s="524">
        <v>5.6470315398886826E-2</v>
      </c>
      <c r="D102" s="525">
        <v>0</v>
      </c>
      <c r="E102" s="525">
        <v>0.30941584422512669</v>
      </c>
      <c r="F102" s="525">
        <v>0</v>
      </c>
      <c r="G102" s="525">
        <v>0</v>
      </c>
      <c r="H102" s="525">
        <v>0</v>
      </c>
      <c r="I102" s="525">
        <v>0</v>
      </c>
      <c r="J102" s="536">
        <v>0.10163356670000476</v>
      </c>
      <c r="K102" s="536">
        <v>0</v>
      </c>
      <c r="L102" s="525">
        <v>0</v>
      </c>
      <c r="M102" s="525">
        <v>0</v>
      </c>
      <c r="N102" s="525">
        <v>0</v>
      </c>
      <c r="O102" s="536">
        <v>0</v>
      </c>
      <c r="P102" s="165">
        <v>0</v>
      </c>
      <c r="Q102" s="525">
        <v>0</v>
      </c>
      <c r="R102" s="536">
        <v>0</v>
      </c>
      <c r="S102" s="536">
        <v>0</v>
      </c>
      <c r="T102" s="15">
        <v>0</v>
      </c>
      <c r="U102" s="15">
        <v>0.10163356670000476</v>
      </c>
      <c r="V102" s="15"/>
    </row>
    <row r="103" spans="1:22" x14ac:dyDescent="0.25">
      <c r="A103" s="166"/>
      <c r="B103" s="167" t="s">
        <v>83</v>
      </c>
      <c r="C103" s="168">
        <v>5.5459612214459532E-2</v>
      </c>
      <c r="D103" s="169">
        <v>0</v>
      </c>
      <c r="E103" s="169">
        <v>3.3722724267136878E-2</v>
      </c>
      <c r="F103" s="169">
        <v>0</v>
      </c>
      <c r="G103" s="169">
        <v>0</v>
      </c>
      <c r="H103" s="169">
        <v>0</v>
      </c>
      <c r="I103" s="169">
        <v>0</v>
      </c>
      <c r="J103" s="170">
        <v>5.3682446434685456E-2</v>
      </c>
      <c r="K103" s="170">
        <v>0</v>
      </c>
      <c r="L103" s="169">
        <v>0</v>
      </c>
      <c r="M103" s="169">
        <v>0</v>
      </c>
      <c r="N103" s="169">
        <v>0</v>
      </c>
      <c r="O103" s="170">
        <v>0</v>
      </c>
      <c r="P103" s="170">
        <v>0</v>
      </c>
      <c r="Q103" s="169">
        <v>0</v>
      </c>
      <c r="R103" s="170">
        <v>0</v>
      </c>
      <c r="S103" s="170">
        <v>0</v>
      </c>
      <c r="T103" s="15">
        <v>0</v>
      </c>
      <c r="U103" s="15">
        <v>5.3682446434685456E-2</v>
      </c>
      <c r="V103" s="15"/>
    </row>
    <row r="104" spans="1:22" x14ac:dyDescent="0.25">
      <c r="A104" s="166"/>
      <c r="B104" s="207" t="s">
        <v>84</v>
      </c>
      <c r="C104" s="208">
        <v>-0.10107031844272946</v>
      </c>
      <c r="D104" s="209">
        <v>0</v>
      </c>
      <c r="E104" s="530">
        <v>-27.569311995798984</v>
      </c>
      <c r="F104" s="209">
        <v>0</v>
      </c>
      <c r="G104" s="209">
        <v>0</v>
      </c>
      <c r="H104" s="209">
        <v>0</v>
      </c>
      <c r="I104" s="209">
        <v>0</v>
      </c>
      <c r="J104" s="210">
        <v>-4.79511202653193</v>
      </c>
      <c r="K104" s="210">
        <v>0</v>
      </c>
      <c r="L104" s="209">
        <v>0</v>
      </c>
      <c r="M104" s="209">
        <v>0</v>
      </c>
      <c r="N104" s="209">
        <v>0</v>
      </c>
      <c r="O104" s="210">
        <v>0</v>
      </c>
      <c r="P104" s="210">
        <v>0</v>
      </c>
      <c r="Q104" s="209">
        <v>0</v>
      </c>
      <c r="R104" s="210">
        <v>0</v>
      </c>
      <c r="S104" s="210">
        <v>0</v>
      </c>
      <c r="T104" s="15">
        <v>0</v>
      </c>
      <c r="U104" s="15">
        <v>-4.79511202653193</v>
      </c>
      <c r="V104" s="15"/>
    </row>
    <row r="105" spans="1:22" x14ac:dyDescent="0.25">
      <c r="A105" s="166"/>
      <c r="B105" s="268" t="s">
        <v>85</v>
      </c>
      <c r="C105" s="524">
        <v>0</v>
      </c>
      <c r="D105" s="525">
        <v>0</v>
      </c>
      <c r="E105" s="525">
        <v>0</v>
      </c>
      <c r="F105" s="525">
        <v>0</v>
      </c>
      <c r="G105" s="525">
        <v>0</v>
      </c>
      <c r="H105" s="525">
        <v>0</v>
      </c>
      <c r="I105" s="525">
        <v>0</v>
      </c>
      <c r="J105" s="536">
        <v>0</v>
      </c>
      <c r="K105" s="536">
        <v>0</v>
      </c>
      <c r="L105" s="525">
        <v>0</v>
      </c>
      <c r="M105" s="525">
        <v>0</v>
      </c>
      <c r="N105" s="525">
        <v>0</v>
      </c>
      <c r="O105" s="536">
        <v>0</v>
      </c>
      <c r="P105" s="165">
        <v>0</v>
      </c>
      <c r="Q105" s="525">
        <v>0</v>
      </c>
      <c r="R105" s="536">
        <v>0</v>
      </c>
      <c r="S105" s="536">
        <v>0</v>
      </c>
      <c r="T105" s="15">
        <v>0</v>
      </c>
      <c r="U105" s="15">
        <v>0</v>
      </c>
      <c r="V105" s="15"/>
    </row>
    <row r="106" spans="1:22" x14ac:dyDescent="0.25">
      <c r="A106" s="166"/>
      <c r="B106" s="167" t="s">
        <v>86</v>
      </c>
      <c r="C106" s="168">
        <v>0</v>
      </c>
      <c r="D106" s="169">
        <v>0</v>
      </c>
      <c r="E106" s="169">
        <v>0</v>
      </c>
      <c r="F106" s="169">
        <v>0</v>
      </c>
      <c r="G106" s="169">
        <v>0</v>
      </c>
      <c r="H106" s="169">
        <v>0</v>
      </c>
      <c r="I106" s="169">
        <v>0</v>
      </c>
      <c r="J106" s="170">
        <v>0</v>
      </c>
      <c r="K106" s="170">
        <v>0</v>
      </c>
      <c r="L106" s="169">
        <v>0</v>
      </c>
      <c r="M106" s="169">
        <v>0</v>
      </c>
      <c r="N106" s="169">
        <v>0</v>
      </c>
      <c r="O106" s="170">
        <v>0</v>
      </c>
      <c r="P106" s="170">
        <v>0</v>
      </c>
      <c r="Q106" s="169">
        <v>0</v>
      </c>
      <c r="R106" s="170">
        <v>0</v>
      </c>
      <c r="S106" s="170">
        <v>0</v>
      </c>
      <c r="T106" s="15">
        <v>0</v>
      </c>
      <c r="U106" s="15">
        <v>0</v>
      </c>
      <c r="V106" s="15"/>
    </row>
    <row r="107" spans="1:22" x14ac:dyDescent="0.25">
      <c r="A107" s="166"/>
      <c r="B107" s="207" t="s">
        <v>87</v>
      </c>
      <c r="C107" s="208">
        <v>0</v>
      </c>
      <c r="D107" s="209">
        <v>0</v>
      </c>
      <c r="E107" s="209">
        <v>0</v>
      </c>
      <c r="F107" s="209">
        <v>0</v>
      </c>
      <c r="G107" s="209">
        <v>0</v>
      </c>
      <c r="H107" s="209">
        <v>0</v>
      </c>
      <c r="I107" s="209">
        <v>0</v>
      </c>
      <c r="J107" s="210">
        <v>0</v>
      </c>
      <c r="K107" s="210">
        <v>0</v>
      </c>
      <c r="L107" s="209">
        <v>0</v>
      </c>
      <c r="M107" s="209">
        <v>0</v>
      </c>
      <c r="N107" s="209">
        <v>0</v>
      </c>
      <c r="O107" s="210">
        <v>0</v>
      </c>
      <c r="P107" s="210">
        <v>0</v>
      </c>
      <c r="Q107" s="209">
        <v>0</v>
      </c>
      <c r="R107" s="210">
        <v>0</v>
      </c>
      <c r="S107" s="210">
        <v>0</v>
      </c>
      <c r="T107" s="15">
        <v>0</v>
      </c>
      <c r="U107" s="15">
        <v>0</v>
      </c>
      <c r="V107" s="15"/>
    </row>
    <row r="108" spans="1:22" x14ac:dyDescent="0.25">
      <c r="A108" s="166"/>
      <c r="B108" s="268" t="s">
        <v>88</v>
      </c>
      <c r="C108" s="524">
        <v>0</v>
      </c>
      <c r="D108" s="525">
        <v>0</v>
      </c>
      <c r="E108" s="525">
        <v>0</v>
      </c>
      <c r="F108" s="525">
        <v>0</v>
      </c>
      <c r="G108" s="525">
        <v>0</v>
      </c>
      <c r="H108" s="525">
        <v>0</v>
      </c>
      <c r="I108" s="525">
        <v>0</v>
      </c>
      <c r="J108" s="536">
        <v>0</v>
      </c>
      <c r="K108" s="536">
        <v>0</v>
      </c>
      <c r="L108" s="525">
        <v>0</v>
      </c>
      <c r="M108" s="525">
        <v>0</v>
      </c>
      <c r="N108" s="525">
        <v>0</v>
      </c>
      <c r="O108" s="536">
        <v>0</v>
      </c>
      <c r="P108" s="165">
        <v>0</v>
      </c>
      <c r="Q108" s="525">
        <v>0</v>
      </c>
      <c r="R108" s="536">
        <v>0</v>
      </c>
      <c r="S108" s="536">
        <v>0</v>
      </c>
      <c r="T108" s="15">
        <v>0</v>
      </c>
      <c r="U108" s="15">
        <v>0</v>
      </c>
      <c r="V108" s="15"/>
    </row>
    <row r="109" spans="1:22" x14ac:dyDescent="0.25">
      <c r="A109" s="166"/>
      <c r="B109" s="167" t="s">
        <v>89</v>
      </c>
      <c r="C109" s="168">
        <v>0</v>
      </c>
      <c r="D109" s="169">
        <v>0</v>
      </c>
      <c r="E109" s="169">
        <v>0</v>
      </c>
      <c r="F109" s="169">
        <v>0</v>
      </c>
      <c r="G109" s="169">
        <v>0</v>
      </c>
      <c r="H109" s="169">
        <v>0</v>
      </c>
      <c r="I109" s="169">
        <v>0</v>
      </c>
      <c r="J109" s="170">
        <v>0</v>
      </c>
      <c r="K109" s="170">
        <v>0</v>
      </c>
      <c r="L109" s="169">
        <v>0</v>
      </c>
      <c r="M109" s="169">
        <v>0</v>
      </c>
      <c r="N109" s="169">
        <v>0</v>
      </c>
      <c r="O109" s="170">
        <v>0</v>
      </c>
      <c r="P109" s="170">
        <v>0</v>
      </c>
      <c r="Q109" s="169">
        <v>0</v>
      </c>
      <c r="R109" s="170">
        <v>0</v>
      </c>
      <c r="S109" s="170">
        <v>0</v>
      </c>
      <c r="T109" s="15">
        <v>0</v>
      </c>
      <c r="U109" s="15">
        <v>0</v>
      </c>
      <c r="V109" s="15"/>
    </row>
    <row r="110" spans="1:22" x14ac:dyDescent="0.25">
      <c r="A110" s="166"/>
      <c r="B110" s="207" t="s">
        <v>90</v>
      </c>
      <c r="C110" s="208">
        <v>0</v>
      </c>
      <c r="D110" s="209">
        <v>0</v>
      </c>
      <c r="E110" s="209">
        <v>0</v>
      </c>
      <c r="F110" s="209">
        <v>0</v>
      </c>
      <c r="G110" s="209">
        <v>0</v>
      </c>
      <c r="H110" s="209">
        <v>0</v>
      </c>
      <c r="I110" s="209">
        <v>0</v>
      </c>
      <c r="J110" s="210">
        <v>0</v>
      </c>
      <c r="K110" s="210">
        <v>0</v>
      </c>
      <c r="L110" s="209">
        <v>0</v>
      </c>
      <c r="M110" s="209">
        <v>0</v>
      </c>
      <c r="N110" s="209">
        <v>0</v>
      </c>
      <c r="O110" s="210">
        <v>0</v>
      </c>
      <c r="P110" s="210">
        <v>0</v>
      </c>
      <c r="Q110" s="209">
        <v>0</v>
      </c>
      <c r="R110" s="210">
        <v>0</v>
      </c>
      <c r="S110" s="210">
        <v>0</v>
      </c>
      <c r="T110" s="15">
        <v>0</v>
      </c>
      <c r="U110" s="15">
        <v>0</v>
      </c>
      <c r="V110" s="15"/>
    </row>
    <row r="111" spans="1:22" x14ac:dyDescent="0.25">
      <c r="A111" s="166"/>
      <c r="B111" s="268" t="s">
        <v>91</v>
      </c>
      <c r="C111" s="524">
        <v>0</v>
      </c>
      <c r="D111" s="525">
        <v>0</v>
      </c>
      <c r="E111" s="525">
        <v>0</v>
      </c>
      <c r="F111" s="525">
        <v>0</v>
      </c>
      <c r="G111" s="525">
        <v>0</v>
      </c>
      <c r="H111" s="525">
        <v>0</v>
      </c>
      <c r="I111" s="525">
        <v>0</v>
      </c>
      <c r="J111" s="536">
        <v>0</v>
      </c>
      <c r="K111" s="536">
        <v>0</v>
      </c>
      <c r="L111" s="525">
        <v>0</v>
      </c>
      <c r="M111" s="525">
        <v>0</v>
      </c>
      <c r="N111" s="525">
        <v>0</v>
      </c>
      <c r="O111" s="536">
        <v>0</v>
      </c>
      <c r="P111" s="165">
        <v>0</v>
      </c>
      <c r="Q111" s="525">
        <v>0</v>
      </c>
      <c r="R111" s="536">
        <v>0</v>
      </c>
      <c r="S111" s="536">
        <v>0</v>
      </c>
      <c r="T111" s="15">
        <v>0</v>
      </c>
      <c r="U111" s="15">
        <v>0</v>
      </c>
      <c r="V111" s="15"/>
    </row>
    <row r="112" spans="1:22" x14ac:dyDescent="0.25">
      <c r="A112" s="166"/>
      <c r="B112" s="167" t="s">
        <v>92</v>
      </c>
      <c r="C112" s="168">
        <v>0</v>
      </c>
      <c r="D112" s="169">
        <v>0</v>
      </c>
      <c r="E112" s="169">
        <v>0</v>
      </c>
      <c r="F112" s="169">
        <v>0</v>
      </c>
      <c r="G112" s="169">
        <v>0</v>
      </c>
      <c r="H112" s="169">
        <v>0</v>
      </c>
      <c r="I112" s="169">
        <v>0</v>
      </c>
      <c r="J112" s="170">
        <v>0</v>
      </c>
      <c r="K112" s="170">
        <v>0</v>
      </c>
      <c r="L112" s="169">
        <v>0</v>
      </c>
      <c r="M112" s="169">
        <v>0</v>
      </c>
      <c r="N112" s="169">
        <v>0</v>
      </c>
      <c r="O112" s="170">
        <v>0</v>
      </c>
      <c r="P112" s="170">
        <v>0</v>
      </c>
      <c r="Q112" s="169">
        <v>0</v>
      </c>
      <c r="R112" s="170">
        <v>0</v>
      </c>
      <c r="S112" s="170">
        <v>0</v>
      </c>
      <c r="T112" s="15">
        <v>0</v>
      </c>
      <c r="U112" s="15">
        <v>0</v>
      </c>
      <c r="V112" s="15"/>
    </row>
    <row r="113" spans="1:22" ht="15.75" thickBot="1" x14ac:dyDescent="0.3">
      <c r="A113" s="540"/>
      <c r="B113" s="541" t="s">
        <v>93</v>
      </c>
      <c r="C113" s="542">
        <v>0</v>
      </c>
      <c r="D113" s="543">
        <v>0</v>
      </c>
      <c r="E113" s="543">
        <v>0</v>
      </c>
      <c r="F113" s="543">
        <v>0</v>
      </c>
      <c r="G113" s="543">
        <v>0</v>
      </c>
      <c r="H113" s="543">
        <v>0</v>
      </c>
      <c r="I113" s="543">
        <v>0</v>
      </c>
      <c r="J113" s="544">
        <v>0</v>
      </c>
      <c r="K113" s="544">
        <v>0</v>
      </c>
      <c r="L113" s="543">
        <v>0</v>
      </c>
      <c r="M113" s="543">
        <v>0</v>
      </c>
      <c r="N113" s="543">
        <v>0</v>
      </c>
      <c r="O113" s="544">
        <v>0</v>
      </c>
      <c r="P113" s="544">
        <v>0</v>
      </c>
      <c r="Q113" s="543">
        <v>0</v>
      </c>
      <c r="R113" s="544">
        <v>0</v>
      </c>
      <c r="S113" s="544">
        <v>0</v>
      </c>
      <c r="T113" s="15">
        <v>0</v>
      </c>
      <c r="U113" s="15">
        <v>0</v>
      </c>
      <c r="V113" s="15"/>
    </row>
    <row r="114" spans="1:22" x14ac:dyDescent="0.25">
      <c r="A114" s="523" t="s">
        <v>42</v>
      </c>
      <c r="B114" s="268" t="s">
        <v>59</v>
      </c>
      <c r="C114" s="524">
        <v>0.71188523245451441</v>
      </c>
      <c r="D114" s="525">
        <v>0.75568347627139276</v>
      </c>
      <c r="E114" s="525">
        <v>0.84260927169522126</v>
      </c>
      <c r="F114" s="525">
        <v>0.7998010832989676</v>
      </c>
      <c r="G114" s="525">
        <v>0</v>
      </c>
      <c r="H114" s="525">
        <v>1</v>
      </c>
      <c r="I114" s="525">
        <v>0</v>
      </c>
      <c r="J114" s="536">
        <v>0.73772270868904588</v>
      </c>
      <c r="K114" s="536">
        <v>0.66501466060626879</v>
      </c>
      <c r="L114" s="525">
        <v>0.71075768652302462</v>
      </c>
      <c r="M114" s="525">
        <v>0.61820933009428913</v>
      </c>
      <c r="N114" s="525">
        <v>0.39794629925353736</v>
      </c>
      <c r="O114" s="536">
        <v>0.68621879609088199</v>
      </c>
      <c r="P114" s="165">
        <v>0</v>
      </c>
      <c r="Q114" s="525">
        <v>0</v>
      </c>
      <c r="R114" s="536">
        <v>0</v>
      </c>
      <c r="S114" s="536">
        <v>0</v>
      </c>
      <c r="T114" s="15">
        <v>0</v>
      </c>
      <c r="U114" s="15">
        <v>0.70707708679795267</v>
      </c>
      <c r="V114" s="15"/>
    </row>
    <row r="115" spans="1:22" x14ac:dyDescent="0.25">
      <c r="A115" s="166"/>
      <c r="B115" s="167" t="s">
        <v>60</v>
      </c>
      <c r="C115" s="168">
        <v>0.69041694286179145</v>
      </c>
      <c r="D115" s="169">
        <v>0.73788150225760163</v>
      </c>
      <c r="E115" s="169">
        <v>0.83609110313626778</v>
      </c>
      <c r="F115" s="169">
        <v>0.79470257414293788</v>
      </c>
      <c r="G115" s="169">
        <v>0</v>
      </c>
      <c r="H115" s="169">
        <v>1</v>
      </c>
      <c r="I115" s="169">
        <v>0</v>
      </c>
      <c r="J115" s="170">
        <v>0.71883356014352495</v>
      </c>
      <c r="K115" s="170">
        <v>0.72541161991753123</v>
      </c>
      <c r="L115" s="169">
        <v>0.75274307115454597</v>
      </c>
      <c r="M115" s="169">
        <v>0.64590855038057504</v>
      </c>
      <c r="N115" s="169">
        <v>0.6183884716866247</v>
      </c>
      <c r="O115" s="170">
        <v>0.73616349050412078</v>
      </c>
      <c r="P115" s="170">
        <v>0</v>
      </c>
      <c r="Q115" s="169">
        <v>0</v>
      </c>
      <c r="R115" s="170">
        <v>0</v>
      </c>
      <c r="S115" s="170">
        <v>0</v>
      </c>
      <c r="T115" s="15">
        <v>0</v>
      </c>
      <c r="U115" s="15">
        <v>0.72891244163041635</v>
      </c>
      <c r="V115" s="15"/>
    </row>
    <row r="116" spans="1:22" x14ac:dyDescent="0.25">
      <c r="A116" s="166"/>
      <c r="B116" s="207" t="s">
        <v>772</v>
      </c>
      <c r="C116" s="208">
        <v>-2.1468289592722956</v>
      </c>
      <c r="D116" s="209">
        <v>-1.7801974013791133</v>
      </c>
      <c r="E116" s="209">
        <v>-0.65181685589534855</v>
      </c>
      <c r="F116" s="209">
        <v>-0.5098509156029718</v>
      </c>
      <c r="G116" s="209">
        <v>0</v>
      </c>
      <c r="H116" s="209">
        <v>0</v>
      </c>
      <c r="I116" s="209">
        <v>0</v>
      </c>
      <c r="J116" s="210">
        <v>-1.8889148545520928</v>
      </c>
      <c r="K116" s="210">
        <v>6.0396959311262428</v>
      </c>
      <c r="L116" s="209">
        <v>4.1985384631521345</v>
      </c>
      <c r="M116" s="209">
        <v>2.7699220286285908</v>
      </c>
      <c r="N116" s="530">
        <v>22.044217243308733</v>
      </c>
      <c r="O116" s="210">
        <v>4.9944694413238793</v>
      </c>
      <c r="P116" s="210">
        <v>0</v>
      </c>
      <c r="Q116" s="209">
        <v>0</v>
      </c>
      <c r="R116" s="210">
        <v>0</v>
      </c>
      <c r="S116" s="210">
        <v>0</v>
      </c>
      <c r="T116" s="15">
        <v>0</v>
      </c>
      <c r="U116" s="15">
        <v>2.1835354832463683</v>
      </c>
      <c r="V116" s="15"/>
    </row>
    <row r="117" spans="1:22" x14ac:dyDescent="0.25">
      <c r="A117" s="166"/>
      <c r="B117" s="268" t="s">
        <v>61</v>
      </c>
      <c r="C117" s="524">
        <v>8.4510537417534115E-2</v>
      </c>
      <c r="D117" s="525">
        <v>0.16966133435165931</v>
      </c>
      <c r="E117" s="525">
        <v>9.1371270474235912E-3</v>
      </c>
      <c r="F117" s="525">
        <v>2.6396315535948824E-2</v>
      </c>
      <c r="G117" s="525">
        <v>0</v>
      </c>
      <c r="H117" s="525">
        <v>0</v>
      </c>
      <c r="I117" s="525">
        <v>0</v>
      </c>
      <c r="J117" s="536">
        <v>7.885392245422948E-2</v>
      </c>
      <c r="K117" s="536">
        <v>1.4747855207601425E-2</v>
      </c>
      <c r="L117" s="525">
        <v>2.4531887385381871E-2</v>
      </c>
      <c r="M117" s="525">
        <v>5.4094783217359083E-2</v>
      </c>
      <c r="N117" s="525">
        <v>2.6293311546031865E-2</v>
      </c>
      <c r="O117" s="536">
        <v>2.1905841472432824E-2</v>
      </c>
      <c r="P117" s="165">
        <v>0</v>
      </c>
      <c r="Q117" s="525">
        <v>0</v>
      </c>
      <c r="R117" s="536">
        <v>0</v>
      </c>
      <c r="S117" s="536">
        <v>0</v>
      </c>
      <c r="T117" s="15">
        <v>0</v>
      </c>
      <c r="U117" s="15">
        <v>4.4968936456996456E-2</v>
      </c>
      <c r="V117" s="15"/>
    </row>
    <row r="118" spans="1:22" x14ac:dyDescent="0.25">
      <c r="A118" s="166"/>
      <c r="B118" s="167" t="s">
        <v>62</v>
      </c>
      <c r="C118" s="168">
        <v>8.071613523106981E-2</v>
      </c>
      <c r="D118" s="169">
        <v>0.1432203046343658</v>
      </c>
      <c r="E118" s="169">
        <v>1.0738400571467447E-2</v>
      </c>
      <c r="F118" s="169">
        <v>2.912828666412625E-2</v>
      </c>
      <c r="G118" s="169">
        <v>0</v>
      </c>
      <c r="H118" s="169">
        <v>0</v>
      </c>
      <c r="I118" s="169">
        <v>0</v>
      </c>
      <c r="J118" s="170">
        <v>7.4496434675643111E-2</v>
      </c>
      <c r="K118" s="170">
        <v>1.7595883530934119E-2</v>
      </c>
      <c r="L118" s="169">
        <v>2.9607878457730986E-2</v>
      </c>
      <c r="M118" s="169">
        <v>7.9135130958156066E-2</v>
      </c>
      <c r="N118" s="169">
        <v>3.0079155672823221E-2</v>
      </c>
      <c r="O118" s="170">
        <v>2.7052470169684529E-2</v>
      </c>
      <c r="P118" s="170">
        <v>0</v>
      </c>
      <c r="Q118" s="169">
        <v>0</v>
      </c>
      <c r="R118" s="170">
        <v>0</v>
      </c>
      <c r="S118" s="170">
        <v>0</v>
      </c>
      <c r="T118" s="15">
        <v>0</v>
      </c>
      <c r="U118" s="15">
        <v>4.6903588912620933E-2</v>
      </c>
      <c r="V118" s="15"/>
    </row>
    <row r="119" spans="1:22" x14ac:dyDescent="0.25">
      <c r="A119" s="166"/>
      <c r="B119" s="207" t="s">
        <v>63</v>
      </c>
      <c r="C119" s="208">
        <v>-0.37944021864643046</v>
      </c>
      <c r="D119" s="209">
        <v>-2.6441029717293505</v>
      </c>
      <c r="E119" s="209">
        <v>0.16012735240438555</v>
      </c>
      <c r="F119" s="209">
        <v>0.27319711281774267</v>
      </c>
      <c r="G119" s="209">
        <v>0</v>
      </c>
      <c r="H119" s="209">
        <v>0</v>
      </c>
      <c r="I119" s="209">
        <v>0</v>
      </c>
      <c r="J119" s="210">
        <v>-0.43574877785863692</v>
      </c>
      <c r="K119" s="210">
        <v>0.28480283233326947</v>
      </c>
      <c r="L119" s="209">
        <v>0.50759910723491153</v>
      </c>
      <c r="M119" s="209">
        <v>2.5040347740796984</v>
      </c>
      <c r="N119" s="209">
        <v>0.37858441267913551</v>
      </c>
      <c r="O119" s="210">
        <v>0.5146628697251705</v>
      </c>
      <c r="P119" s="210">
        <v>0</v>
      </c>
      <c r="Q119" s="209">
        <v>0</v>
      </c>
      <c r="R119" s="210">
        <v>0</v>
      </c>
      <c r="S119" s="210">
        <v>0</v>
      </c>
      <c r="T119" s="15">
        <v>0</v>
      </c>
      <c r="U119" s="15">
        <v>0.19346524556244776</v>
      </c>
      <c r="V119" s="15"/>
    </row>
    <row r="120" spans="1:22" x14ac:dyDescent="0.25">
      <c r="A120" s="166"/>
      <c r="B120" s="268" t="s">
        <v>64</v>
      </c>
      <c r="C120" s="524">
        <v>0.18572903180063291</v>
      </c>
      <c r="D120" s="525">
        <v>7.2338942464026473E-2</v>
      </c>
      <c r="E120" s="525">
        <v>0.13304687804434515</v>
      </c>
      <c r="F120" s="525">
        <v>0.17380260116508353</v>
      </c>
      <c r="G120" s="525">
        <v>0</v>
      </c>
      <c r="H120" s="525">
        <v>0</v>
      </c>
      <c r="I120" s="525">
        <v>0</v>
      </c>
      <c r="J120" s="536">
        <v>0.16799330259628822</v>
      </c>
      <c r="K120" s="536">
        <v>0.27655221895399662</v>
      </c>
      <c r="L120" s="525">
        <v>0.16128542397419066</v>
      </c>
      <c r="M120" s="525">
        <v>0.20319718367851114</v>
      </c>
      <c r="N120" s="525">
        <v>0.17114791844616928</v>
      </c>
      <c r="O120" s="536">
        <v>0.21034154886497078</v>
      </c>
      <c r="P120" s="165">
        <v>0</v>
      </c>
      <c r="Q120" s="525">
        <v>0</v>
      </c>
      <c r="R120" s="536">
        <v>0</v>
      </c>
      <c r="S120" s="536">
        <v>0</v>
      </c>
      <c r="T120" s="15">
        <v>0</v>
      </c>
      <c r="U120" s="15">
        <v>0.19319116189343241</v>
      </c>
      <c r="V120" s="15"/>
    </row>
    <row r="121" spans="1:22" x14ac:dyDescent="0.25">
      <c r="A121" s="166"/>
      <c r="B121" s="167" t="s">
        <v>65</v>
      </c>
      <c r="C121" s="168">
        <v>0.21292246259005446</v>
      </c>
      <c r="D121" s="169">
        <v>0.11641928972689911</v>
      </c>
      <c r="E121" s="169">
        <v>0.13284704741819173</v>
      </c>
      <c r="F121" s="169">
        <v>0.17614614404162779</v>
      </c>
      <c r="G121" s="169">
        <v>0</v>
      </c>
      <c r="H121" s="169">
        <v>0</v>
      </c>
      <c r="I121" s="169">
        <v>0</v>
      </c>
      <c r="J121" s="170">
        <v>0.19202866104338548</v>
      </c>
      <c r="K121" s="170">
        <v>0.23746370585265056</v>
      </c>
      <c r="L121" s="169">
        <v>0.15884384081325267</v>
      </c>
      <c r="M121" s="169">
        <v>0.21423603807037955</v>
      </c>
      <c r="N121" s="169">
        <v>0.2119748325553075</v>
      </c>
      <c r="O121" s="170">
        <v>0.19331558247498981</v>
      </c>
      <c r="P121" s="170">
        <v>0</v>
      </c>
      <c r="Q121" s="169">
        <v>0</v>
      </c>
      <c r="R121" s="170">
        <v>0</v>
      </c>
      <c r="S121" s="170">
        <v>0</v>
      </c>
      <c r="T121" s="15">
        <v>0</v>
      </c>
      <c r="U121" s="15">
        <v>0.1927771192496327</v>
      </c>
      <c r="V121" s="15"/>
    </row>
    <row r="122" spans="1:22" x14ac:dyDescent="0.25">
      <c r="A122" s="166"/>
      <c r="B122" s="207" t="s">
        <v>66</v>
      </c>
      <c r="C122" s="208">
        <v>2.7193430789421544</v>
      </c>
      <c r="D122" s="209">
        <v>4.408034726287263</v>
      </c>
      <c r="E122" s="209">
        <v>-1.9983062615341884E-2</v>
      </c>
      <c r="F122" s="209">
        <v>0.23435428765442579</v>
      </c>
      <c r="G122" s="209">
        <v>0</v>
      </c>
      <c r="H122" s="209">
        <v>0</v>
      </c>
      <c r="I122" s="209">
        <v>0</v>
      </c>
      <c r="J122" s="210">
        <v>2.4035358447097255</v>
      </c>
      <c r="K122" s="210">
        <v>-3.9088513101346063</v>
      </c>
      <c r="L122" s="209">
        <v>-0.24415831609379823</v>
      </c>
      <c r="M122" s="209">
        <v>1.1038854391868413</v>
      </c>
      <c r="N122" s="209">
        <v>4.0826914109138217</v>
      </c>
      <c r="O122" s="210">
        <v>-1.7025966389980969</v>
      </c>
      <c r="P122" s="210">
        <v>0</v>
      </c>
      <c r="Q122" s="209">
        <v>0</v>
      </c>
      <c r="R122" s="210">
        <v>0</v>
      </c>
      <c r="S122" s="210">
        <v>0</v>
      </c>
      <c r="T122" s="15">
        <v>0</v>
      </c>
      <c r="U122" s="15">
        <v>-4.1404264379971134E-2</v>
      </c>
      <c r="V122" s="15"/>
    </row>
    <row r="123" spans="1:22" x14ac:dyDescent="0.25">
      <c r="A123" s="166"/>
      <c r="B123" s="268" t="s">
        <v>67</v>
      </c>
      <c r="C123" s="524">
        <v>0</v>
      </c>
      <c r="D123" s="525">
        <v>0</v>
      </c>
      <c r="E123" s="525">
        <v>0</v>
      </c>
      <c r="F123" s="525">
        <v>0</v>
      </c>
      <c r="G123" s="525">
        <v>0</v>
      </c>
      <c r="H123" s="525">
        <v>0</v>
      </c>
      <c r="I123" s="525">
        <v>0</v>
      </c>
      <c r="J123" s="536">
        <v>0</v>
      </c>
      <c r="K123" s="536">
        <v>1.2391205678235196E-4</v>
      </c>
      <c r="L123" s="525">
        <v>7.7120809098642218E-4</v>
      </c>
      <c r="M123" s="525">
        <v>1.0575616585004324E-2</v>
      </c>
      <c r="N123" s="525">
        <v>0</v>
      </c>
      <c r="O123" s="536">
        <v>9.5424088474402053E-4</v>
      </c>
      <c r="P123" s="165">
        <v>0</v>
      </c>
      <c r="Q123" s="525">
        <v>0</v>
      </c>
      <c r="R123" s="536">
        <v>0</v>
      </c>
      <c r="S123" s="536">
        <v>0</v>
      </c>
      <c r="T123" s="15">
        <v>0</v>
      </c>
      <c r="U123" s="15">
        <v>5.6778803534879481E-4</v>
      </c>
      <c r="V123" s="15"/>
    </row>
    <row r="124" spans="1:22" x14ac:dyDescent="0.25">
      <c r="A124" s="166"/>
      <c r="B124" s="167" t="s">
        <v>68</v>
      </c>
      <c r="C124" s="168">
        <v>0</v>
      </c>
      <c r="D124" s="169">
        <v>0</v>
      </c>
      <c r="E124" s="169">
        <v>0</v>
      </c>
      <c r="F124" s="169">
        <v>0</v>
      </c>
      <c r="G124" s="169">
        <v>0</v>
      </c>
      <c r="H124" s="169">
        <v>0</v>
      </c>
      <c r="I124" s="169">
        <v>0</v>
      </c>
      <c r="J124" s="170">
        <v>0</v>
      </c>
      <c r="K124" s="170">
        <v>7.7949302774524092E-4</v>
      </c>
      <c r="L124" s="169">
        <v>9.2657098562469384E-3</v>
      </c>
      <c r="M124" s="169">
        <v>7.1585879443798106E-3</v>
      </c>
      <c r="N124" s="169">
        <v>0</v>
      </c>
      <c r="O124" s="170">
        <v>5.7058871308648534E-3</v>
      </c>
      <c r="P124" s="170">
        <v>0</v>
      </c>
      <c r="Q124" s="169">
        <v>0</v>
      </c>
      <c r="R124" s="170">
        <v>0</v>
      </c>
      <c r="S124" s="170">
        <v>0</v>
      </c>
      <c r="T124" s="15">
        <v>0</v>
      </c>
      <c r="U124" s="15">
        <v>3.318476126154964E-3</v>
      </c>
      <c r="V124" s="15"/>
    </row>
    <row r="125" spans="1:22" x14ac:dyDescent="0.25">
      <c r="A125" s="166"/>
      <c r="B125" s="207" t="s">
        <v>69</v>
      </c>
      <c r="C125" s="208">
        <v>0</v>
      </c>
      <c r="D125" s="209">
        <v>0</v>
      </c>
      <c r="E125" s="209">
        <v>0</v>
      </c>
      <c r="F125" s="209">
        <v>0</v>
      </c>
      <c r="G125" s="209">
        <v>0</v>
      </c>
      <c r="H125" s="209">
        <v>0</v>
      </c>
      <c r="I125" s="209">
        <v>0</v>
      </c>
      <c r="J125" s="210">
        <v>0</v>
      </c>
      <c r="K125" s="210">
        <v>6.5558097096288903E-2</v>
      </c>
      <c r="L125" s="209">
        <v>0.84945017652605159</v>
      </c>
      <c r="M125" s="209">
        <v>-0.34170286406245132</v>
      </c>
      <c r="N125" s="209">
        <v>0</v>
      </c>
      <c r="O125" s="210">
        <v>0.47516462461208331</v>
      </c>
      <c r="P125" s="210">
        <v>0</v>
      </c>
      <c r="Q125" s="209">
        <v>0</v>
      </c>
      <c r="R125" s="210">
        <v>0</v>
      </c>
      <c r="S125" s="210">
        <v>0</v>
      </c>
      <c r="T125" s="15">
        <v>0</v>
      </c>
      <c r="U125" s="15">
        <v>0.27506880908061693</v>
      </c>
      <c r="V125" s="15"/>
    </row>
    <row r="126" spans="1:22" x14ac:dyDescent="0.25">
      <c r="A126" s="166"/>
      <c r="B126" s="268" t="s">
        <v>70</v>
      </c>
      <c r="C126" s="524">
        <v>1.6733790902004147E-2</v>
      </c>
      <c r="D126" s="525">
        <v>2.316246912921456E-3</v>
      </c>
      <c r="E126" s="525">
        <v>1.5206723213009988E-2</v>
      </c>
      <c r="F126" s="525">
        <v>0</v>
      </c>
      <c r="G126" s="525">
        <v>0</v>
      </c>
      <c r="H126" s="525">
        <v>0</v>
      </c>
      <c r="I126" s="525">
        <v>0</v>
      </c>
      <c r="J126" s="536">
        <v>1.4587251610387937E-2</v>
      </c>
      <c r="K126" s="536">
        <v>3.850091472158771E-2</v>
      </c>
      <c r="L126" s="525">
        <v>0.10240707056483891</v>
      </c>
      <c r="M126" s="525">
        <v>0.1012475810104171</v>
      </c>
      <c r="N126" s="525">
        <v>0.40461247075426154</v>
      </c>
      <c r="O126" s="536">
        <v>7.7795983128255419E-2</v>
      </c>
      <c r="P126" s="165">
        <v>0</v>
      </c>
      <c r="Q126" s="525">
        <v>0</v>
      </c>
      <c r="R126" s="536">
        <v>0</v>
      </c>
      <c r="S126" s="536">
        <v>0</v>
      </c>
      <c r="T126" s="15">
        <v>0</v>
      </c>
      <c r="U126" s="15">
        <v>5.2197421179937295E-2</v>
      </c>
      <c r="V126" s="15"/>
    </row>
    <row r="127" spans="1:22" x14ac:dyDescent="0.25">
      <c r="A127" s="166"/>
      <c r="B127" s="167" t="s">
        <v>71</v>
      </c>
      <c r="C127" s="168">
        <v>1.4752854758375879E-2</v>
      </c>
      <c r="D127" s="169">
        <v>2.4789033811334214E-3</v>
      </c>
      <c r="E127" s="169">
        <v>2.0323448874073065E-2</v>
      </c>
      <c r="F127" s="169">
        <v>2.2995151308095606E-5</v>
      </c>
      <c r="G127" s="169">
        <v>0</v>
      </c>
      <c r="H127" s="169">
        <v>0</v>
      </c>
      <c r="I127" s="169">
        <v>0</v>
      </c>
      <c r="J127" s="170">
        <v>1.3759146805437512E-2</v>
      </c>
      <c r="K127" s="170">
        <v>1.5959119921211583E-2</v>
      </c>
      <c r="L127" s="169">
        <v>4.945106022494377E-2</v>
      </c>
      <c r="M127" s="169">
        <v>4.108621644478979E-2</v>
      </c>
      <c r="N127" s="169">
        <v>0.13955754008524457</v>
      </c>
      <c r="O127" s="170">
        <v>3.6016238616436998E-2</v>
      </c>
      <c r="P127" s="170">
        <v>0</v>
      </c>
      <c r="Q127" s="169">
        <v>0</v>
      </c>
      <c r="R127" s="170">
        <v>0</v>
      </c>
      <c r="S127" s="170">
        <v>0</v>
      </c>
      <c r="T127" s="15">
        <v>0</v>
      </c>
      <c r="U127" s="15">
        <v>2.6703606819886812E-2</v>
      </c>
      <c r="V127" s="15"/>
    </row>
    <row r="128" spans="1:22" x14ac:dyDescent="0.25">
      <c r="A128" s="166"/>
      <c r="B128" s="207" t="s">
        <v>72</v>
      </c>
      <c r="C128" s="208">
        <v>-0.1980936143628268</v>
      </c>
      <c r="D128" s="209">
        <v>1.6265646821196546E-2</v>
      </c>
      <c r="E128" s="209">
        <v>0.51167256610630762</v>
      </c>
      <c r="F128" s="209">
        <v>0</v>
      </c>
      <c r="G128" s="209">
        <v>0</v>
      </c>
      <c r="H128" s="209">
        <v>0</v>
      </c>
      <c r="I128" s="209">
        <v>0</v>
      </c>
      <c r="J128" s="210">
        <v>-8.281048049504254E-2</v>
      </c>
      <c r="K128" s="210">
        <v>-2.2541794800376125</v>
      </c>
      <c r="L128" s="209">
        <v>-5.2956010339895148</v>
      </c>
      <c r="M128" s="209">
        <v>-6.0161364565627311</v>
      </c>
      <c r="N128" s="530">
        <v>-26.505493066901696</v>
      </c>
      <c r="O128" s="210">
        <v>-4.177974451181842</v>
      </c>
      <c r="P128" s="210">
        <v>0</v>
      </c>
      <c r="Q128" s="209">
        <v>0</v>
      </c>
      <c r="R128" s="210">
        <v>0</v>
      </c>
      <c r="S128" s="210">
        <v>0</v>
      </c>
      <c r="T128" s="15">
        <v>0</v>
      </c>
      <c r="U128" s="15">
        <v>-2.5493814360050484</v>
      </c>
      <c r="V128" s="15"/>
    </row>
    <row r="129" spans="1:22" x14ac:dyDescent="0.25">
      <c r="A129" s="166"/>
      <c r="B129" s="268" t="s">
        <v>73</v>
      </c>
      <c r="C129" s="524">
        <v>1.1414074253144669E-3</v>
      </c>
      <c r="D129" s="525">
        <v>0</v>
      </c>
      <c r="E129" s="525">
        <v>0</v>
      </c>
      <c r="F129" s="525">
        <v>0</v>
      </c>
      <c r="G129" s="525">
        <v>0</v>
      </c>
      <c r="H129" s="525">
        <v>0</v>
      </c>
      <c r="I129" s="525">
        <v>0</v>
      </c>
      <c r="J129" s="536">
        <v>8.4281465004847262E-4</v>
      </c>
      <c r="K129" s="536">
        <v>5.0604384537631672E-3</v>
      </c>
      <c r="L129" s="525">
        <v>2.4672346157751158E-4</v>
      </c>
      <c r="M129" s="525">
        <v>1.2675505414419237E-2</v>
      </c>
      <c r="N129" s="525">
        <v>0</v>
      </c>
      <c r="O129" s="536">
        <v>2.7835895587150035E-3</v>
      </c>
      <c r="P129" s="165">
        <v>0</v>
      </c>
      <c r="Q129" s="525">
        <v>0</v>
      </c>
      <c r="R129" s="536">
        <v>0</v>
      </c>
      <c r="S129" s="536">
        <v>0</v>
      </c>
      <c r="T129" s="15">
        <v>0</v>
      </c>
      <c r="U129" s="15">
        <v>1.9976056363324116E-3</v>
      </c>
      <c r="V129" s="15"/>
    </row>
    <row r="130" spans="1:22" x14ac:dyDescent="0.25">
      <c r="A130" s="166"/>
      <c r="B130" s="167" t="s">
        <v>74</v>
      </c>
      <c r="C130" s="168">
        <v>1.1916045587083697E-3</v>
      </c>
      <c r="D130" s="169">
        <v>0</v>
      </c>
      <c r="E130" s="169">
        <v>0</v>
      </c>
      <c r="F130" s="169">
        <v>0</v>
      </c>
      <c r="G130" s="169">
        <v>0</v>
      </c>
      <c r="H130" s="169">
        <v>0</v>
      </c>
      <c r="I130" s="169">
        <v>0</v>
      </c>
      <c r="J130" s="170">
        <v>8.8219733200891562E-4</v>
      </c>
      <c r="K130" s="170">
        <v>2.7901777499272523E-3</v>
      </c>
      <c r="L130" s="169">
        <v>8.8439493279683659E-5</v>
      </c>
      <c r="M130" s="169">
        <v>1.2475476201719779E-2</v>
      </c>
      <c r="N130" s="169">
        <v>0</v>
      </c>
      <c r="O130" s="170">
        <v>1.7463311039029952E-3</v>
      </c>
      <c r="P130" s="170">
        <v>0</v>
      </c>
      <c r="Q130" s="169">
        <v>0</v>
      </c>
      <c r="R130" s="170">
        <v>0</v>
      </c>
      <c r="S130" s="170">
        <v>0</v>
      </c>
      <c r="T130" s="15">
        <v>0</v>
      </c>
      <c r="U130" s="15">
        <v>1.3847672612882726E-3</v>
      </c>
      <c r="V130" s="15"/>
    </row>
    <row r="131" spans="1:22" ht="15.75" thickBot="1" x14ac:dyDescent="0.3">
      <c r="A131" s="166"/>
      <c r="B131" s="531" t="s">
        <v>75</v>
      </c>
      <c r="C131" s="532">
        <v>5.0197133393902783E-3</v>
      </c>
      <c r="D131" s="533">
        <v>0</v>
      </c>
      <c r="E131" s="533">
        <v>0</v>
      </c>
      <c r="F131" s="533">
        <v>0</v>
      </c>
      <c r="G131" s="533">
        <v>0</v>
      </c>
      <c r="H131" s="533">
        <v>0</v>
      </c>
      <c r="I131" s="533">
        <v>0</v>
      </c>
      <c r="J131" s="537">
        <v>3.9382681960443006E-3</v>
      </c>
      <c r="K131" s="537">
        <v>-0.22702607038359149</v>
      </c>
      <c r="L131" s="533">
        <v>-1.5828396829782793E-2</v>
      </c>
      <c r="M131" s="533">
        <v>-2.0002921269945788E-2</v>
      </c>
      <c r="N131" s="533">
        <v>0</v>
      </c>
      <c r="O131" s="537">
        <v>-0.10372584548120083</v>
      </c>
      <c r="P131" s="537">
        <v>0</v>
      </c>
      <c r="Q131" s="533">
        <v>0</v>
      </c>
      <c r="R131" s="537">
        <v>0</v>
      </c>
      <c r="S131" s="537">
        <v>0</v>
      </c>
      <c r="T131" s="15">
        <v>0</v>
      </c>
      <c r="U131" s="15">
        <v>-6.1283837504413907E-2</v>
      </c>
      <c r="V131" s="15"/>
    </row>
    <row r="132" spans="1:22" ht="15.75" thickTop="1" x14ac:dyDescent="0.25">
      <c r="A132" s="166"/>
      <c r="B132" s="167" t="s">
        <v>76</v>
      </c>
      <c r="C132" s="168">
        <v>0.72715458115260301</v>
      </c>
      <c r="D132" s="169">
        <v>0.60011711092441256</v>
      </c>
      <c r="E132" s="169">
        <v>0.57868828850845078</v>
      </c>
      <c r="F132" s="169">
        <v>0.54012435838584483</v>
      </c>
      <c r="G132" s="169">
        <v>0</v>
      </c>
      <c r="H132" s="169">
        <v>0</v>
      </c>
      <c r="I132" s="169">
        <v>0</v>
      </c>
      <c r="J132" s="170">
        <v>0.70169678394467783</v>
      </c>
      <c r="K132" s="170">
        <v>0</v>
      </c>
      <c r="L132" s="169">
        <v>0</v>
      </c>
      <c r="M132" s="169">
        <v>0</v>
      </c>
      <c r="N132" s="169">
        <v>0</v>
      </c>
      <c r="O132" s="170">
        <v>0</v>
      </c>
      <c r="P132" s="170">
        <v>0</v>
      </c>
      <c r="Q132" s="169">
        <v>0</v>
      </c>
      <c r="R132" s="170">
        <v>0</v>
      </c>
      <c r="S132" s="170">
        <v>0</v>
      </c>
      <c r="T132" s="15">
        <v>0</v>
      </c>
      <c r="U132" s="15">
        <v>0.70169678394467783</v>
      </c>
      <c r="V132" s="15"/>
    </row>
    <row r="133" spans="1:22" x14ac:dyDescent="0.25">
      <c r="A133" s="166"/>
      <c r="B133" s="167" t="s">
        <v>77</v>
      </c>
      <c r="C133" s="168">
        <v>0.71692455819806977</v>
      </c>
      <c r="D133" s="169">
        <v>0.59136078895066546</v>
      </c>
      <c r="E133" s="169">
        <v>0.55949944907917515</v>
      </c>
      <c r="F133" s="169">
        <v>0.51187780293947871</v>
      </c>
      <c r="G133" s="169">
        <v>0</v>
      </c>
      <c r="H133" s="169">
        <v>0</v>
      </c>
      <c r="I133" s="169">
        <v>0</v>
      </c>
      <c r="J133" s="170">
        <v>0.69128583977470848</v>
      </c>
      <c r="K133" s="170">
        <v>0</v>
      </c>
      <c r="L133" s="169">
        <v>0</v>
      </c>
      <c r="M133" s="169">
        <v>0</v>
      </c>
      <c r="N133" s="169">
        <v>0</v>
      </c>
      <c r="O133" s="170">
        <v>0</v>
      </c>
      <c r="P133" s="170">
        <v>0</v>
      </c>
      <c r="Q133" s="169">
        <v>0</v>
      </c>
      <c r="R133" s="170">
        <v>0</v>
      </c>
      <c r="S133" s="170">
        <v>0</v>
      </c>
      <c r="T133" s="15">
        <v>0</v>
      </c>
      <c r="U133" s="15">
        <v>0.69128583977470848</v>
      </c>
      <c r="V133" s="15"/>
    </row>
    <row r="134" spans="1:22" x14ac:dyDescent="0.25">
      <c r="A134" s="166"/>
      <c r="B134" s="207" t="s">
        <v>78</v>
      </c>
      <c r="C134" s="208">
        <v>-1.0230022954533236</v>
      </c>
      <c r="D134" s="209">
        <v>-0.87563219737470943</v>
      </c>
      <c r="E134" s="209">
        <v>-1.9188839429275628</v>
      </c>
      <c r="F134" s="209">
        <v>-2.8246555446366117</v>
      </c>
      <c r="G134" s="209">
        <v>0</v>
      </c>
      <c r="H134" s="209">
        <v>0</v>
      </c>
      <c r="I134" s="209">
        <v>0</v>
      </c>
      <c r="J134" s="210">
        <v>-1.0410944169969349</v>
      </c>
      <c r="K134" s="210">
        <v>0</v>
      </c>
      <c r="L134" s="209">
        <v>0</v>
      </c>
      <c r="M134" s="209">
        <v>0</v>
      </c>
      <c r="N134" s="209">
        <v>0</v>
      </c>
      <c r="O134" s="210">
        <v>0</v>
      </c>
      <c r="P134" s="210">
        <v>0</v>
      </c>
      <c r="Q134" s="209">
        <v>0</v>
      </c>
      <c r="R134" s="210">
        <v>0</v>
      </c>
      <c r="S134" s="210">
        <v>0</v>
      </c>
      <c r="T134" s="15">
        <v>0</v>
      </c>
      <c r="U134" s="15">
        <v>-1.0410944169969349</v>
      </c>
      <c r="V134" s="15"/>
    </row>
    <row r="135" spans="1:22" x14ac:dyDescent="0.25">
      <c r="A135" s="166"/>
      <c r="B135" s="268" t="s">
        <v>79</v>
      </c>
      <c r="C135" s="524">
        <v>6.8040256918973974E-2</v>
      </c>
      <c r="D135" s="525">
        <v>0.1594999872705517</v>
      </c>
      <c r="E135" s="525">
        <v>0.18970896919498498</v>
      </c>
      <c r="F135" s="525">
        <v>6.8397112214664268E-2</v>
      </c>
      <c r="G135" s="525">
        <v>0</v>
      </c>
      <c r="H135" s="525">
        <v>0</v>
      </c>
      <c r="I135" s="525">
        <v>0</v>
      </c>
      <c r="J135" s="536">
        <v>8.5135253737005562E-2</v>
      </c>
      <c r="K135" s="536">
        <v>0</v>
      </c>
      <c r="L135" s="525">
        <v>0</v>
      </c>
      <c r="M135" s="525">
        <v>0</v>
      </c>
      <c r="N135" s="525">
        <v>0</v>
      </c>
      <c r="O135" s="536">
        <v>0</v>
      </c>
      <c r="P135" s="165">
        <v>0</v>
      </c>
      <c r="Q135" s="525">
        <v>0</v>
      </c>
      <c r="R135" s="536">
        <v>0</v>
      </c>
      <c r="S135" s="536">
        <v>0</v>
      </c>
      <c r="T135" s="15">
        <v>0</v>
      </c>
      <c r="U135" s="15">
        <v>8.5135253737005562E-2</v>
      </c>
      <c r="V135" s="15"/>
    </row>
    <row r="136" spans="1:22" x14ac:dyDescent="0.25">
      <c r="A136" s="166"/>
      <c r="B136" s="167" t="s">
        <v>80</v>
      </c>
      <c r="C136" s="168">
        <v>6.5538691311039177E-2</v>
      </c>
      <c r="D136" s="169">
        <v>0.14646909356210219</v>
      </c>
      <c r="E136" s="169">
        <v>0.18364027493572591</v>
      </c>
      <c r="F136" s="169">
        <v>0.10443585986412682</v>
      </c>
      <c r="G136" s="169">
        <v>0</v>
      </c>
      <c r="H136" s="169">
        <v>0</v>
      </c>
      <c r="I136" s="169">
        <v>0</v>
      </c>
      <c r="J136" s="170">
        <v>8.190802589185095E-2</v>
      </c>
      <c r="K136" s="170">
        <v>0</v>
      </c>
      <c r="L136" s="169">
        <v>0</v>
      </c>
      <c r="M136" s="169">
        <v>0</v>
      </c>
      <c r="N136" s="169">
        <v>0</v>
      </c>
      <c r="O136" s="170">
        <v>0</v>
      </c>
      <c r="P136" s="170">
        <v>0</v>
      </c>
      <c r="Q136" s="169">
        <v>0</v>
      </c>
      <c r="R136" s="170">
        <v>0</v>
      </c>
      <c r="S136" s="170">
        <v>0</v>
      </c>
      <c r="T136" s="15">
        <v>0</v>
      </c>
      <c r="U136" s="15">
        <v>8.190802589185095E-2</v>
      </c>
      <c r="V136" s="15"/>
    </row>
    <row r="137" spans="1:22" x14ac:dyDescent="0.25">
      <c r="A137" s="166"/>
      <c r="B137" s="207" t="s">
        <v>81</v>
      </c>
      <c r="C137" s="208">
        <v>-0.2501565607934797</v>
      </c>
      <c r="D137" s="209">
        <v>-1.3030893708449509</v>
      </c>
      <c r="E137" s="209">
        <v>-0.6068694259259072</v>
      </c>
      <c r="F137" s="209">
        <v>3.603874764946255</v>
      </c>
      <c r="G137" s="209">
        <v>0</v>
      </c>
      <c r="H137" s="209">
        <v>0</v>
      </c>
      <c r="I137" s="209">
        <v>0</v>
      </c>
      <c r="J137" s="210">
        <v>-0.32272278451546121</v>
      </c>
      <c r="K137" s="210">
        <v>0</v>
      </c>
      <c r="L137" s="209">
        <v>0</v>
      </c>
      <c r="M137" s="209">
        <v>0</v>
      </c>
      <c r="N137" s="209">
        <v>0</v>
      </c>
      <c r="O137" s="210">
        <v>0</v>
      </c>
      <c r="P137" s="210">
        <v>0</v>
      </c>
      <c r="Q137" s="209">
        <v>0</v>
      </c>
      <c r="R137" s="210">
        <v>0</v>
      </c>
      <c r="S137" s="210">
        <v>0</v>
      </c>
      <c r="T137" s="15">
        <v>0</v>
      </c>
      <c r="U137" s="15">
        <v>-0.32272278451546121</v>
      </c>
      <c r="V137" s="15"/>
    </row>
    <row r="138" spans="1:22" x14ac:dyDescent="0.25">
      <c r="A138" s="166"/>
      <c r="B138" s="268" t="s">
        <v>82</v>
      </c>
      <c r="C138" s="524">
        <v>0.1972616503492112</v>
      </c>
      <c r="D138" s="525">
        <v>0.22552763563227168</v>
      </c>
      <c r="E138" s="525">
        <v>0.2044677963438955</v>
      </c>
      <c r="F138" s="525">
        <v>0.3914785293994909</v>
      </c>
      <c r="G138" s="525">
        <v>0</v>
      </c>
      <c r="H138" s="525">
        <v>0</v>
      </c>
      <c r="I138" s="525">
        <v>0</v>
      </c>
      <c r="J138" s="536">
        <v>0.20349031203627421</v>
      </c>
      <c r="K138" s="536">
        <v>0</v>
      </c>
      <c r="L138" s="525">
        <v>0</v>
      </c>
      <c r="M138" s="525">
        <v>0</v>
      </c>
      <c r="N138" s="525">
        <v>0</v>
      </c>
      <c r="O138" s="536">
        <v>0</v>
      </c>
      <c r="P138" s="165">
        <v>0</v>
      </c>
      <c r="Q138" s="525">
        <v>0</v>
      </c>
      <c r="R138" s="536">
        <v>0</v>
      </c>
      <c r="S138" s="536">
        <v>0</v>
      </c>
      <c r="T138" s="15">
        <v>0</v>
      </c>
      <c r="U138" s="15">
        <v>0.20349031203627421</v>
      </c>
      <c r="V138" s="15"/>
    </row>
    <row r="139" spans="1:22" x14ac:dyDescent="0.25">
      <c r="A139" s="166"/>
      <c r="B139" s="167" t="s">
        <v>83</v>
      </c>
      <c r="C139" s="168">
        <v>0.2126050961691546</v>
      </c>
      <c r="D139" s="169">
        <v>0.24965407934790812</v>
      </c>
      <c r="E139" s="169">
        <v>0.21201269741329556</v>
      </c>
      <c r="F139" s="169">
        <v>0.3836863371963945</v>
      </c>
      <c r="G139" s="169">
        <v>0</v>
      </c>
      <c r="H139" s="169">
        <v>0</v>
      </c>
      <c r="I139" s="169">
        <v>0</v>
      </c>
      <c r="J139" s="170">
        <v>0.21789804474216282</v>
      </c>
      <c r="K139" s="170">
        <v>0</v>
      </c>
      <c r="L139" s="169">
        <v>0</v>
      </c>
      <c r="M139" s="169">
        <v>0</v>
      </c>
      <c r="N139" s="169">
        <v>0</v>
      </c>
      <c r="O139" s="170">
        <v>0</v>
      </c>
      <c r="P139" s="170">
        <v>0</v>
      </c>
      <c r="Q139" s="169">
        <v>0</v>
      </c>
      <c r="R139" s="170">
        <v>0</v>
      </c>
      <c r="S139" s="170">
        <v>0</v>
      </c>
      <c r="T139" s="15">
        <v>0</v>
      </c>
      <c r="U139" s="15">
        <v>0.21789804474216282</v>
      </c>
      <c r="V139" s="15"/>
    </row>
    <row r="140" spans="1:22" x14ac:dyDescent="0.25">
      <c r="A140" s="166"/>
      <c r="B140" s="207" t="s">
        <v>84</v>
      </c>
      <c r="C140" s="208">
        <v>1.5343445819943402</v>
      </c>
      <c r="D140" s="209">
        <v>2.4126443715636436</v>
      </c>
      <c r="E140" s="209">
        <v>0.75449010694000618</v>
      </c>
      <c r="F140" s="209">
        <v>-0.77921922030964041</v>
      </c>
      <c r="G140" s="209">
        <v>0</v>
      </c>
      <c r="H140" s="209">
        <v>0</v>
      </c>
      <c r="I140" s="209">
        <v>0</v>
      </c>
      <c r="J140" s="210">
        <v>1.4407732705888603</v>
      </c>
      <c r="K140" s="210">
        <v>0</v>
      </c>
      <c r="L140" s="209">
        <v>0</v>
      </c>
      <c r="M140" s="209">
        <v>0</v>
      </c>
      <c r="N140" s="209">
        <v>0</v>
      </c>
      <c r="O140" s="210">
        <v>0</v>
      </c>
      <c r="P140" s="210">
        <v>0</v>
      </c>
      <c r="Q140" s="209">
        <v>0</v>
      </c>
      <c r="R140" s="210">
        <v>0</v>
      </c>
      <c r="S140" s="210">
        <v>0</v>
      </c>
      <c r="T140" s="15">
        <v>0</v>
      </c>
      <c r="U140" s="15">
        <v>1.4407732705888603</v>
      </c>
      <c r="V140" s="15"/>
    </row>
    <row r="141" spans="1:22" x14ac:dyDescent="0.25">
      <c r="A141" s="166"/>
      <c r="B141" s="268" t="s">
        <v>85</v>
      </c>
      <c r="C141" s="524">
        <v>0</v>
      </c>
      <c r="D141" s="525">
        <v>0</v>
      </c>
      <c r="E141" s="525">
        <v>0</v>
      </c>
      <c r="F141" s="525">
        <v>0</v>
      </c>
      <c r="G141" s="525">
        <v>0</v>
      </c>
      <c r="H141" s="525">
        <v>0</v>
      </c>
      <c r="I141" s="525">
        <v>0</v>
      </c>
      <c r="J141" s="536">
        <v>0</v>
      </c>
      <c r="K141" s="536">
        <v>0</v>
      </c>
      <c r="L141" s="525">
        <v>0</v>
      </c>
      <c r="M141" s="525">
        <v>0</v>
      </c>
      <c r="N141" s="525">
        <v>0</v>
      </c>
      <c r="O141" s="536">
        <v>0</v>
      </c>
      <c r="P141" s="165">
        <v>0</v>
      </c>
      <c r="Q141" s="525">
        <v>0</v>
      </c>
      <c r="R141" s="536">
        <v>0</v>
      </c>
      <c r="S141" s="536">
        <v>0</v>
      </c>
      <c r="T141" s="15">
        <v>0</v>
      </c>
      <c r="U141" s="15">
        <v>0</v>
      </c>
      <c r="V141" s="15"/>
    </row>
    <row r="142" spans="1:22" x14ac:dyDescent="0.25">
      <c r="A142" s="166"/>
      <c r="B142" s="167" t="s">
        <v>86</v>
      </c>
      <c r="C142" s="168">
        <v>0</v>
      </c>
      <c r="D142" s="169">
        <v>0</v>
      </c>
      <c r="E142" s="169">
        <v>0</v>
      </c>
      <c r="F142" s="169">
        <v>0</v>
      </c>
      <c r="G142" s="169">
        <v>0</v>
      </c>
      <c r="H142" s="169">
        <v>0</v>
      </c>
      <c r="I142" s="169">
        <v>0</v>
      </c>
      <c r="J142" s="170">
        <v>0</v>
      </c>
      <c r="K142" s="170">
        <v>0</v>
      </c>
      <c r="L142" s="169">
        <v>0</v>
      </c>
      <c r="M142" s="169">
        <v>0</v>
      </c>
      <c r="N142" s="169">
        <v>0</v>
      </c>
      <c r="O142" s="170">
        <v>0</v>
      </c>
      <c r="P142" s="170">
        <v>0</v>
      </c>
      <c r="Q142" s="169">
        <v>0</v>
      </c>
      <c r="R142" s="170">
        <v>0</v>
      </c>
      <c r="S142" s="170">
        <v>0</v>
      </c>
      <c r="T142" s="15">
        <v>0</v>
      </c>
      <c r="U142" s="15">
        <v>0</v>
      </c>
      <c r="V142" s="15"/>
    </row>
    <row r="143" spans="1:22" x14ac:dyDescent="0.25">
      <c r="A143" s="166"/>
      <c r="B143" s="207" t="s">
        <v>87</v>
      </c>
      <c r="C143" s="208">
        <v>0</v>
      </c>
      <c r="D143" s="209">
        <v>0</v>
      </c>
      <c r="E143" s="209">
        <v>0</v>
      </c>
      <c r="F143" s="209">
        <v>0</v>
      </c>
      <c r="G143" s="209">
        <v>0</v>
      </c>
      <c r="H143" s="209">
        <v>0</v>
      </c>
      <c r="I143" s="209">
        <v>0</v>
      </c>
      <c r="J143" s="210">
        <v>0</v>
      </c>
      <c r="K143" s="210">
        <v>0</v>
      </c>
      <c r="L143" s="209">
        <v>0</v>
      </c>
      <c r="M143" s="209">
        <v>0</v>
      </c>
      <c r="N143" s="209">
        <v>0</v>
      </c>
      <c r="O143" s="210">
        <v>0</v>
      </c>
      <c r="P143" s="210">
        <v>0</v>
      </c>
      <c r="Q143" s="209">
        <v>0</v>
      </c>
      <c r="R143" s="210">
        <v>0</v>
      </c>
      <c r="S143" s="210">
        <v>0</v>
      </c>
      <c r="T143" s="15">
        <v>0</v>
      </c>
      <c r="U143" s="15">
        <v>0</v>
      </c>
      <c r="V143" s="15"/>
    </row>
    <row r="144" spans="1:22" x14ac:dyDescent="0.25">
      <c r="A144" s="166"/>
      <c r="B144" s="268" t="s">
        <v>88</v>
      </c>
      <c r="C144" s="524">
        <v>7.5435115792117776E-3</v>
      </c>
      <c r="D144" s="525">
        <v>1.4855266172764073E-2</v>
      </c>
      <c r="E144" s="525">
        <v>2.7134945952668764E-2</v>
      </c>
      <c r="F144" s="525">
        <v>0</v>
      </c>
      <c r="G144" s="525">
        <v>0</v>
      </c>
      <c r="H144" s="525">
        <v>0</v>
      </c>
      <c r="I144" s="525">
        <v>0</v>
      </c>
      <c r="J144" s="536">
        <v>9.6776502820423525E-3</v>
      </c>
      <c r="K144" s="536">
        <v>0</v>
      </c>
      <c r="L144" s="525">
        <v>0</v>
      </c>
      <c r="M144" s="525">
        <v>0</v>
      </c>
      <c r="N144" s="525">
        <v>0</v>
      </c>
      <c r="O144" s="536">
        <v>0</v>
      </c>
      <c r="P144" s="165">
        <v>0</v>
      </c>
      <c r="Q144" s="525">
        <v>0</v>
      </c>
      <c r="R144" s="536">
        <v>0</v>
      </c>
      <c r="S144" s="536">
        <v>0</v>
      </c>
      <c r="T144" s="15">
        <v>0</v>
      </c>
      <c r="U144" s="15">
        <v>9.6776502820423525E-3</v>
      </c>
      <c r="V144" s="15"/>
    </row>
    <row r="145" spans="1:22" x14ac:dyDescent="0.25">
      <c r="A145" s="166"/>
      <c r="B145" s="167" t="s">
        <v>89</v>
      </c>
      <c r="C145" s="168">
        <v>4.9316543217364272E-3</v>
      </c>
      <c r="D145" s="169">
        <v>1.2516038139324259E-2</v>
      </c>
      <c r="E145" s="169">
        <v>4.4847578571803347E-2</v>
      </c>
      <c r="F145" s="169">
        <v>0</v>
      </c>
      <c r="G145" s="169">
        <v>0</v>
      </c>
      <c r="H145" s="169">
        <v>0</v>
      </c>
      <c r="I145" s="169">
        <v>0</v>
      </c>
      <c r="J145" s="170">
        <v>8.9080895912777396E-3</v>
      </c>
      <c r="K145" s="170">
        <v>0</v>
      </c>
      <c r="L145" s="169">
        <v>0</v>
      </c>
      <c r="M145" s="169">
        <v>0</v>
      </c>
      <c r="N145" s="169">
        <v>0</v>
      </c>
      <c r="O145" s="170">
        <v>0</v>
      </c>
      <c r="P145" s="170">
        <v>0</v>
      </c>
      <c r="Q145" s="169">
        <v>0</v>
      </c>
      <c r="R145" s="170">
        <v>0</v>
      </c>
      <c r="S145" s="170">
        <v>0</v>
      </c>
      <c r="T145" s="15">
        <v>0</v>
      </c>
      <c r="U145" s="15">
        <v>8.9080895912777396E-3</v>
      </c>
      <c r="V145" s="15"/>
    </row>
    <row r="146" spans="1:22" x14ac:dyDescent="0.25">
      <c r="A146" s="166"/>
      <c r="B146" s="207" t="s">
        <v>90</v>
      </c>
      <c r="C146" s="208">
        <v>-0.26118572574753507</v>
      </c>
      <c r="D146" s="209">
        <v>-0.23392280334398138</v>
      </c>
      <c r="E146" s="209">
        <v>1.7712632619134583</v>
      </c>
      <c r="F146" s="209">
        <v>0</v>
      </c>
      <c r="G146" s="209">
        <v>0</v>
      </c>
      <c r="H146" s="209">
        <v>0</v>
      </c>
      <c r="I146" s="209">
        <v>0</v>
      </c>
      <c r="J146" s="210">
        <v>-7.6956069076461298E-2</v>
      </c>
      <c r="K146" s="210">
        <v>0</v>
      </c>
      <c r="L146" s="209">
        <v>0</v>
      </c>
      <c r="M146" s="209">
        <v>0</v>
      </c>
      <c r="N146" s="209">
        <v>0</v>
      </c>
      <c r="O146" s="210">
        <v>0</v>
      </c>
      <c r="P146" s="210">
        <v>0</v>
      </c>
      <c r="Q146" s="209">
        <v>0</v>
      </c>
      <c r="R146" s="210">
        <v>0</v>
      </c>
      <c r="S146" s="210">
        <v>0</v>
      </c>
      <c r="T146" s="15">
        <v>0</v>
      </c>
      <c r="U146" s="15">
        <v>-7.6956069076461298E-2</v>
      </c>
      <c r="V146" s="15"/>
    </row>
    <row r="147" spans="1:22" x14ac:dyDescent="0.25">
      <c r="A147" s="166"/>
      <c r="B147" s="268" t="s">
        <v>91</v>
      </c>
      <c r="C147" s="524">
        <v>0</v>
      </c>
      <c r="D147" s="525">
        <v>0</v>
      </c>
      <c r="E147" s="525">
        <v>0</v>
      </c>
      <c r="F147" s="525">
        <v>0</v>
      </c>
      <c r="G147" s="525">
        <v>0</v>
      </c>
      <c r="H147" s="525">
        <v>0</v>
      </c>
      <c r="I147" s="525">
        <v>0</v>
      </c>
      <c r="J147" s="536">
        <v>0</v>
      </c>
      <c r="K147" s="536">
        <v>0</v>
      </c>
      <c r="L147" s="525">
        <v>0</v>
      </c>
      <c r="M147" s="525">
        <v>0</v>
      </c>
      <c r="N147" s="525">
        <v>0</v>
      </c>
      <c r="O147" s="536">
        <v>0</v>
      </c>
      <c r="P147" s="165">
        <v>0</v>
      </c>
      <c r="Q147" s="525">
        <v>0</v>
      </c>
      <c r="R147" s="536">
        <v>0</v>
      </c>
      <c r="S147" s="536">
        <v>0</v>
      </c>
      <c r="T147" s="15">
        <v>0</v>
      </c>
      <c r="U147" s="15">
        <v>0</v>
      </c>
      <c r="V147" s="15"/>
    </row>
    <row r="148" spans="1:22" x14ac:dyDescent="0.25">
      <c r="A148" s="166"/>
      <c r="B148" s="167" t="s">
        <v>92</v>
      </c>
      <c r="C148" s="168">
        <v>0</v>
      </c>
      <c r="D148" s="169">
        <v>0</v>
      </c>
      <c r="E148" s="169">
        <v>0</v>
      </c>
      <c r="F148" s="169">
        <v>0</v>
      </c>
      <c r="G148" s="169">
        <v>0</v>
      </c>
      <c r="H148" s="169">
        <v>0</v>
      </c>
      <c r="I148" s="169">
        <v>0</v>
      </c>
      <c r="J148" s="170">
        <v>0</v>
      </c>
      <c r="K148" s="170">
        <v>0</v>
      </c>
      <c r="L148" s="169">
        <v>0</v>
      </c>
      <c r="M148" s="169">
        <v>0</v>
      </c>
      <c r="N148" s="169">
        <v>0</v>
      </c>
      <c r="O148" s="170">
        <v>0</v>
      </c>
      <c r="P148" s="170">
        <v>0</v>
      </c>
      <c r="Q148" s="169">
        <v>0</v>
      </c>
      <c r="R148" s="170">
        <v>0</v>
      </c>
      <c r="S148" s="170">
        <v>0</v>
      </c>
      <c r="T148" s="15">
        <v>0</v>
      </c>
      <c r="U148" s="15">
        <v>0</v>
      </c>
      <c r="V148" s="15"/>
    </row>
    <row r="149" spans="1:22" ht="15.75" thickBot="1" x14ac:dyDescent="0.3">
      <c r="A149" s="540"/>
      <c r="B149" s="541" t="s">
        <v>93</v>
      </c>
      <c r="C149" s="542">
        <v>0</v>
      </c>
      <c r="D149" s="543">
        <v>0</v>
      </c>
      <c r="E149" s="543">
        <v>0</v>
      </c>
      <c r="F149" s="543">
        <v>0</v>
      </c>
      <c r="G149" s="543">
        <v>0</v>
      </c>
      <c r="H149" s="543">
        <v>0</v>
      </c>
      <c r="I149" s="543">
        <v>0</v>
      </c>
      <c r="J149" s="544">
        <v>0</v>
      </c>
      <c r="K149" s="544">
        <v>0</v>
      </c>
      <c r="L149" s="543">
        <v>0</v>
      </c>
      <c r="M149" s="543">
        <v>0</v>
      </c>
      <c r="N149" s="543">
        <v>0</v>
      </c>
      <c r="O149" s="544">
        <v>0</v>
      </c>
      <c r="P149" s="544">
        <v>0</v>
      </c>
      <c r="Q149" s="543">
        <v>0</v>
      </c>
      <c r="R149" s="544">
        <v>0</v>
      </c>
      <c r="S149" s="544">
        <v>0</v>
      </c>
      <c r="T149" s="15">
        <v>0</v>
      </c>
      <c r="U149" s="15">
        <v>0</v>
      </c>
      <c r="V149" s="15"/>
    </row>
    <row r="150" spans="1:22" x14ac:dyDescent="0.25">
      <c r="A150" s="523" t="s">
        <v>43</v>
      </c>
      <c r="B150" s="268" t="s">
        <v>59</v>
      </c>
      <c r="C150" s="524">
        <v>0</v>
      </c>
      <c r="D150" s="525">
        <v>0</v>
      </c>
      <c r="E150" s="525">
        <v>0</v>
      </c>
      <c r="F150" s="525">
        <v>0</v>
      </c>
      <c r="G150" s="525">
        <v>0</v>
      </c>
      <c r="H150" s="525">
        <v>0</v>
      </c>
      <c r="I150" s="525">
        <v>0</v>
      </c>
      <c r="J150" s="536">
        <v>0</v>
      </c>
      <c r="K150" s="536">
        <v>0</v>
      </c>
      <c r="L150" s="525">
        <v>0</v>
      </c>
      <c r="M150" s="525">
        <v>0</v>
      </c>
      <c r="N150" s="525">
        <v>0</v>
      </c>
      <c r="O150" s="536">
        <v>0</v>
      </c>
      <c r="P150" s="165">
        <v>0.77544665630776954</v>
      </c>
      <c r="Q150" s="525">
        <v>0</v>
      </c>
      <c r="R150" s="536">
        <v>0.77544665630776954</v>
      </c>
      <c r="S150" s="536">
        <v>0</v>
      </c>
      <c r="T150" s="15">
        <v>0</v>
      </c>
      <c r="U150" s="15">
        <v>0.77544665630776954</v>
      </c>
      <c r="V150" s="15"/>
    </row>
    <row r="151" spans="1:22" x14ac:dyDescent="0.25">
      <c r="A151" s="166"/>
      <c r="B151" s="167" t="s">
        <v>60</v>
      </c>
      <c r="C151" s="168">
        <v>0.9581347684116458</v>
      </c>
      <c r="D151" s="169">
        <v>0.96618293672510425</v>
      </c>
      <c r="E151" s="169">
        <v>0.8688604802522425</v>
      </c>
      <c r="F151" s="169">
        <v>0.88005347473299311</v>
      </c>
      <c r="G151" s="169">
        <v>0.85456980233065294</v>
      </c>
      <c r="H151" s="169">
        <v>0.87573320732012205</v>
      </c>
      <c r="I151" s="169">
        <v>0.84366950004326613</v>
      </c>
      <c r="J151" s="170">
        <v>0.90139646762190695</v>
      </c>
      <c r="K151" s="170">
        <v>0.81029053447514288</v>
      </c>
      <c r="L151" s="169">
        <v>0.72049396596277127</v>
      </c>
      <c r="M151" s="169">
        <v>0.70387327204985073</v>
      </c>
      <c r="N151" s="169">
        <v>0.73890657299024765</v>
      </c>
      <c r="O151" s="170">
        <v>0.73555392700852196</v>
      </c>
      <c r="P151" s="170">
        <v>0.7697595366968274</v>
      </c>
      <c r="Q151" s="169">
        <v>0</v>
      </c>
      <c r="R151" s="170">
        <v>0.7697595366968274</v>
      </c>
      <c r="S151" s="170">
        <v>0</v>
      </c>
      <c r="T151" s="15">
        <v>0</v>
      </c>
      <c r="U151" s="15">
        <v>0.837984880458846</v>
      </c>
      <c r="V151" s="15"/>
    </row>
    <row r="152" spans="1:22" x14ac:dyDescent="0.25">
      <c r="A152" s="166"/>
      <c r="B152" s="207" t="s">
        <v>772</v>
      </c>
      <c r="C152" s="208">
        <v>0</v>
      </c>
      <c r="D152" s="209">
        <v>0</v>
      </c>
      <c r="E152" s="209">
        <v>0</v>
      </c>
      <c r="F152" s="209">
        <v>0</v>
      </c>
      <c r="G152" s="209">
        <v>0</v>
      </c>
      <c r="H152" s="209">
        <v>0</v>
      </c>
      <c r="I152" s="209">
        <v>0</v>
      </c>
      <c r="J152" s="210">
        <v>0</v>
      </c>
      <c r="K152" s="210">
        <v>0</v>
      </c>
      <c r="L152" s="209">
        <v>0</v>
      </c>
      <c r="M152" s="209">
        <v>0</v>
      </c>
      <c r="N152" s="209">
        <v>0</v>
      </c>
      <c r="O152" s="210">
        <v>0</v>
      </c>
      <c r="P152" s="210">
        <v>-0.56871196109421485</v>
      </c>
      <c r="Q152" s="209">
        <v>0</v>
      </c>
      <c r="R152" s="210">
        <v>-0.56871196109421485</v>
      </c>
      <c r="S152" s="210">
        <v>0</v>
      </c>
      <c r="T152" s="15">
        <v>0</v>
      </c>
      <c r="U152" s="15">
        <v>6.2538224151076456</v>
      </c>
      <c r="V152" s="15"/>
    </row>
    <row r="153" spans="1:22" x14ac:dyDescent="0.25">
      <c r="A153" s="166"/>
      <c r="B153" s="268" t="s">
        <v>61</v>
      </c>
      <c r="C153" s="524">
        <v>0</v>
      </c>
      <c r="D153" s="525">
        <v>0</v>
      </c>
      <c r="E153" s="525">
        <v>0</v>
      </c>
      <c r="F153" s="525">
        <v>0</v>
      </c>
      <c r="G153" s="525">
        <v>0</v>
      </c>
      <c r="H153" s="525">
        <v>0</v>
      </c>
      <c r="I153" s="525">
        <v>0</v>
      </c>
      <c r="J153" s="536">
        <v>0</v>
      </c>
      <c r="K153" s="536">
        <v>0</v>
      </c>
      <c r="L153" s="525">
        <v>0</v>
      </c>
      <c r="M153" s="525">
        <v>0</v>
      </c>
      <c r="N153" s="525">
        <v>0</v>
      </c>
      <c r="O153" s="536">
        <v>0</v>
      </c>
      <c r="P153" s="165">
        <v>0</v>
      </c>
      <c r="Q153" s="525">
        <v>0</v>
      </c>
      <c r="R153" s="536">
        <v>0</v>
      </c>
      <c r="S153" s="536">
        <v>0</v>
      </c>
      <c r="T153" s="15">
        <v>0</v>
      </c>
      <c r="U153" s="15">
        <v>0</v>
      </c>
      <c r="V153" s="15"/>
    </row>
    <row r="154" spans="1:22" x14ac:dyDescent="0.25">
      <c r="A154" s="166"/>
      <c r="B154" s="167" t="s">
        <v>62</v>
      </c>
      <c r="C154" s="168">
        <v>1.7136814862025503E-2</v>
      </c>
      <c r="D154" s="169">
        <v>2.660829197410881E-2</v>
      </c>
      <c r="E154" s="169">
        <v>1.5658380831505052E-2</v>
      </c>
      <c r="F154" s="169">
        <v>1.9502434625965365E-2</v>
      </c>
      <c r="G154" s="169">
        <v>6.2967516826770292E-3</v>
      </c>
      <c r="H154" s="169">
        <v>5.4777283554451717E-2</v>
      </c>
      <c r="I154" s="169">
        <v>1.9736010064366684E-2</v>
      </c>
      <c r="J154" s="170">
        <v>1.9945814093529902E-2</v>
      </c>
      <c r="K154" s="170">
        <v>0.15359332772877748</v>
      </c>
      <c r="L154" s="169">
        <v>5.6233056187721571E-3</v>
      </c>
      <c r="M154" s="169">
        <v>9.9835241765975705E-2</v>
      </c>
      <c r="N154" s="169">
        <v>0.22415126881665884</v>
      </c>
      <c r="O154" s="170">
        <v>8.8939327317015288E-2</v>
      </c>
      <c r="P154" s="170">
        <v>0</v>
      </c>
      <c r="Q154" s="169">
        <v>0</v>
      </c>
      <c r="R154" s="170">
        <v>0</v>
      </c>
      <c r="S154" s="170">
        <v>0</v>
      </c>
      <c r="T154" s="15">
        <v>0</v>
      </c>
      <c r="U154" s="15">
        <v>2.8007174900038428E-2</v>
      </c>
      <c r="V154" s="15"/>
    </row>
    <row r="155" spans="1:22" x14ac:dyDescent="0.25">
      <c r="A155" s="166"/>
      <c r="B155" s="207" t="s">
        <v>63</v>
      </c>
      <c r="C155" s="208">
        <v>0</v>
      </c>
      <c r="D155" s="209">
        <v>0</v>
      </c>
      <c r="E155" s="209">
        <v>0</v>
      </c>
      <c r="F155" s="209">
        <v>0</v>
      </c>
      <c r="G155" s="209">
        <v>0</v>
      </c>
      <c r="H155" s="209">
        <v>0</v>
      </c>
      <c r="I155" s="209">
        <v>0</v>
      </c>
      <c r="J155" s="210">
        <v>0</v>
      </c>
      <c r="K155" s="210">
        <v>0</v>
      </c>
      <c r="L155" s="209">
        <v>0</v>
      </c>
      <c r="M155" s="209">
        <v>0</v>
      </c>
      <c r="N155" s="209">
        <v>0</v>
      </c>
      <c r="O155" s="210">
        <v>0</v>
      </c>
      <c r="P155" s="210">
        <v>0</v>
      </c>
      <c r="Q155" s="209">
        <v>0</v>
      </c>
      <c r="R155" s="210">
        <v>0</v>
      </c>
      <c r="S155" s="210">
        <v>0</v>
      </c>
      <c r="T155" s="15">
        <v>0</v>
      </c>
      <c r="U155" s="15">
        <v>0</v>
      </c>
      <c r="V155" s="15"/>
    </row>
    <row r="156" spans="1:22" x14ac:dyDescent="0.25">
      <c r="A156" s="166"/>
      <c r="B156" s="268" t="s">
        <v>64</v>
      </c>
      <c r="C156" s="524">
        <v>0</v>
      </c>
      <c r="D156" s="525">
        <v>0</v>
      </c>
      <c r="E156" s="525">
        <v>0</v>
      </c>
      <c r="F156" s="525">
        <v>0</v>
      </c>
      <c r="G156" s="525">
        <v>0</v>
      </c>
      <c r="H156" s="525">
        <v>0</v>
      </c>
      <c r="I156" s="525">
        <v>0</v>
      </c>
      <c r="J156" s="536">
        <v>0</v>
      </c>
      <c r="K156" s="536">
        <v>0</v>
      </c>
      <c r="L156" s="525">
        <v>0</v>
      </c>
      <c r="M156" s="525">
        <v>0</v>
      </c>
      <c r="N156" s="525">
        <v>0</v>
      </c>
      <c r="O156" s="536">
        <v>0</v>
      </c>
      <c r="P156" s="165">
        <v>0.2228196277934498</v>
      </c>
      <c r="Q156" s="525">
        <v>0</v>
      </c>
      <c r="R156" s="536">
        <v>0.2228196277934498</v>
      </c>
      <c r="S156" s="536">
        <v>0</v>
      </c>
      <c r="T156" s="15">
        <v>0</v>
      </c>
      <c r="U156" s="15">
        <v>0.2228196277934498</v>
      </c>
      <c r="V156" s="15"/>
    </row>
    <row r="157" spans="1:22" x14ac:dyDescent="0.25">
      <c r="A157" s="166"/>
      <c r="B157" s="167" t="s">
        <v>65</v>
      </c>
      <c r="C157" s="168">
        <v>2.2854544822845064E-2</v>
      </c>
      <c r="D157" s="169">
        <v>3.863863674963673E-3</v>
      </c>
      <c r="E157" s="169">
        <v>0.11522117172782549</v>
      </c>
      <c r="F157" s="169">
        <v>8.6963920202554626E-2</v>
      </c>
      <c r="G157" s="169">
        <v>9.534548849686697E-2</v>
      </c>
      <c r="H157" s="169">
        <v>4.8364896162732873E-2</v>
      </c>
      <c r="I157" s="169">
        <v>7.8398221429379703E-2</v>
      </c>
      <c r="J157" s="170">
        <v>6.7304922612648033E-2</v>
      </c>
      <c r="K157" s="170">
        <v>2.8656853944324913E-2</v>
      </c>
      <c r="L157" s="169">
        <v>0.27371408365143124</v>
      </c>
      <c r="M157" s="169">
        <v>0.15056752687546859</v>
      </c>
      <c r="N157" s="169">
        <v>2.6099197240434732E-2</v>
      </c>
      <c r="O157" s="170">
        <v>0.15434214842577665</v>
      </c>
      <c r="P157" s="170">
        <v>0.22714377299567209</v>
      </c>
      <c r="Q157" s="169">
        <v>0</v>
      </c>
      <c r="R157" s="170">
        <v>0.22714377299567209</v>
      </c>
      <c r="S157" s="170">
        <v>0</v>
      </c>
      <c r="T157" s="15">
        <v>0</v>
      </c>
      <c r="U157" s="15">
        <v>0.12283761105803277</v>
      </c>
      <c r="V157" s="15"/>
    </row>
    <row r="158" spans="1:22" x14ac:dyDescent="0.25">
      <c r="A158" s="166"/>
      <c r="B158" s="207" t="s">
        <v>66</v>
      </c>
      <c r="C158" s="208">
        <v>0</v>
      </c>
      <c r="D158" s="209">
        <v>0</v>
      </c>
      <c r="E158" s="209">
        <v>0</v>
      </c>
      <c r="F158" s="209">
        <v>0</v>
      </c>
      <c r="G158" s="209">
        <v>0</v>
      </c>
      <c r="H158" s="209">
        <v>0</v>
      </c>
      <c r="I158" s="209">
        <v>0</v>
      </c>
      <c r="J158" s="210">
        <v>0</v>
      </c>
      <c r="K158" s="210">
        <v>0</v>
      </c>
      <c r="L158" s="209">
        <v>0</v>
      </c>
      <c r="M158" s="209">
        <v>0</v>
      </c>
      <c r="N158" s="209">
        <v>0</v>
      </c>
      <c r="O158" s="210">
        <v>0</v>
      </c>
      <c r="P158" s="210">
        <v>0.43241452022222959</v>
      </c>
      <c r="Q158" s="209">
        <v>0</v>
      </c>
      <c r="R158" s="210">
        <v>0.43241452022222959</v>
      </c>
      <c r="S158" s="210">
        <v>0</v>
      </c>
      <c r="T158" s="15">
        <v>0</v>
      </c>
      <c r="U158" s="15">
        <v>-9.9982016735417023</v>
      </c>
      <c r="V158" s="15"/>
    </row>
    <row r="159" spans="1:22" x14ac:dyDescent="0.25">
      <c r="A159" s="166"/>
      <c r="B159" s="268" t="s">
        <v>67</v>
      </c>
      <c r="C159" s="524">
        <v>0</v>
      </c>
      <c r="D159" s="525">
        <v>0</v>
      </c>
      <c r="E159" s="525">
        <v>0</v>
      </c>
      <c r="F159" s="525">
        <v>0</v>
      </c>
      <c r="G159" s="525">
        <v>0</v>
      </c>
      <c r="H159" s="525">
        <v>0</v>
      </c>
      <c r="I159" s="525">
        <v>0</v>
      </c>
      <c r="J159" s="536">
        <v>0</v>
      </c>
      <c r="K159" s="536">
        <v>0</v>
      </c>
      <c r="L159" s="525">
        <v>0</v>
      </c>
      <c r="M159" s="525">
        <v>0</v>
      </c>
      <c r="N159" s="525">
        <v>0</v>
      </c>
      <c r="O159" s="536">
        <v>0</v>
      </c>
      <c r="P159" s="165">
        <v>1.7337158987802577E-3</v>
      </c>
      <c r="Q159" s="525">
        <v>0</v>
      </c>
      <c r="R159" s="536">
        <v>1.7337158987802577E-3</v>
      </c>
      <c r="S159" s="536">
        <v>0</v>
      </c>
      <c r="T159" s="15">
        <v>0</v>
      </c>
      <c r="U159" s="15">
        <v>1.7337158987802577E-3</v>
      </c>
      <c r="V159" s="15"/>
    </row>
    <row r="160" spans="1:22" x14ac:dyDescent="0.25">
      <c r="A160" s="166"/>
      <c r="B160" s="167" t="s">
        <v>68</v>
      </c>
      <c r="C160" s="168">
        <v>0</v>
      </c>
      <c r="D160" s="169">
        <v>2.1206431280783528E-3</v>
      </c>
      <c r="E160" s="169">
        <v>1.0305842112641926E-4</v>
      </c>
      <c r="F160" s="169">
        <v>0</v>
      </c>
      <c r="G160" s="169">
        <v>1.2492685204058151E-4</v>
      </c>
      <c r="H160" s="169">
        <v>0</v>
      </c>
      <c r="I160" s="169">
        <v>0</v>
      </c>
      <c r="J160" s="170">
        <v>1.9723257374885459E-4</v>
      </c>
      <c r="K160" s="170">
        <v>0</v>
      </c>
      <c r="L160" s="169">
        <v>0</v>
      </c>
      <c r="M160" s="169">
        <v>0</v>
      </c>
      <c r="N160" s="169">
        <v>0</v>
      </c>
      <c r="O160" s="170">
        <v>0</v>
      </c>
      <c r="P160" s="170">
        <v>3.0966903075004067E-3</v>
      </c>
      <c r="Q160" s="169">
        <v>0</v>
      </c>
      <c r="R160" s="170">
        <v>3.0966903075004067E-3</v>
      </c>
      <c r="S160" s="170">
        <v>0</v>
      </c>
      <c r="T160" s="15">
        <v>0</v>
      </c>
      <c r="U160" s="15">
        <v>8.7116568519979862E-4</v>
      </c>
      <c r="V160" s="15"/>
    </row>
    <row r="161" spans="1:22" x14ac:dyDescent="0.25">
      <c r="A161" s="166"/>
      <c r="B161" s="207" t="s">
        <v>69</v>
      </c>
      <c r="C161" s="208">
        <v>0</v>
      </c>
      <c r="D161" s="209">
        <v>0</v>
      </c>
      <c r="E161" s="209">
        <v>0</v>
      </c>
      <c r="F161" s="209">
        <v>0</v>
      </c>
      <c r="G161" s="209">
        <v>0</v>
      </c>
      <c r="H161" s="209">
        <v>0</v>
      </c>
      <c r="I161" s="209">
        <v>0</v>
      </c>
      <c r="J161" s="210">
        <v>0</v>
      </c>
      <c r="K161" s="210">
        <v>0</v>
      </c>
      <c r="L161" s="209">
        <v>0</v>
      </c>
      <c r="M161" s="209">
        <v>0</v>
      </c>
      <c r="N161" s="209">
        <v>0</v>
      </c>
      <c r="O161" s="210">
        <v>0</v>
      </c>
      <c r="P161" s="210">
        <v>0.1362974408720149</v>
      </c>
      <c r="Q161" s="209">
        <v>0</v>
      </c>
      <c r="R161" s="210">
        <v>0.1362974408720149</v>
      </c>
      <c r="S161" s="210">
        <v>0</v>
      </c>
      <c r="T161" s="15">
        <v>0</v>
      </c>
      <c r="U161" s="15">
        <v>-8.6255021358045914E-2</v>
      </c>
      <c r="V161" s="15"/>
    </row>
    <row r="162" spans="1:22" x14ac:dyDescent="0.25">
      <c r="A162" s="166"/>
      <c r="B162" s="268" t="s">
        <v>70</v>
      </c>
      <c r="C162" s="524">
        <v>0</v>
      </c>
      <c r="D162" s="525">
        <v>0</v>
      </c>
      <c r="E162" s="525">
        <v>0</v>
      </c>
      <c r="F162" s="525">
        <v>0</v>
      </c>
      <c r="G162" s="525">
        <v>0</v>
      </c>
      <c r="H162" s="525">
        <v>0</v>
      </c>
      <c r="I162" s="525">
        <v>0</v>
      </c>
      <c r="J162" s="536">
        <v>0</v>
      </c>
      <c r="K162" s="536">
        <v>0</v>
      </c>
      <c r="L162" s="525">
        <v>0</v>
      </c>
      <c r="M162" s="525">
        <v>0</v>
      </c>
      <c r="N162" s="525">
        <v>0</v>
      </c>
      <c r="O162" s="536">
        <v>0</v>
      </c>
      <c r="P162" s="165">
        <v>0</v>
      </c>
      <c r="Q162" s="525">
        <v>0</v>
      </c>
      <c r="R162" s="536">
        <v>0</v>
      </c>
      <c r="S162" s="536">
        <v>0</v>
      </c>
      <c r="T162" s="15">
        <v>0</v>
      </c>
      <c r="U162" s="15">
        <v>0</v>
      </c>
      <c r="V162" s="15"/>
    </row>
    <row r="163" spans="1:22" x14ac:dyDescent="0.25">
      <c r="A163" s="166"/>
      <c r="B163" s="167" t="s">
        <v>71</v>
      </c>
      <c r="C163" s="168">
        <v>1.8674642867923927E-3</v>
      </c>
      <c r="D163" s="169">
        <v>1.2242644977449001E-3</v>
      </c>
      <c r="E163" s="169">
        <v>1.5690876730058427E-4</v>
      </c>
      <c r="F163" s="169">
        <v>1.3156792389662724E-2</v>
      </c>
      <c r="G163" s="169">
        <v>4.3663030637762536E-2</v>
      </c>
      <c r="H163" s="169">
        <v>2.1124612962693311E-2</v>
      </c>
      <c r="I163" s="169">
        <v>5.8196268462987491E-2</v>
      </c>
      <c r="J163" s="170">
        <v>1.1062214972821184E-2</v>
      </c>
      <c r="K163" s="170">
        <v>7.459283851754748E-3</v>
      </c>
      <c r="L163" s="169">
        <v>1.6864476702541458E-4</v>
      </c>
      <c r="M163" s="169">
        <v>4.5139834917252424E-2</v>
      </c>
      <c r="N163" s="169">
        <v>1.0842960952658744E-2</v>
      </c>
      <c r="O163" s="170">
        <v>2.0923386168052095E-2</v>
      </c>
      <c r="P163" s="170">
        <v>0</v>
      </c>
      <c r="Q163" s="169">
        <v>0</v>
      </c>
      <c r="R163" s="170">
        <v>0</v>
      </c>
      <c r="S163" s="170">
        <v>0</v>
      </c>
      <c r="T163" s="15">
        <v>0</v>
      </c>
      <c r="U163" s="15">
        <v>1.0200950806434123E-2</v>
      </c>
      <c r="V163" s="15"/>
    </row>
    <row r="164" spans="1:22" x14ac:dyDescent="0.25">
      <c r="A164" s="166"/>
      <c r="B164" s="207" t="s">
        <v>72</v>
      </c>
      <c r="C164" s="208">
        <v>0</v>
      </c>
      <c r="D164" s="209">
        <v>0</v>
      </c>
      <c r="E164" s="209">
        <v>0</v>
      </c>
      <c r="F164" s="209">
        <v>0</v>
      </c>
      <c r="G164" s="209">
        <v>0</v>
      </c>
      <c r="H164" s="209">
        <v>0</v>
      </c>
      <c r="I164" s="209">
        <v>0</v>
      </c>
      <c r="J164" s="210">
        <v>0</v>
      </c>
      <c r="K164" s="210">
        <v>0</v>
      </c>
      <c r="L164" s="209">
        <v>0</v>
      </c>
      <c r="M164" s="209">
        <v>0</v>
      </c>
      <c r="N164" s="209">
        <v>0</v>
      </c>
      <c r="O164" s="210">
        <v>0</v>
      </c>
      <c r="P164" s="210">
        <v>0</v>
      </c>
      <c r="Q164" s="209">
        <v>0</v>
      </c>
      <c r="R164" s="210">
        <v>0</v>
      </c>
      <c r="S164" s="210">
        <v>0</v>
      </c>
      <c r="T164" s="15">
        <v>0</v>
      </c>
      <c r="U164" s="15">
        <v>0</v>
      </c>
      <c r="V164" s="15"/>
    </row>
    <row r="165" spans="1:22" x14ac:dyDescent="0.25">
      <c r="A165" s="166"/>
      <c r="B165" s="268" t="s">
        <v>73</v>
      </c>
      <c r="C165" s="524">
        <v>0</v>
      </c>
      <c r="D165" s="525">
        <v>0</v>
      </c>
      <c r="E165" s="525">
        <v>0</v>
      </c>
      <c r="F165" s="525">
        <v>0</v>
      </c>
      <c r="G165" s="525">
        <v>0</v>
      </c>
      <c r="H165" s="525">
        <v>0</v>
      </c>
      <c r="I165" s="525">
        <v>0</v>
      </c>
      <c r="J165" s="536">
        <v>0</v>
      </c>
      <c r="K165" s="536">
        <v>0</v>
      </c>
      <c r="L165" s="525">
        <v>0</v>
      </c>
      <c r="M165" s="525">
        <v>0</v>
      </c>
      <c r="N165" s="525">
        <v>0</v>
      </c>
      <c r="O165" s="536">
        <v>0</v>
      </c>
      <c r="P165" s="165">
        <v>0</v>
      </c>
      <c r="Q165" s="525">
        <v>0</v>
      </c>
      <c r="R165" s="536">
        <v>0</v>
      </c>
      <c r="S165" s="536">
        <v>0</v>
      </c>
      <c r="T165" s="15">
        <v>0</v>
      </c>
      <c r="U165" s="15">
        <v>0</v>
      </c>
      <c r="V165" s="15"/>
    </row>
    <row r="166" spans="1:22" x14ac:dyDescent="0.25">
      <c r="A166" s="166"/>
      <c r="B166" s="167" t="s">
        <v>74</v>
      </c>
      <c r="C166" s="168">
        <v>6.4076166912434372E-6</v>
      </c>
      <c r="D166" s="169">
        <v>0</v>
      </c>
      <c r="E166" s="169">
        <v>0</v>
      </c>
      <c r="F166" s="169">
        <v>3.2337804882421765E-4</v>
      </c>
      <c r="G166" s="169">
        <v>0</v>
      </c>
      <c r="H166" s="169">
        <v>0</v>
      </c>
      <c r="I166" s="169">
        <v>0</v>
      </c>
      <c r="J166" s="170">
        <v>9.3348125345053023E-5</v>
      </c>
      <c r="K166" s="170">
        <v>0</v>
      </c>
      <c r="L166" s="169">
        <v>0</v>
      </c>
      <c r="M166" s="169">
        <v>5.8412439145258345E-4</v>
      </c>
      <c r="N166" s="169">
        <v>0</v>
      </c>
      <c r="O166" s="170">
        <v>2.4121108063401663E-4</v>
      </c>
      <c r="P166" s="170">
        <v>0</v>
      </c>
      <c r="Q166" s="169">
        <v>0</v>
      </c>
      <c r="R166" s="170">
        <v>0</v>
      </c>
      <c r="S166" s="170">
        <v>0</v>
      </c>
      <c r="T166" s="15">
        <v>0</v>
      </c>
      <c r="U166" s="15">
        <v>9.8217091448948537E-5</v>
      </c>
      <c r="V166" s="15"/>
    </row>
    <row r="167" spans="1:22" ht="15.75" thickBot="1" x14ac:dyDescent="0.3">
      <c r="A167" s="166"/>
      <c r="B167" s="531" t="s">
        <v>75</v>
      </c>
      <c r="C167" s="532">
        <v>0</v>
      </c>
      <c r="D167" s="533">
        <v>0</v>
      </c>
      <c r="E167" s="533">
        <v>0</v>
      </c>
      <c r="F167" s="533">
        <v>0</v>
      </c>
      <c r="G167" s="533">
        <v>0</v>
      </c>
      <c r="H167" s="533">
        <v>0</v>
      </c>
      <c r="I167" s="533">
        <v>0</v>
      </c>
      <c r="J167" s="537">
        <v>0</v>
      </c>
      <c r="K167" s="537">
        <v>0</v>
      </c>
      <c r="L167" s="533">
        <v>0</v>
      </c>
      <c r="M167" s="533">
        <v>0</v>
      </c>
      <c r="N167" s="533">
        <v>0</v>
      </c>
      <c r="O167" s="537">
        <v>0</v>
      </c>
      <c r="P167" s="537">
        <v>0</v>
      </c>
      <c r="Q167" s="533">
        <v>0</v>
      </c>
      <c r="R167" s="537">
        <v>0</v>
      </c>
      <c r="S167" s="537">
        <v>0</v>
      </c>
      <c r="T167" s="15">
        <v>0</v>
      </c>
      <c r="U167" s="15">
        <v>0</v>
      </c>
      <c r="V167" s="15"/>
    </row>
    <row r="168" spans="1:22" ht="15.75" thickTop="1" x14ac:dyDescent="0.25">
      <c r="A168" s="166"/>
      <c r="B168" s="167" t="s">
        <v>76</v>
      </c>
      <c r="C168" s="168">
        <v>0</v>
      </c>
      <c r="D168" s="169">
        <v>0</v>
      </c>
      <c r="E168" s="169">
        <v>0</v>
      </c>
      <c r="F168" s="169">
        <v>0</v>
      </c>
      <c r="G168" s="169">
        <v>0</v>
      </c>
      <c r="H168" s="169">
        <v>0</v>
      </c>
      <c r="I168" s="169">
        <v>0</v>
      </c>
      <c r="J168" s="170">
        <v>0</v>
      </c>
      <c r="K168" s="170">
        <v>0</v>
      </c>
      <c r="L168" s="169">
        <v>0</v>
      </c>
      <c r="M168" s="169">
        <v>0</v>
      </c>
      <c r="N168" s="169">
        <v>0</v>
      </c>
      <c r="O168" s="170">
        <v>0</v>
      </c>
      <c r="P168" s="170">
        <v>0</v>
      </c>
      <c r="Q168" s="169">
        <v>0</v>
      </c>
      <c r="R168" s="170">
        <v>0</v>
      </c>
      <c r="S168" s="170">
        <v>0</v>
      </c>
      <c r="T168" s="15">
        <v>0</v>
      </c>
      <c r="U168" s="15">
        <v>0</v>
      </c>
      <c r="V168" s="15"/>
    </row>
    <row r="169" spans="1:22" x14ac:dyDescent="0.25">
      <c r="A169" s="166"/>
      <c r="B169" s="167" t="s">
        <v>77</v>
      </c>
      <c r="C169" s="168">
        <v>0</v>
      </c>
      <c r="D169" s="169">
        <v>0</v>
      </c>
      <c r="E169" s="169">
        <v>0</v>
      </c>
      <c r="F169" s="169">
        <v>0</v>
      </c>
      <c r="G169" s="169">
        <v>0</v>
      </c>
      <c r="H169" s="169">
        <v>0</v>
      </c>
      <c r="I169" s="169">
        <v>0</v>
      </c>
      <c r="J169" s="170">
        <v>0</v>
      </c>
      <c r="K169" s="170">
        <v>0</v>
      </c>
      <c r="L169" s="169">
        <v>0</v>
      </c>
      <c r="M169" s="169">
        <v>0</v>
      </c>
      <c r="N169" s="169">
        <v>0</v>
      </c>
      <c r="O169" s="170">
        <v>0</v>
      </c>
      <c r="P169" s="170">
        <v>0</v>
      </c>
      <c r="Q169" s="169">
        <v>0</v>
      </c>
      <c r="R169" s="170">
        <v>0</v>
      </c>
      <c r="S169" s="170">
        <v>0</v>
      </c>
      <c r="T169" s="15">
        <v>0</v>
      </c>
      <c r="U169" s="15">
        <v>0</v>
      </c>
      <c r="V169" s="15"/>
    </row>
    <row r="170" spans="1:22" x14ac:dyDescent="0.25">
      <c r="A170" s="166"/>
      <c r="B170" s="207" t="s">
        <v>78</v>
      </c>
      <c r="C170" s="208">
        <v>0</v>
      </c>
      <c r="D170" s="209">
        <v>0</v>
      </c>
      <c r="E170" s="209">
        <v>0</v>
      </c>
      <c r="F170" s="209">
        <v>0</v>
      </c>
      <c r="G170" s="209">
        <v>0</v>
      </c>
      <c r="H170" s="209">
        <v>0</v>
      </c>
      <c r="I170" s="209">
        <v>0</v>
      </c>
      <c r="J170" s="210">
        <v>0</v>
      </c>
      <c r="K170" s="210">
        <v>0</v>
      </c>
      <c r="L170" s="209">
        <v>0</v>
      </c>
      <c r="M170" s="209">
        <v>0</v>
      </c>
      <c r="N170" s="209">
        <v>0</v>
      </c>
      <c r="O170" s="210">
        <v>0</v>
      </c>
      <c r="P170" s="210">
        <v>0</v>
      </c>
      <c r="Q170" s="209">
        <v>0</v>
      </c>
      <c r="R170" s="210">
        <v>0</v>
      </c>
      <c r="S170" s="210">
        <v>0</v>
      </c>
      <c r="T170" s="15">
        <v>0</v>
      </c>
      <c r="U170" s="15">
        <v>0</v>
      </c>
      <c r="V170" s="15"/>
    </row>
    <row r="171" spans="1:22" x14ac:dyDescent="0.25">
      <c r="A171" s="166"/>
      <c r="B171" s="268" t="s">
        <v>79</v>
      </c>
      <c r="C171" s="524">
        <v>0</v>
      </c>
      <c r="D171" s="525">
        <v>0</v>
      </c>
      <c r="E171" s="525">
        <v>0</v>
      </c>
      <c r="F171" s="525">
        <v>0</v>
      </c>
      <c r="G171" s="525">
        <v>0</v>
      </c>
      <c r="H171" s="525">
        <v>0</v>
      </c>
      <c r="I171" s="525">
        <v>0</v>
      </c>
      <c r="J171" s="536">
        <v>0</v>
      </c>
      <c r="K171" s="536">
        <v>0</v>
      </c>
      <c r="L171" s="525">
        <v>0</v>
      </c>
      <c r="M171" s="525">
        <v>0</v>
      </c>
      <c r="N171" s="525">
        <v>0</v>
      </c>
      <c r="O171" s="536">
        <v>0</v>
      </c>
      <c r="P171" s="165">
        <v>0</v>
      </c>
      <c r="Q171" s="525">
        <v>0</v>
      </c>
      <c r="R171" s="536">
        <v>0</v>
      </c>
      <c r="S171" s="536">
        <v>0</v>
      </c>
      <c r="T171" s="15">
        <v>0</v>
      </c>
      <c r="U171" s="15">
        <v>0</v>
      </c>
      <c r="V171" s="15"/>
    </row>
    <row r="172" spans="1:22" x14ac:dyDescent="0.25">
      <c r="A172" s="166"/>
      <c r="B172" s="167" t="s">
        <v>80</v>
      </c>
      <c r="C172" s="168">
        <v>0</v>
      </c>
      <c r="D172" s="169">
        <v>0</v>
      </c>
      <c r="E172" s="169">
        <v>0</v>
      </c>
      <c r="F172" s="169">
        <v>0</v>
      </c>
      <c r="G172" s="169">
        <v>0</v>
      </c>
      <c r="H172" s="169">
        <v>0</v>
      </c>
      <c r="I172" s="169">
        <v>0</v>
      </c>
      <c r="J172" s="170">
        <v>0</v>
      </c>
      <c r="K172" s="170">
        <v>0</v>
      </c>
      <c r="L172" s="169">
        <v>0</v>
      </c>
      <c r="M172" s="169">
        <v>0</v>
      </c>
      <c r="N172" s="169">
        <v>0</v>
      </c>
      <c r="O172" s="170">
        <v>0</v>
      </c>
      <c r="P172" s="170">
        <v>0</v>
      </c>
      <c r="Q172" s="169">
        <v>0</v>
      </c>
      <c r="R172" s="170">
        <v>0</v>
      </c>
      <c r="S172" s="170">
        <v>0</v>
      </c>
      <c r="T172" s="15">
        <v>0</v>
      </c>
      <c r="U172" s="15">
        <v>0</v>
      </c>
      <c r="V172" s="15"/>
    </row>
    <row r="173" spans="1:22" x14ac:dyDescent="0.25">
      <c r="A173" s="166"/>
      <c r="B173" s="207" t="s">
        <v>81</v>
      </c>
      <c r="C173" s="208">
        <v>0</v>
      </c>
      <c r="D173" s="209">
        <v>0</v>
      </c>
      <c r="E173" s="209">
        <v>0</v>
      </c>
      <c r="F173" s="209">
        <v>0</v>
      </c>
      <c r="G173" s="209">
        <v>0</v>
      </c>
      <c r="H173" s="209">
        <v>0</v>
      </c>
      <c r="I173" s="209">
        <v>0</v>
      </c>
      <c r="J173" s="210">
        <v>0</v>
      </c>
      <c r="K173" s="210">
        <v>0</v>
      </c>
      <c r="L173" s="209">
        <v>0</v>
      </c>
      <c r="M173" s="209">
        <v>0</v>
      </c>
      <c r="N173" s="209">
        <v>0</v>
      </c>
      <c r="O173" s="210">
        <v>0</v>
      </c>
      <c r="P173" s="210">
        <v>0</v>
      </c>
      <c r="Q173" s="209">
        <v>0</v>
      </c>
      <c r="R173" s="210">
        <v>0</v>
      </c>
      <c r="S173" s="210">
        <v>0</v>
      </c>
      <c r="T173" s="15">
        <v>0</v>
      </c>
      <c r="U173" s="15">
        <v>0</v>
      </c>
      <c r="V173" s="15"/>
    </row>
    <row r="174" spans="1:22" x14ac:dyDescent="0.25">
      <c r="A174" s="166"/>
      <c r="B174" s="268" t="s">
        <v>82</v>
      </c>
      <c r="C174" s="524">
        <v>0</v>
      </c>
      <c r="D174" s="525">
        <v>0</v>
      </c>
      <c r="E174" s="525">
        <v>0</v>
      </c>
      <c r="F174" s="525">
        <v>0</v>
      </c>
      <c r="G174" s="525">
        <v>0</v>
      </c>
      <c r="H174" s="525">
        <v>0</v>
      </c>
      <c r="I174" s="525">
        <v>0</v>
      </c>
      <c r="J174" s="536">
        <v>0</v>
      </c>
      <c r="K174" s="536">
        <v>0</v>
      </c>
      <c r="L174" s="525">
        <v>0</v>
      </c>
      <c r="M174" s="525">
        <v>0</v>
      </c>
      <c r="N174" s="525">
        <v>0</v>
      </c>
      <c r="O174" s="536">
        <v>0</v>
      </c>
      <c r="P174" s="165">
        <v>0</v>
      </c>
      <c r="Q174" s="525">
        <v>0</v>
      </c>
      <c r="R174" s="536">
        <v>0</v>
      </c>
      <c r="S174" s="536">
        <v>0</v>
      </c>
      <c r="T174" s="15">
        <v>0</v>
      </c>
      <c r="U174" s="15">
        <v>0</v>
      </c>
      <c r="V174" s="15"/>
    </row>
    <row r="175" spans="1:22" x14ac:dyDescent="0.25">
      <c r="A175" s="166"/>
      <c r="B175" s="167" t="s">
        <v>83</v>
      </c>
      <c r="C175" s="168">
        <v>0</v>
      </c>
      <c r="D175" s="169">
        <v>0</v>
      </c>
      <c r="E175" s="169">
        <v>0</v>
      </c>
      <c r="F175" s="169">
        <v>0</v>
      </c>
      <c r="G175" s="169">
        <v>0</v>
      </c>
      <c r="H175" s="169">
        <v>0</v>
      </c>
      <c r="I175" s="169">
        <v>0</v>
      </c>
      <c r="J175" s="170">
        <v>0</v>
      </c>
      <c r="K175" s="170">
        <v>0</v>
      </c>
      <c r="L175" s="169">
        <v>0</v>
      </c>
      <c r="M175" s="169">
        <v>0</v>
      </c>
      <c r="N175" s="169">
        <v>0</v>
      </c>
      <c r="O175" s="170">
        <v>0</v>
      </c>
      <c r="P175" s="170">
        <v>0</v>
      </c>
      <c r="Q175" s="169">
        <v>0</v>
      </c>
      <c r="R175" s="170">
        <v>0</v>
      </c>
      <c r="S175" s="170">
        <v>0</v>
      </c>
      <c r="T175" s="15">
        <v>0</v>
      </c>
      <c r="U175" s="15">
        <v>0</v>
      </c>
      <c r="V175" s="15"/>
    </row>
    <row r="176" spans="1:22" x14ac:dyDescent="0.25">
      <c r="A176" s="166"/>
      <c r="B176" s="207" t="s">
        <v>84</v>
      </c>
      <c r="C176" s="208">
        <v>0</v>
      </c>
      <c r="D176" s="209">
        <v>0</v>
      </c>
      <c r="E176" s="209">
        <v>0</v>
      </c>
      <c r="F176" s="209">
        <v>0</v>
      </c>
      <c r="G176" s="209">
        <v>0</v>
      </c>
      <c r="H176" s="209">
        <v>0</v>
      </c>
      <c r="I176" s="209">
        <v>0</v>
      </c>
      <c r="J176" s="210">
        <v>0</v>
      </c>
      <c r="K176" s="210">
        <v>0</v>
      </c>
      <c r="L176" s="209">
        <v>0</v>
      </c>
      <c r="M176" s="209">
        <v>0</v>
      </c>
      <c r="N176" s="209">
        <v>0</v>
      </c>
      <c r="O176" s="210">
        <v>0</v>
      </c>
      <c r="P176" s="210">
        <v>0</v>
      </c>
      <c r="Q176" s="209">
        <v>0</v>
      </c>
      <c r="R176" s="210">
        <v>0</v>
      </c>
      <c r="S176" s="210">
        <v>0</v>
      </c>
      <c r="T176" s="15">
        <v>0</v>
      </c>
      <c r="U176" s="15">
        <v>0</v>
      </c>
      <c r="V176" s="15"/>
    </row>
    <row r="177" spans="1:22" x14ac:dyDescent="0.25">
      <c r="A177" s="166"/>
      <c r="B177" s="268" t="s">
        <v>85</v>
      </c>
      <c r="C177" s="524">
        <v>0</v>
      </c>
      <c r="D177" s="525">
        <v>0</v>
      </c>
      <c r="E177" s="525">
        <v>0</v>
      </c>
      <c r="F177" s="525">
        <v>0</v>
      </c>
      <c r="G177" s="525">
        <v>0</v>
      </c>
      <c r="H177" s="525">
        <v>0</v>
      </c>
      <c r="I177" s="525">
        <v>0</v>
      </c>
      <c r="J177" s="536">
        <v>0</v>
      </c>
      <c r="K177" s="536">
        <v>0</v>
      </c>
      <c r="L177" s="525">
        <v>0</v>
      </c>
      <c r="M177" s="525">
        <v>0</v>
      </c>
      <c r="N177" s="525">
        <v>0</v>
      </c>
      <c r="O177" s="536">
        <v>0</v>
      </c>
      <c r="P177" s="165">
        <v>0</v>
      </c>
      <c r="Q177" s="525">
        <v>0</v>
      </c>
      <c r="R177" s="536">
        <v>0</v>
      </c>
      <c r="S177" s="536">
        <v>0</v>
      </c>
      <c r="T177" s="15">
        <v>0</v>
      </c>
      <c r="U177" s="15">
        <v>0</v>
      </c>
      <c r="V177" s="15"/>
    </row>
    <row r="178" spans="1:22" x14ac:dyDescent="0.25">
      <c r="A178" s="166"/>
      <c r="B178" s="167" t="s">
        <v>86</v>
      </c>
      <c r="C178" s="168">
        <v>0</v>
      </c>
      <c r="D178" s="169">
        <v>0</v>
      </c>
      <c r="E178" s="169">
        <v>0</v>
      </c>
      <c r="F178" s="169">
        <v>0</v>
      </c>
      <c r="G178" s="169">
        <v>0</v>
      </c>
      <c r="H178" s="169">
        <v>0</v>
      </c>
      <c r="I178" s="169">
        <v>0</v>
      </c>
      <c r="J178" s="170">
        <v>0</v>
      </c>
      <c r="K178" s="170">
        <v>0</v>
      </c>
      <c r="L178" s="169">
        <v>0</v>
      </c>
      <c r="M178" s="169">
        <v>0</v>
      </c>
      <c r="N178" s="169">
        <v>0</v>
      </c>
      <c r="O178" s="170">
        <v>0</v>
      </c>
      <c r="P178" s="170">
        <v>0</v>
      </c>
      <c r="Q178" s="169">
        <v>0</v>
      </c>
      <c r="R178" s="170">
        <v>0</v>
      </c>
      <c r="S178" s="170">
        <v>0</v>
      </c>
      <c r="T178" s="15">
        <v>0</v>
      </c>
      <c r="U178" s="15">
        <v>0</v>
      </c>
      <c r="V178" s="15"/>
    </row>
    <row r="179" spans="1:22" x14ac:dyDescent="0.25">
      <c r="A179" s="166"/>
      <c r="B179" s="207" t="s">
        <v>87</v>
      </c>
      <c r="C179" s="208">
        <v>0</v>
      </c>
      <c r="D179" s="209">
        <v>0</v>
      </c>
      <c r="E179" s="209">
        <v>0</v>
      </c>
      <c r="F179" s="209">
        <v>0</v>
      </c>
      <c r="G179" s="209">
        <v>0</v>
      </c>
      <c r="H179" s="209">
        <v>0</v>
      </c>
      <c r="I179" s="209">
        <v>0</v>
      </c>
      <c r="J179" s="210">
        <v>0</v>
      </c>
      <c r="K179" s="210">
        <v>0</v>
      </c>
      <c r="L179" s="209">
        <v>0</v>
      </c>
      <c r="M179" s="209">
        <v>0</v>
      </c>
      <c r="N179" s="209">
        <v>0</v>
      </c>
      <c r="O179" s="210">
        <v>0</v>
      </c>
      <c r="P179" s="210">
        <v>0</v>
      </c>
      <c r="Q179" s="209">
        <v>0</v>
      </c>
      <c r="R179" s="210">
        <v>0</v>
      </c>
      <c r="S179" s="210">
        <v>0</v>
      </c>
      <c r="T179" s="15">
        <v>0</v>
      </c>
      <c r="U179" s="15">
        <v>0</v>
      </c>
      <c r="V179" s="15"/>
    </row>
    <row r="180" spans="1:22" x14ac:dyDescent="0.25">
      <c r="A180" s="166"/>
      <c r="B180" s="268" t="s">
        <v>88</v>
      </c>
      <c r="C180" s="524">
        <v>0</v>
      </c>
      <c r="D180" s="525">
        <v>0</v>
      </c>
      <c r="E180" s="525">
        <v>0</v>
      </c>
      <c r="F180" s="525">
        <v>0</v>
      </c>
      <c r="G180" s="525">
        <v>0</v>
      </c>
      <c r="H180" s="525">
        <v>0</v>
      </c>
      <c r="I180" s="525">
        <v>0</v>
      </c>
      <c r="J180" s="536">
        <v>0</v>
      </c>
      <c r="K180" s="536">
        <v>0</v>
      </c>
      <c r="L180" s="525">
        <v>0</v>
      </c>
      <c r="M180" s="525">
        <v>0</v>
      </c>
      <c r="N180" s="525">
        <v>0</v>
      </c>
      <c r="O180" s="536">
        <v>0</v>
      </c>
      <c r="P180" s="165">
        <v>0</v>
      </c>
      <c r="Q180" s="525">
        <v>0</v>
      </c>
      <c r="R180" s="536">
        <v>0</v>
      </c>
      <c r="S180" s="536">
        <v>0</v>
      </c>
      <c r="T180" s="15">
        <v>0</v>
      </c>
      <c r="U180" s="15">
        <v>0</v>
      </c>
      <c r="V180" s="15"/>
    </row>
    <row r="181" spans="1:22" x14ac:dyDescent="0.25">
      <c r="A181" s="166"/>
      <c r="B181" s="167" t="s">
        <v>89</v>
      </c>
      <c r="C181" s="168">
        <v>0</v>
      </c>
      <c r="D181" s="169">
        <v>0</v>
      </c>
      <c r="E181" s="169">
        <v>0</v>
      </c>
      <c r="F181" s="169">
        <v>0</v>
      </c>
      <c r="G181" s="169">
        <v>0</v>
      </c>
      <c r="H181" s="169">
        <v>0</v>
      </c>
      <c r="I181" s="169">
        <v>0</v>
      </c>
      <c r="J181" s="170">
        <v>0</v>
      </c>
      <c r="K181" s="170">
        <v>0</v>
      </c>
      <c r="L181" s="169">
        <v>0</v>
      </c>
      <c r="M181" s="169">
        <v>0</v>
      </c>
      <c r="N181" s="169">
        <v>0</v>
      </c>
      <c r="O181" s="170">
        <v>0</v>
      </c>
      <c r="P181" s="170">
        <v>0</v>
      </c>
      <c r="Q181" s="169">
        <v>0</v>
      </c>
      <c r="R181" s="170">
        <v>0</v>
      </c>
      <c r="S181" s="170">
        <v>0</v>
      </c>
      <c r="T181" s="15">
        <v>0</v>
      </c>
      <c r="U181" s="15">
        <v>0</v>
      </c>
      <c r="V181" s="15"/>
    </row>
    <row r="182" spans="1:22" x14ac:dyDescent="0.25">
      <c r="A182" s="166"/>
      <c r="B182" s="207" t="s">
        <v>90</v>
      </c>
      <c r="C182" s="208">
        <v>0</v>
      </c>
      <c r="D182" s="209">
        <v>0</v>
      </c>
      <c r="E182" s="209">
        <v>0</v>
      </c>
      <c r="F182" s="209">
        <v>0</v>
      </c>
      <c r="G182" s="209">
        <v>0</v>
      </c>
      <c r="H182" s="209">
        <v>0</v>
      </c>
      <c r="I182" s="209">
        <v>0</v>
      </c>
      <c r="J182" s="210">
        <v>0</v>
      </c>
      <c r="K182" s="210">
        <v>0</v>
      </c>
      <c r="L182" s="209">
        <v>0</v>
      </c>
      <c r="M182" s="209">
        <v>0</v>
      </c>
      <c r="N182" s="209">
        <v>0</v>
      </c>
      <c r="O182" s="210">
        <v>0</v>
      </c>
      <c r="P182" s="210">
        <v>0</v>
      </c>
      <c r="Q182" s="209">
        <v>0</v>
      </c>
      <c r="R182" s="210">
        <v>0</v>
      </c>
      <c r="S182" s="210">
        <v>0</v>
      </c>
      <c r="T182" s="15">
        <v>0</v>
      </c>
      <c r="U182" s="15">
        <v>0</v>
      </c>
      <c r="V182" s="15"/>
    </row>
    <row r="183" spans="1:22" x14ac:dyDescent="0.25">
      <c r="A183" s="166"/>
      <c r="B183" s="268" t="s">
        <v>91</v>
      </c>
      <c r="C183" s="524">
        <v>0</v>
      </c>
      <c r="D183" s="525">
        <v>0</v>
      </c>
      <c r="E183" s="525">
        <v>0</v>
      </c>
      <c r="F183" s="525">
        <v>0</v>
      </c>
      <c r="G183" s="525">
        <v>0</v>
      </c>
      <c r="H183" s="525">
        <v>0</v>
      </c>
      <c r="I183" s="525">
        <v>0</v>
      </c>
      <c r="J183" s="536">
        <v>0</v>
      </c>
      <c r="K183" s="536">
        <v>0</v>
      </c>
      <c r="L183" s="525">
        <v>0</v>
      </c>
      <c r="M183" s="525">
        <v>0</v>
      </c>
      <c r="N183" s="525">
        <v>0</v>
      </c>
      <c r="O183" s="536">
        <v>0</v>
      </c>
      <c r="P183" s="165">
        <v>0</v>
      </c>
      <c r="Q183" s="525">
        <v>0</v>
      </c>
      <c r="R183" s="536">
        <v>0</v>
      </c>
      <c r="S183" s="536">
        <v>0</v>
      </c>
      <c r="T183" s="15">
        <v>0</v>
      </c>
      <c r="U183" s="15">
        <v>0</v>
      </c>
      <c r="V183" s="15"/>
    </row>
    <row r="184" spans="1:22" x14ac:dyDescent="0.25">
      <c r="A184" s="166"/>
      <c r="B184" s="167" t="s">
        <v>92</v>
      </c>
      <c r="C184" s="168">
        <v>0</v>
      </c>
      <c r="D184" s="169">
        <v>0</v>
      </c>
      <c r="E184" s="169">
        <v>0</v>
      </c>
      <c r="F184" s="169">
        <v>0</v>
      </c>
      <c r="G184" s="169">
        <v>0</v>
      </c>
      <c r="H184" s="169">
        <v>0</v>
      </c>
      <c r="I184" s="169">
        <v>0</v>
      </c>
      <c r="J184" s="170">
        <v>0</v>
      </c>
      <c r="K184" s="170">
        <v>0</v>
      </c>
      <c r="L184" s="169">
        <v>0</v>
      </c>
      <c r="M184" s="169">
        <v>0</v>
      </c>
      <c r="N184" s="169">
        <v>0</v>
      </c>
      <c r="O184" s="170">
        <v>0</v>
      </c>
      <c r="P184" s="170">
        <v>0</v>
      </c>
      <c r="Q184" s="169">
        <v>0</v>
      </c>
      <c r="R184" s="170">
        <v>0</v>
      </c>
      <c r="S184" s="170">
        <v>0</v>
      </c>
      <c r="T184" s="15">
        <v>0</v>
      </c>
      <c r="U184" s="15">
        <v>0</v>
      </c>
      <c r="V184" s="15"/>
    </row>
    <row r="185" spans="1:22" ht="15.75" thickBot="1" x14ac:dyDescent="0.3">
      <c r="A185" s="540"/>
      <c r="B185" s="541" t="s">
        <v>93</v>
      </c>
      <c r="C185" s="542">
        <v>0</v>
      </c>
      <c r="D185" s="543">
        <v>0</v>
      </c>
      <c r="E185" s="543">
        <v>0</v>
      </c>
      <c r="F185" s="543">
        <v>0</v>
      </c>
      <c r="G185" s="543">
        <v>0</v>
      </c>
      <c r="H185" s="543">
        <v>0</v>
      </c>
      <c r="I185" s="543">
        <v>0</v>
      </c>
      <c r="J185" s="544">
        <v>0</v>
      </c>
      <c r="K185" s="544">
        <v>0</v>
      </c>
      <c r="L185" s="543">
        <v>0</v>
      </c>
      <c r="M185" s="543">
        <v>0</v>
      </c>
      <c r="N185" s="543">
        <v>0</v>
      </c>
      <c r="O185" s="544">
        <v>0</v>
      </c>
      <c r="P185" s="544">
        <v>0</v>
      </c>
      <c r="Q185" s="543">
        <v>0</v>
      </c>
      <c r="R185" s="544">
        <v>0</v>
      </c>
      <c r="S185" s="544">
        <v>0</v>
      </c>
      <c r="T185" s="15">
        <v>0</v>
      </c>
      <c r="U185" s="15">
        <v>0</v>
      </c>
      <c r="V185" s="15"/>
    </row>
    <row r="186" spans="1:22" x14ac:dyDescent="0.25">
      <c r="A186" s="523" t="s">
        <v>44</v>
      </c>
      <c r="B186" s="268" t="s">
        <v>59</v>
      </c>
      <c r="C186" s="524">
        <v>0.93507322081883704</v>
      </c>
      <c r="D186" s="525">
        <v>0</v>
      </c>
      <c r="E186" s="525">
        <v>0.77311807706483715</v>
      </c>
      <c r="F186" s="525">
        <v>0.83975156838143039</v>
      </c>
      <c r="G186" s="525">
        <v>0</v>
      </c>
      <c r="H186" s="525">
        <v>0</v>
      </c>
      <c r="I186" s="525">
        <v>0</v>
      </c>
      <c r="J186" s="536">
        <v>0.8429967100809278</v>
      </c>
      <c r="K186" s="536">
        <v>0</v>
      </c>
      <c r="L186" s="525">
        <v>0.68217773773208712</v>
      </c>
      <c r="M186" s="525">
        <v>0.61318064232923719</v>
      </c>
      <c r="N186" s="525">
        <v>0.56670367286520495</v>
      </c>
      <c r="O186" s="536">
        <v>0.63465089562023014</v>
      </c>
      <c r="P186" s="165">
        <v>0.89327677595250288</v>
      </c>
      <c r="Q186" s="525">
        <v>0</v>
      </c>
      <c r="R186" s="536">
        <v>0.89327677595250288</v>
      </c>
      <c r="S186" s="536">
        <v>0</v>
      </c>
      <c r="T186" s="15">
        <v>0</v>
      </c>
      <c r="U186" s="15">
        <v>0.76525426617160619</v>
      </c>
      <c r="V186" s="15"/>
    </row>
    <row r="187" spans="1:22" x14ac:dyDescent="0.25">
      <c r="A187" s="166"/>
      <c r="B187" s="167" t="s">
        <v>60</v>
      </c>
      <c r="C187" s="168">
        <v>0.92465189260871539</v>
      </c>
      <c r="D187" s="169">
        <v>0</v>
      </c>
      <c r="E187" s="169">
        <v>0.76367567895479593</v>
      </c>
      <c r="F187" s="169">
        <v>0.81780678124723349</v>
      </c>
      <c r="G187" s="169">
        <v>0</v>
      </c>
      <c r="H187" s="169">
        <v>0</v>
      </c>
      <c r="I187" s="169">
        <v>0</v>
      </c>
      <c r="J187" s="170">
        <v>0.83153414025650763</v>
      </c>
      <c r="K187" s="170">
        <v>0</v>
      </c>
      <c r="L187" s="169">
        <v>0.67655703180046944</v>
      </c>
      <c r="M187" s="169">
        <v>0.58176779096152986</v>
      </c>
      <c r="N187" s="169">
        <v>0.55975715070787424</v>
      </c>
      <c r="O187" s="170">
        <v>0.61289789620825741</v>
      </c>
      <c r="P187" s="170">
        <v>0.76206452465079422</v>
      </c>
      <c r="Q187" s="169">
        <v>0</v>
      </c>
      <c r="R187" s="170">
        <v>0.76206452465079422</v>
      </c>
      <c r="S187" s="170">
        <v>0</v>
      </c>
      <c r="T187" s="15">
        <v>0</v>
      </c>
      <c r="U187" s="15">
        <v>0.75107289662009424</v>
      </c>
      <c r="V187" s="15"/>
    </row>
    <row r="188" spans="1:22" x14ac:dyDescent="0.25">
      <c r="A188" s="166"/>
      <c r="B188" s="207" t="s">
        <v>772</v>
      </c>
      <c r="C188" s="208">
        <v>-1.042132821012165</v>
      </c>
      <c r="D188" s="209">
        <v>0</v>
      </c>
      <c r="E188" s="209">
        <v>-0.94423981100412169</v>
      </c>
      <c r="F188" s="209">
        <v>-2.1944787134196897</v>
      </c>
      <c r="G188" s="209">
        <v>0</v>
      </c>
      <c r="H188" s="209">
        <v>0</v>
      </c>
      <c r="I188" s="209">
        <v>0</v>
      </c>
      <c r="J188" s="210">
        <v>-1.1462569824420177</v>
      </c>
      <c r="K188" s="210">
        <v>0</v>
      </c>
      <c r="L188" s="209">
        <v>-0.56207059316176755</v>
      </c>
      <c r="M188" s="209">
        <v>-3.1412851367707328</v>
      </c>
      <c r="N188" s="209">
        <v>-0.69465221573307145</v>
      </c>
      <c r="O188" s="210">
        <v>-2.1752999411972729</v>
      </c>
      <c r="P188" s="539">
        <v>-13.121225130170867</v>
      </c>
      <c r="Q188" s="209">
        <v>0</v>
      </c>
      <c r="R188" s="210">
        <v>-13.121225130170867</v>
      </c>
      <c r="S188" s="210">
        <v>0</v>
      </c>
      <c r="T188" s="15">
        <v>0</v>
      </c>
      <c r="U188" s="15">
        <v>-1.4181369551511946</v>
      </c>
      <c r="V188" s="15"/>
    </row>
    <row r="189" spans="1:22" x14ac:dyDescent="0.25">
      <c r="A189" s="166"/>
      <c r="B189" s="268" t="s">
        <v>61</v>
      </c>
      <c r="C189" s="524">
        <v>1.2897000808521958E-2</v>
      </c>
      <c r="D189" s="525">
        <v>0</v>
      </c>
      <c r="E189" s="525">
        <v>7.6579867959055664E-2</v>
      </c>
      <c r="F189" s="525">
        <v>3.1947302383939773E-2</v>
      </c>
      <c r="G189" s="525">
        <v>0</v>
      </c>
      <c r="H189" s="525">
        <v>0</v>
      </c>
      <c r="I189" s="525">
        <v>0</v>
      </c>
      <c r="J189" s="536">
        <v>4.6265344054687636E-2</v>
      </c>
      <c r="K189" s="536">
        <v>0</v>
      </c>
      <c r="L189" s="525">
        <v>7.7553546033848259E-2</v>
      </c>
      <c r="M189" s="525">
        <v>7.0366515466498067E-2</v>
      </c>
      <c r="N189" s="525">
        <v>1.1032472939217318E-2</v>
      </c>
      <c r="O189" s="536">
        <v>7.1202684929129539E-2</v>
      </c>
      <c r="P189" s="165">
        <v>4.7953831462695653E-3</v>
      </c>
      <c r="Q189" s="525">
        <v>0</v>
      </c>
      <c r="R189" s="536">
        <v>4.7953831462695653E-3</v>
      </c>
      <c r="S189" s="536">
        <v>0</v>
      </c>
      <c r="T189" s="15">
        <v>0</v>
      </c>
      <c r="U189" s="15">
        <v>5.4410269225669487E-2</v>
      </c>
      <c r="V189" s="15"/>
    </row>
    <row r="190" spans="1:22" x14ac:dyDescent="0.25">
      <c r="A190" s="166"/>
      <c r="B190" s="167" t="s">
        <v>62</v>
      </c>
      <c r="C190" s="168">
        <v>1.4650162882547476E-2</v>
      </c>
      <c r="D190" s="169">
        <v>0</v>
      </c>
      <c r="E190" s="169">
        <v>7.4438381619529884E-2</v>
      </c>
      <c r="F190" s="169">
        <v>2.7200870104083671E-2</v>
      </c>
      <c r="G190" s="169">
        <v>0</v>
      </c>
      <c r="H190" s="169">
        <v>0</v>
      </c>
      <c r="I190" s="169">
        <v>0</v>
      </c>
      <c r="J190" s="170">
        <v>4.5139849928323691E-2</v>
      </c>
      <c r="K190" s="170">
        <v>0</v>
      </c>
      <c r="L190" s="169">
        <v>6.7655313897766689E-2</v>
      </c>
      <c r="M190" s="169">
        <v>6.5761913073834874E-2</v>
      </c>
      <c r="N190" s="169">
        <v>1.4157485672415147E-2</v>
      </c>
      <c r="O190" s="170">
        <v>6.5111973913841006E-2</v>
      </c>
      <c r="P190" s="170">
        <v>4.140937159462405E-3</v>
      </c>
      <c r="Q190" s="169">
        <v>0</v>
      </c>
      <c r="R190" s="170">
        <v>4.140937159462405E-3</v>
      </c>
      <c r="S190" s="170">
        <v>0</v>
      </c>
      <c r="T190" s="15">
        <v>0</v>
      </c>
      <c r="U190" s="15">
        <v>5.0825902343834321E-2</v>
      </c>
      <c r="V190" s="15"/>
    </row>
    <row r="191" spans="1:22" x14ac:dyDescent="0.25">
      <c r="A191" s="166"/>
      <c r="B191" s="207" t="s">
        <v>63</v>
      </c>
      <c r="C191" s="208">
        <v>0.17531620740255174</v>
      </c>
      <c r="D191" s="209">
        <v>0</v>
      </c>
      <c r="E191" s="209">
        <v>-0.21414863395257805</v>
      </c>
      <c r="F191" s="209">
        <v>-0.47464322798561021</v>
      </c>
      <c r="G191" s="209">
        <v>0</v>
      </c>
      <c r="H191" s="209">
        <v>0</v>
      </c>
      <c r="I191" s="209">
        <v>0</v>
      </c>
      <c r="J191" s="210">
        <v>-0.11254941263639448</v>
      </c>
      <c r="K191" s="210">
        <v>0</v>
      </c>
      <c r="L191" s="209">
        <v>-0.98982321360815695</v>
      </c>
      <c r="M191" s="209">
        <v>-0.46046023926631929</v>
      </c>
      <c r="N191" s="209">
        <v>0.31250127331978289</v>
      </c>
      <c r="O191" s="210">
        <v>-0.60907110152885324</v>
      </c>
      <c r="P191" s="210">
        <v>-6.5444598680716032E-2</v>
      </c>
      <c r="Q191" s="209">
        <v>0</v>
      </c>
      <c r="R191" s="210">
        <v>-6.5444598680716032E-2</v>
      </c>
      <c r="S191" s="210">
        <v>0</v>
      </c>
      <c r="T191" s="15">
        <v>0</v>
      </c>
      <c r="U191" s="15">
        <v>-0.35843668818351659</v>
      </c>
      <c r="V191" s="15"/>
    </row>
    <row r="192" spans="1:22" x14ac:dyDescent="0.25">
      <c r="A192" s="166"/>
      <c r="B192" s="268" t="s">
        <v>64</v>
      </c>
      <c r="C192" s="524">
        <v>4.9776830100732077E-2</v>
      </c>
      <c r="D192" s="525">
        <v>0</v>
      </c>
      <c r="E192" s="525">
        <v>0.12118086764220913</v>
      </c>
      <c r="F192" s="525">
        <v>0.12827854454203264</v>
      </c>
      <c r="G192" s="525">
        <v>0</v>
      </c>
      <c r="H192" s="525">
        <v>0</v>
      </c>
      <c r="I192" s="525">
        <v>0</v>
      </c>
      <c r="J192" s="536">
        <v>9.5987295384436497E-2</v>
      </c>
      <c r="K192" s="536">
        <v>0</v>
      </c>
      <c r="L192" s="525">
        <v>0.2386638731178827</v>
      </c>
      <c r="M192" s="525">
        <v>0.30390773752828676</v>
      </c>
      <c r="N192" s="525">
        <v>0.41391433065038397</v>
      </c>
      <c r="O192" s="536">
        <v>0.28530284200960787</v>
      </c>
      <c r="P192" s="165">
        <v>0.10192784090122756</v>
      </c>
      <c r="Q192" s="525">
        <v>0</v>
      </c>
      <c r="R192" s="536">
        <v>0.10192784090122756</v>
      </c>
      <c r="S192" s="536">
        <v>0</v>
      </c>
      <c r="T192" s="15">
        <v>0</v>
      </c>
      <c r="U192" s="15">
        <v>0.168318384403669</v>
      </c>
      <c r="V192" s="15"/>
    </row>
    <row r="193" spans="1:22" x14ac:dyDescent="0.25">
      <c r="A193" s="166"/>
      <c r="B193" s="167" t="s">
        <v>65</v>
      </c>
      <c r="C193" s="168">
        <v>5.8247499104248951E-2</v>
      </c>
      <c r="D193" s="169">
        <v>0</v>
      </c>
      <c r="E193" s="169">
        <v>0.13343864343139572</v>
      </c>
      <c r="F193" s="169">
        <v>0.15496958429765653</v>
      </c>
      <c r="G193" s="169">
        <v>0</v>
      </c>
      <c r="H193" s="169">
        <v>0</v>
      </c>
      <c r="I193" s="169">
        <v>0</v>
      </c>
      <c r="J193" s="170">
        <v>0.10880826444072436</v>
      </c>
      <c r="K193" s="170">
        <v>0</v>
      </c>
      <c r="L193" s="169">
        <v>0.25423052518072431</v>
      </c>
      <c r="M193" s="169">
        <v>0.34204800545571895</v>
      </c>
      <c r="N193" s="169">
        <v>0.41844398503127206</v>
      </c>
      <c r="O193" s="170">
        <v>0.31459957186540366</v>
      </c>
      <c r="P193" s="170">
        <v>0.23379453818974341</v>
      </c>
      <c r="Q193" s="169">
        <v>0</v>
      </c>
      <c r="R193" s="170">
        <v>0.23379453818974341</v>
      </c>
      <c r="S193" s="170">
        <v>0</v>
      </c>
      <c r="T193" s="15">
        <v>0</v>
      </c>
      <c r="U193" s="15">
        <v>0.18663700847477493</v>
      </c>
      <c r="V193" s="15"/>
    </row>
    <row r="194" spans="1:22" x14ac:dyDescent="0.25">
      <c r="A194" s="166"/>
      <c r="B194" s="207" t="s">
        <v>66</v>
      </c>
      <c r="C194" s="208">
        <v>0.84706690035168741</v>
      </c>
      <c r="D194" s="209">
        <v>0</v>
      </c>
      <c r="E194" s="209">
        <v>1.2257775789186589</v>
      </c>
      <c r="F194" s="209">
        <v>2.6691039755623898</v>
      </c>
      <c r="G194" s="209">
        <v>0</v>
      </c>
      <c r="H194" s="209">
        <v>0</v>
      </c>
      <c r="I194" s="209">
        <v>0</v>
      </c>
      <c r="J194" s="210">
        <v>1.2820969056287865</v>
      </c>
      <c r="K194" s="210">
        <v>0</v>
      </c>
      <c r="L194" s="209">
        <v>1.5566652062841606</v>
      </c>
      <c r="M194" s="209">
        <v>3.8140267927432192</v>
      </c>
      <c r="N194" s="209">
        <v>0.45296543808880929</v>
      </c>
      <c r="O194" s="210">
        <v>2.9296729855795789</v>
      </c>
      <c r="P194" s="539">
        <v>13.186669728851586</v>
      </c>
      <c r="Q194" s="209">
        <v>0</v>
      </c>
      <c r="R194" s="210">
        <v>13.186669728851586</v>
      </c>
      <c r="S194" s="210">
        <v>0</v>
      </c>
      <c r="T194" s="15">
        <v>0</v>
      </c>
      <c r="U194" s="15">
        <v>1.8318624071105933</v>
      </c>
      <c r="V194" s="15"/>
    </row>
    <row r="195" spans="1:22" x14ac:dyDescent="0.25">
      <c r="A195" s="166"/>
      <c r="B195" s="268" t="s">
        <v>67</v>
      </c>
      <c r="C195" s="524">
        <v>2.249800230541563E-3</v>
      </c>
      <c r="D195" s="525">
        <v>0</v>
      </c>
      <c r="E195" s="525">
        <v>2.7573327341269584E-2</v>
      </c>
      <c r="F195" s="525">
        <v>0</v>
      </c>
      <c r="G195" s="525">
        <v>0</v>
      </c>
      <c r="H195" s="525">
        <v>0</v>
      </c>
      <c r="I195" s="525">
        <v>0</v>
      </c>
      <c r="J195" s="536">
        <v>1.4006251483631238E-2</v>
      </c>
      <c r="K195" s="536">
        <v>0</v>
      </c>
      <c r="L195" s="525">
        <v>1.604843116181957E-3</v>
      </c>
      <c r="M195" s="525">
        <v>1.2545104675977947E-2</v>
      </c>
      <c r="N195" s="525">
        <v>8.34952354519382E-3</v>
      </c>
      <c r="O195" s="536">
        <v>8.8435774410324155E-3</v>
      </c>
      <c r="P195" s="165">
        <v>0</v>
      </c>
      <c r="Q195" s="525">
        <v>0</v>
      </c>
      <c r="R195" s="536">
        <v>0</v>
      </c>
      <c r="S195" s="536">
        <v>0</v>
      </c>
      <c r="T195" s="15">
        <v>0</v>
      </c>
      <c r="U195" s="15">
        <v>1.1580688382613488E-2</v>
      </c>
      <c r="V195" s="15"/>
    </row>
    <row r="196" spans="1:22" x14ac:dyDescent="0.25">
      <c r="A196" s="166"/>
      <c r="B196" s="167" t="s">
        <v>68</v>
      </c>
      <c r="C196" s="168">
        <v>2.4504454044882275E-3</v>
      </c>
      <c r="D196" s="169">
        <v>0</v>
      </c>
      <c r="E196" s="169">
        <v>2.7111895837191334E-2</v>
      </c>
      <c r="F196" s="169">
        <v>0</v>
      </c>
      <c r="G196" s="169">
        <v>0</v>
      </c>
      <c r="H196" s="169">
        <v>0</v>
      </c>
      <c r="I196" s="169">
        <v>0</v>
      </c>
      <c r="J196" s="170">
        <v>1.3875617265687186E-2</v>
      </c>
      <c r="K196" s="170">
        <v>0</v>
      </c>
      <c r="L196" s="169">
        <v>1.5571291210395395E-3</v>
      </c>
      <c r="M196" s="169">
        <v>1.0422290508916285E-2</v>
      </c>
      <c r="N196" s="169">
        <v>7.6413785884384897E-3</v>
      </c>
      <c r="O196" s="170">
        <v>7.3905580124979916E-3</v>
      </c>
      <c r="P196" s="170">
        <v>0</v>
      </c>
      <c r="Q196" s="169">
        <v>0</v>
      </c>
      <c r="R196" s="170">
        <v>0</v>
      </c>
      <c r="S196" s="170">
        <v>0</v>
      </c>
      <c r="T196" s="15">
        <v>0</v>
      </c>
      <c r="U196" s="15">
        <v>1.1073774017297724E-2</v>
      </c>
      <c r="V196" s="15"/>
    </row>
    <row r="197" spans="1:22" x14ac:dyDescent="0.25">
      <c r="A197" s="166"/>
      <c r="B197" s="207" t="s">
        <v>69</v>
      </c>
      <c r="C197" s="208">
        <v>2.0064517394666453E-2</v>
      </c>
      <c r="D197" s="209">
        <v>0</v>
      </c>
      <c r="E197" s="209">
        <v>-4.6143150407824962E-2</v>
      </c>
      <c r="F197" s="209">
        <v>0</v>
      </c>
      <c r="G197" s="209">
        <v>0</v>
      </c>
      <c r="H197" s="209">
        <v>0</v>
      </c>
      <c r="I197" s="209">
        <v>0</v>
      </c>
      <c r="J197" s="210">
        <v>-1.3063421794405269E-2</v>
      </c>
      <c r="K197" s="210">
        <v>0</v>
      </c>
      <c r="L197" s="209">
        <v>-4.7713995142417481E-3</v>
      </c>
      <c r="M197" s="209">
        <v>-0.21228141670616621</v>
      </c>
      <c r="N197" s="209">
        <v>-7.0814495675533023E-2</v>
      </c>
      <c r="O197" s="210">
        <v>-0.14530194285344239</v>
      </c>
      <c r="P197" s="210">
        <v>0</v>
      </c>
      <c r="Q197" s="209">
        <v>0</v>
      </c>
      <c r="R197" s="210">
        <v>0</v>
      </c>
      <c r="S197" s="210">
        <v>0</v>
      </c>
      <c r="T197" s="15">
        <v>0</v>
      </c>
      <c r="U197" s="15">
        <v>-5.0691436531576442E-2</v>
      </c>
      <c r="V197" s="15"/>
    </row>
    <row r="198" spans="1:22" x14ac:dyDescent="0.25">
      <c r="A198" s="166"/>
      <c r="B198" s="268" t="s">
        <v>70</v>
      </c>
      <c r="C198" s="524">
        <v>3.1480413673622616E-6</v>
      </c>
      <c r="D198" s="525">
        <v>0</v>
      </c>
      <c r="E198" s="525">
        <v>1.5478599926284683E-3</v>
      </c>
      <c r="F198" s="525">
        <v>2.258469259723965E-5</v>
      </c>
      <c r="G198" s="525">
        <v>0</v>
      </c>
      <c r="H198" s="525">
        <v>0</v>
      </c>
      <c r="I198" s="525">
        <v>0</v>
      </c>
      <c r="J198" s="536">
        <v>7.4439899631682815E-4</v>
      </c>
      <c r="K198" s="536">
        <v>0</v>
      </c>
      <c r="L198" s="525">
        <v>0</v>
      </c>
      <c r="M198" s="525">
        <v>0</v>
      </c>
      <c r="N198" s="525">
        <v>0</v>
      </c>
      <c r="O198" s="536">
        <v>0</v>
      </c>
      <c r="P198" s="165">
        <v>0</v>
      </c>
      <c r="Q198" s="525">
        <v>0</v>
      </c>
      <c r="R198" s="536">
        <v>0</v>
      </c>
      <c r="S198" s="536">
        <v>0</v>
      </c>
      <c r="T198" s="15">
        <v>0</v>
      </c>
      <c r="U198" s="15">
        <v>4.3639181644187131E-4</v>
      </c>
      <c r="V198" s="15"/>
    </row>
    <row r="199" spans="1:22" x14ac:dyDescent="0.25">
      <c r="A199" s="166"/>
      <c r="B199" s="167" t="s">
        <v>71</v>
      </c>
      <c r="C199" s="168">
        <v>0</v>
      </c>
      <c r="D199" s="169">
        <v>0</v>
      </c>
      <c r="E199" s="169">
        <v>1.3354001570871194E-3</v>
      </c>
      <c r="F199" s="169">
        <v>2.2764351026292825E-5</v>
      </c>
      <c r="G199" s="169">
        <v>0</v>
      </c>
      <c r="H199" s="169">
        <v>0</v>
      </c>
      <c r="I199" s="169">
        <v>0</v>
      </c>
      <c r="J199" s="170">
        <v>6.4212810875710798E-4</v>
      </c>
      <c r="K199" s="170">
        <v>0</v>
      </c>
      <c r="L199" s="169">
        <v>0</v>
      </c>
      <c r="M199" s="169">
        <v>0</v>
      </c>
      <c r="N199" s="169">
        <v>0</v>
      </c>
      <c r="O199" s="170">
        <v>0</v>
      </c>
      <c r="P199" s="170">
        <v>0</v>
      </c>
      <c r="Q199" s="169">
        <v>0</v>
      </c>
      <c r="R199" s="170">
        <v>0</v>
      </c>
      <c r="S199" s="170">
        <v>0</v>
      </c>
      <c r="T199" s="15">
        <v>0</v>
      </c>
      <c r="U199" s="15">
        <v>3.9041854399880045E-4</v>
      </c>
      <c r="V199" s="15"/>
    </row>
    <row r="200" spans="1:22" x14ac:dyDescent="0.25">
      <c r="A200" s="166"/>
      <c r="B200" s="207" t="s">
        <v>72</v>
      </c>
      <c r="C200" s="208">
        <v>-3.1480413673622615E-4</v>
      </c>
      <c r="D200" s="209">
        <v>0</v>
      </c>
      <c r="E200" s="209">
        <v>-2.124598355413489E-2</v>
      </c>
      <c r="F200" s="209">
        <v>1.7965842905317506E-5</v>
      </c>
      <c r="G200" s="209">
        <v>0</v>
      </c>
      <c r="H200" s="209">
        <v>0</v>
      </c>
      <c r="I200" s="209">
        <v>0</v>
      </c>
      <c r="J200" s="210">
        <v>-1.0227088755972016E-2</v>
      </c>
      <c r="K200" s="210">
        <v>0</v>
      </c>
      <c r="L200" s="209">
        <v>0</v>
      </c>
      <c r="M200" s="209">
        <v>0</v>
      </c>
      <c r="N200" s="209">
        <v>0</v>
      </c>
      <c r="O200" s="210">
        <v>0</v>
      </c>
      <c r="P200" s="210">
        <v>0</v>
      </c>
      <c r="Q200" s="209">
        <v>0</v>
      </c>
      <c r="R200" s="210">
        <v>0</v>
      </c>
      <c r="S200" s="210">
        <v>0</v>
      </c>
      <c r="T200" s="15">
        <v>0</v>
      </c>
      <c r="U200" s="15">
        <v>-4.5973272443070859E-3</v>
      </c>
      <c r="V200" s="15"/>
    </row>
    <row r="201" spans="1:22" x14ac:dyDescent="0.25">
      <c r="A201" s="166"/>
      <c r="B201" s="268" t="s">
        <v>73</v>
      </c>
      <c r="C201" s="524">
        <v>0</v>
      </c>
      <c r="D201" s="525">
        <v>0</v>
      </c>
      <c r="E201" s="525">
        <v>0</v>
      </c>
      <c r="F201" s="525">
        <v>0</v>
      </c>
      <c r="G201" s="525">
        <v>0</v>
      </c>
      <c r="H201" s="525">
        <v>0</v>
      </c>
      <c r="I201" s="525">
        <v>0</v>
      </c>
      <c r="J201" s="536">
        <v>0</v>
      </c>
      <c r="K201" s="536">
        <v>0</v>
      </c>
      <c r="L201" s="525">
        <v>0</v>
      </c>
      <c r="M201" s="525">
        <v>0</v>
      </c>
      <c r="N201" s="525">
        <v>0</v>
      </c>
      <c r="O201" s="536">
        <v>0</v>
      </c>
      <c r="P201" s="165">
        <v>0</v>
      </c>
      <c r="Q201" s="525">
        <v>0</v>
      </c>
      <c r="R201" s="536">
        <v>0</v>
      </c>
      <c r="S201" s="536">
        <v>0</v>
      </c>
      <c r="T201" s="15">
        <v>0</v>
      </c>
      <c r="U201" s="15">
        <v>0</v>
      </c>
      <c r="V201" s="15"/>
    </row>
    <row r="202" spans="1:22" x14ac:dyDescent="0.25">
      <c r="A202" s="166"/>
      <c r="B202" s="167" t="s">
        <v>74</v>
      </c>
      <c r="C202" s="168">
        <v>0</v>
      </c>
      <c r="D202" s="169">
        <v>0</v>
      </c>
      <c r="E202" s="169">
        <v>0</v>
      </c>
      <c r="F202" s="169">
        <v>0</v>
      </c>
      <c r="G202" s="169">
        <v>0</v>
      </c>
      <c r="H202" s="169">
        <v>0</v>
      </c>
      <c r="I202" s="169">
        <v>0</v>
      </c>
      <c r="J202" s="170">
        <v>0</v>
      </c>
      <c r="K202" s="170">
        <v>0</v>
      </c>
      <c r="L202" s="169">
        <v>0</v>
      </c>
      <c r="M202" s="169">
        <v>0</v>
      </c>
      <c r="N202" s="169">
        <v>0</v>
      </c>
      <c r="O202" s="170">
        <v>0</v>
      </c>
      <c r="P202" s="170">
        <v>0</v>
      </c>
      <c r="Q202" s="169">
        <v>0</v>
      </c>
      <c r="R202" s="170">
        <v>0</v>
      </c>
      <c r="S202" s="170">
        <v>0</v>
      </c>
      <c r="T202" s="15">
        <v>0</v>
      </c>
      <c r="U202" s="15">
        <v>0</v>
      </c>
      <c r="V202" s="15"/>
    </row>
    <row r="203" spans="1:22" ht="15.75" thickBot="1" x14ac:dyDescent="0.3">
      <c r="A203" s="166"/>
      <c r="B203" s="531" t="s">
        <v>75</v>
      </c>
      <c r="C203" s="532">
        <v>0</v>
      </c>
      <c r="D203" s="533">
        <v>0</v>
      </c>
      <c r="E203" s="533">
        <v>0</v>
      </c>
      <c r="F203" s="533">
        <v>0</v>
      </c>
      <c r="G203" s="533">
        <v>0</v>
      </c>
      <c r="H203" s="533">
        <v>0</v>
      </c>
      <c r="I203" s="533">
        <v>0</v>
      </c>
      <c r="J203" s="537">
        <v>0</v>
      </c>
      <c r="K203" s="537">
        <v>0</v>
      </c>
      <c r="L203" s="533">
        <v>0</v>
      </c>
      <c r="M203" s="533">
        <v>0</v>
      </c>
      <c r="N203" s="533">
        <v>0</v>
      </c>
      <c r="O203" s="537">
        <v>0</v>
      </c>
      <c r="P203" s="537">
        <v>0</v>
      </c>
      <c r="Q203" s="533">
        <v>0</v>
      </c>
      <c r="R203" s="537">
        <v>0</v>
      </c>
      <c r="S203" s="537">
        <v>0</v>
      </c>
      <c r="T203" s="15">
        <v>0</v>
      </c>
      <c r="U203" s="15">
        <v>0</v>
      </c>
      <c r="V203" s="15"/>
    </row>
    <row r="204" spans="1:22" ht="15.75" thickTop="1" x14ac:dyDescent="0.25">
      <c r="A204" s="166"/>
      <c r="B204" s="167" t="s">
        <v>76</v>
      </c>
      <c r="C204" s="168">
        <v>0.86570612399362756</v>
      </c>
      <c r="D204" s="169">
        <v>0</v>
      </c>
      <c r="E204" s="169">
        <v>0.45775277168519168</v>
      </c>
      <c r="F204" s="169">
        <v>0.72952700317684438</v>
      </c>
      <c r="G204" s="169">
        <v>0</v>
      </c>
      <c r="H204" s="169">
        <v>0</v>
      </c>
      <c r="I204" s="169">
        <v>0</v>
      </c>
      <c r="J204" s="170">
        <v>0.68344099143344705</v>
      </c>
      <c r="K204" s="170">
        <v>0</v>
      </c>
      <c r="L204" s="169">
        <v>0</v>
      </c>
      <c r="M204" s="169">
        <v>0</v>
      </c>
      <c r="N204" s="169">
        <v>0</v>
      </c>
      <c r="O204" s="170">
        <v>0</v>
      </c>
      <c r="P204" s="170">
        <v>0</v>
      </c>
      <c r="Q204" s="169">
        <v>0</v>
      </c>
      <c r="R204" s="170">
        <v>0</v>
      </c>
      <c r="S204" s="170">
        <v>0</v>
      </c>
      <c r="T204" s="15">
        <v>0</v>
      </c>
      <c r="U204" s="15">
        <v>0.68344099143344705</v>
      </c>
      <c r="V204" s="15"/>
    </row>
    <row r="205" spans="1:22" x14ac:dyDescent="0.25">
      <c r="A205" s="166"/>
      <c r="B205" s="167" t="s">
        <v>77</v>
      </c>
      <c r="C205" s="168">
        <v>0.76386884720218051</v>
      </c>
      <c r="D205" s="169">
        <v>0</v>
      </c>
      <c r="E205" s="169">
        <v>0.43902562251894622</v>
      </c>
      <c r="F205" s="169">
        <v>0.70748253171426634</v>
      </c>
      <c r="G205" s="169">
        <v>0</v>
      </c>
      <c r="H205" s="169">
        <v>0</v>
      </c>
      <c r="I205" s="169">
        <v>0</v>
      </c>
      <c r="J205" s="170">
        <v>0.59576380655778316</v>
      </c>
      <c r="K205" s="170">
        <v>0</v>
      </c>
      <c r="L205" s="169">
        <v>0</v>
      </c>
      <c r="M205" s="169">
        <v>0</v>
      </c>
      <c r="N205" s="169">
        <v>0</v>
      </c>
      <c r="O205" s="170">
        <v>0</v>
      </c>
      <c r="P205" s="170">
        <v>0</v>
      </c>
      <c r="Q205" s="169">
        <v>0</v>
      </c>
      <c r="R205" s="170">
        <v>0</v>
      </c>
      <c r="S205" s="170">
        <v>0</v>
      </c>
      <c r="T205" s="15">
        <v>0</v>
      </c>
      <c r="U205" s="15">
        <v>0.59576380655778316</v>
      </c>
      <c r="V205" s="15"/>
    </row>
    <row r="206" spans="1:22" x14ac:dyDescent="0.25">
      <c r="A206" s="166"/>
      <c r="B206" s="207" t="s">
        <v>78</v>
      </c>
      <c r="C206" s="534">
        <v>-10.183727679144706</v>
      </c>
      <c r="D206" s="209">
        <v>0</v>
      </c>
      <c r="E206" s="209">
        <v>-1.872714916624546</v>
      </c>
      <c r="F206" s="209">
        <v>-2.2044471462578041</v>
      </c>
      <c r="G206" s="209">
        <v>0</v>
      </c>
      <c r="H206" s="209">
        <v>0</v>
      </c>
      <c r="I206" s="209">
        <v>0</v>
      </c>
      <c r="J206" s="210">
        <v>-8.7677184875663894</v>
      </c>
      <c r="K206" s="210">
        <v>0</v>
      </c>
      <c r="L206" s="209">
        <v>0</v>
      </c>
      <c r="M206" s="209">
        <v>0</v>
      </c>
      <c r="N206" s="209">
        <v>0</v>
      </c>
      <c r="O206" s="210">
        <v>0</v>
      </c>
      <c r="P206" s="210">
        <v>0</v>
      </c>
      <c r="Q206" s="209">
        <v>0</v>
      </c>
      <c r="R206" s="210">
        <v>0</v>
      </c>
      <c r="S206" s="210">
        <v>0</v>
      </c>
      <c r="T206" s="15">
        <v>0</v>
      </c>
      <c r="U206" s="15">
        <v>-8.7677184875663894</v>
      </c>
      <c r="V206" s="15"/>
    </row>
    <row r="207" spans="1:22" x14ac:dyDescent="0.25">
      <c r="A207" s="166"/>
      <c r="B207" s="268" t="s">
        <v>79</v>
      </c>
      <c r="C207" s="524">
        <v>3.6699403653765159E-2</v>
      </c>
      <c r="D207" s="525">
        <v>0</v>
      </c>
      <c r="E207" s="525">
        <v>5.0111079323705281E-2</v>
      </c>
      <c r="F207" s="525">
        <v>2.6120720084715849E-2</v>
      </c>
      <c r="G207" s="525">
        <v>0</v>
      </c>
      <c r="H207" s="525">
        <v>0</v>
      </c>
      <c r="I207" s="525">
        <v>0</v>
      </c>
      <c r="J207" s="536">
        <v>4.0745656491063501E-2</v>
      </c>
      <c r="K207" s="536">
        <v>0</v>
      </c>
      <c r="L207" s="525">
        <v>0</v>
      </c>
      <c r="M207" s="525">
        <v>0</v>
      </c>
      <c r="N207" s="525">
        <v>0</v>
      </c>
      <c r="O207" s="536">
        <v>0</v>
      </c>
      <c r="P207" s="165">
        <v>0</v>
      </c>
      <c r="Q207" s="525">
        <v>0</v>
      </c>
      <c r="R207" s="536">
        <v>0</v>
      </c>
      <c r="S207" s="536">
        <v>0</v>
      </c>
      <c r="T207" s="15">
        <v>0</v>
      </c>
      <c r="U207" s="15">
        <v>4.0745656491063501E-2</v>
      </c>
      <c r="V207" s="15"/>
    </row>
    <row r="208" spans="1:22" x14ac:dyDescent="0.25">
      <c r="A208" s="166"/>
      <c r="B208" s="167" t="s">
        <v>80</v>
      </c>
      <c r="C208" s="168">
        <v>6.2189353856020521E-2</v>
      </c>
      <c r="D208" s="169">
        <v>0</v>
      </c>
      <c r="E208" s="169">
        <v>4.0880548538433779E-2</v>
      </c>
      <c r="F208" s="169">
        <v>2.6818623793048866E-2</v>
      </c>
      <c r="G208" s="169">
        <v>0</v>
      </c>
      <c r="H208" s="169">
        <v>0</v>
      </c>
      <c r="I208" s="169">
        <v>0</v>
      </c>
      <c r="J208" s="170">
        <v>4.6205297896059316E-2</v>
      </c>
      <c r="K208" s="170">
        <v>0</v>
      </c>
      <c r="L208" s="169">
        <v>0</v>
      </c>
      <c r="M208" s="169">
        <v>0</v>
      </c>
      <c r="N208" s="169">
        <v>0</v>
      </c>
      <c r="O208" s="170">
        <v>0</v>
      </c>
      <c r="P208" s="170">
        <v>0</v>
      </c>
      <c r="Q208" s="169">
        <v>0</v>
      </c>
      <c r="R208" s="170">
        <v>0</v>
      </c>
      <c r="S208" s="170">
        <v>0</v>
      </c>
      <c r="T208" s="15">
        <v>0</v>
      </c>
      <c r="U208" s="15">
        <v>4.6205297896059316E-2</v>
      </c>
      <c r="V208" s="15"/>
    </row>
    <row r="209" spans="1:22" x14ac:dyDescent="0.25">
      <c r="A209" s="166"/>
      <c r="B209" s="207" t="s">
        <v>81</v>
      </c>
      <c r="C209" s="208">
        <v>2.5489950202255365</v>
      </c>
      <c r="D209" s="209">
        <v>0</v>
      </c>
      <c r="E209" s="209">
        <v>-0.92305307852715013</v>
      </c>
      <c r="F209" s="209">
        <v>6.9790370833301696E-2</v>
      </c>
      <c r="G209" s="209">
        <v>0</v>
      </c>
      <c r="H209" s="209">
        <v>0</v>
      </c>
      <c r="I209" s="209">
        <v>0</v>
      </c>
      <c r="J209" s="210">
        <v>0.54596414049958164</v>
      </c>
      <c r="K209" s="210">
        <v>0</v>
      </c>
      <c r="L209" s="209">
        <v>0</v>
      </c>
      <c r="M209" s="209">
        <v>0</v>
      </c>
      <c r="N209" s="209">
        <v>0</v>
      </c>
      <c r="O209" s="210">
        <v>0</v>
      </c>
      <c r="P209" s="210">
        <v>0</v>
      </c>
      <c r="Q209" s="209">
        <v>0</v>
      </c>
      <c r="R209" s="210">
        <v>0</v>
      </c>
      <c r="S209" s="210">
        <v>0</v>
      </c>
      <c r="T209" s="15">
        <v>0</v>
      </c>
      <c r="U209" s="15">
        <v>0.54596414049958164</v>
      </c>
      <c r="V209" s="15"/>
    </row>
    <row r="210" spans="1:22" x14ac:dyDescent="0.25">
      <c r="A210" s="166"/>
      <c r="B210" s="268" t="s">
        <v>82</v>
      </c>
      <c r="C210" s="524">
        <v>8.865233075547363E-2</v>
      </c>
      <c r="D210" s="525">
        <v>0</v>
      </c>
      <c r="E210" s="525">
        <v>0.45752319597642083</v>
      </c>
      <c r="F210" s="525">
        <v>0.24435227673843982</v>
      </c>
      <c r="G210" s="525">
        <v>0</v>
      </c>
      <c r="H210" s="525">
        <v>0</v>
      </c>
      <c r="I210" s="525">
        <v>0</v>
      </c>
      <c r="J210" s="536">
        <v>0.25766520445534885</v>
      </c>
      <c r="K210" s="536">
        <v>0</v>
      </c>
      <c r="L210" s="525">
        <v>0</v>
      </c>
      <c r="M210" s="525">
        <v>0</v>
      </c>
      <c r="N210" s="525">
        <v>0</v>
      </c>
      <c r="O210" s="536">
        <v>0</v>
      </c>
      <c r="P210" s="165">
        <v>0</v>
      </c>
      <c r="Q210" s="525">
        <v>0</v>
      </c>
      <c r="R210" s="536">
        <v>0</v>
      </c>
      <c r="S210" s="536">
        <v>0</v>
      </c>
      <c r="T210" s="15">
        <v>0</v>
      </c>
      <c r="U210" s="15">
        <v>0.25766520445534885</v>
      </c>
      <c r="V210" s="15"/>
    </row>
    <row r="211" spans="1:22" x14ac:dyDescent="0.25">
      <c r="A211" s="166"/>
      <c r="B211" s="167" t="s">
        <v>83</v>
      </c>
      <c r="C211" s="168">
        <v>0.16602533269199937</v>
      </c>
      <c r="D211" s="169">
        <v>0</v>
      </c>
      <c r="E211" s="169">
        <v>0.48963551064597616</v>
      </c>
      <c r="F211" s="169">
        <v>0.26569884449268483</v>
      </c>
      <c r="G211" s="169">
        <v>0</v>
      </c>
      <c r="H211" s="169">
        <v>0</v>
      </c>
      <c r="I211" s="169">
        <v>0</v>
      </c>
      <c r="J211" s="170">
        <v>0.34030046184063845</v>
      </c>
      <c r="K211" s="170">
        <v>0</v>
      </c>
      <c r="L211" s="169">
        <v>0</v>
      </c>
      <c r="M211" s="169">
        <v>0</v>
      </c>
      <c r="N211" s="169">
        <v>0</v>
      </c>
      <c r="O211" s="170">
        <v>0</v>
      </c>
      <c r="P211" s="170">
        <v>0</v>
      </c>
      <c r="Q211" s="169">
        <v>0</v>
      </c>
      <c r="R211" s="170">
        <v>0</v>
      </c>
      <c r="S211" s="170">
        <v>0</v>
      </c>
      <c r="T211" s="15">
        <v>0</v>
      </c>
      <c r="U211" s="15">
        <v>0.34030046184063845</v>
      </c>
      <c r="V211" s="15"/>
    </row>
    <row r="212" spans="1:22" x14ac:dyDescent="0.25">
      <c r="A212" s="166"/>
      <c r="B212" s="207" t="s">
        <v>84</v>
      </c>
      <c r="C212" s="534">
        <v>7.7373001936525743</v>
      </c>
      <c r="D212" s="209">
        <v>0</v>
      </c>
      <c r="E212" s="209">
        <v>3.2112314669555331</v>
      </c>
      <c r="F212" s="209">
        <v>2.1346567754245012</v>
      </c>
      <c r="G212" s="209">
        <v>0</v>
      </c>
      <c r="H212" s="209">
        <v>0</v>
      </c>
      <c r="I212" s="209">
        <v>0</v>
      </c>
      <c r="J212" s="210">
        <v>8.2635257385289602</v>
      </c>
      <c r="K212" s="210">
        <v>0</v>
      </c>
      <c r="L212" s="209">
        <v>0</v>
      </c>
      <c r="M212" s="209">
        <v>0</v>
      </c>
      <c r="N212" s="209">
        <v>0</v>
      </c>
      <c r="O212" s="210">
        <v>0</v>
      </c>
      <c r="P212" s="210">
        <v>0</v>
      </c>
      <c r="Q212" s="209">
        <v>0</v>
      </c>
      <c r="R212" s="210">
        <v>0</v>
      </c>
      <c r="S212" s="210">
        <v>0</v>
      </c>
      <c r="T212" s="15">
        <v>0</v>
      </c>
      <c r="U212" s="15">
        <v>8.2635257385289602</v>
      </c>
      <c r="V212" s="15"/>
    </row>
    <row r="213" spans="1:22" x14ac:dyDescent="0.25">
      <c r="A213" s="166"/>
      <c r="B213" s="268" t="s">
        <v>85</v>
      </c>
      <c r="C213" s="524">
        <v>8.9055184916163616E-3</v>
      </c>
      <c r="D213" s="525">
        <v>0</v>
      </c>
      <c r="E213" s="525">
        <v>3.4337462164157229E-2</v>
      </c>
      <c r="F213" s="525">
        <v>0</v>
      </c>
      <c r="G213" s="525">
        <v>0</v>
      </c>
      <c r="H213" s="525">
        <v>0</v>
      </c>
      <c r="I213" s="525">
        <v>0</v>
      </c>
      <c r="J213" s="536">
        <v>1.8019841784648636E-2</v>
      </c>
      <c r="K213" s="536">
        <v>0</v>
      </c>
      <c r="L213" s="525">
        <v>0</v>
      </c>
      <c r="M213" s="525">
        <v>0</v>
      </c>
      <c r="N213" s="525">
        <v>0</v>
      </c>
      <c r="O213" s="536">
        <v>0</v>
      </c>
      <c r="P213" s="165">
        <v>0</v>
      </c>
      <c r="Q213" s="525">
        <v>0</v>
      </c>
      <c r="R213" s="536">
        <v>0</v>
      </c>
      <c r="S213" s="536">
        <v>0</v>
      </c>
      <c r="T213" s="15">
        <v>0</v>
      </c>
      <c r="U213" s="15">
        <v>1.8019841784648636E-2</v>
      </c>
      <c r="V213" s="15"/>
    </row>
    <row r="214" spans="1:22" x14ac:dyDescent="0.25">
      <c r="A214" s="166"/>
      <c r="B214" s="167" t="s">
        <v>86</v>
      </c>
      <c r="C214" s="168">
        <v>7.9164662497995825E-3</v>
      </c>
      <c r="D214" s="169">
        <v>0</v>
      </c>
      <c r="E214" s="169">
        <v>3.0198484301696138E-2</v>
      </c>
      <c r="F214" s="169">
        <v>0</v>
      </c>
      <c r="G214" s="169">
        <v>0</v>
      </c>
      <c r="H214" s="169">
        <v>0</v>
      </c>
      <c r="I214" s="169">
        <v>0</v>
      </c>
      <c r="J214" s="170">
        <v>1.7603029391467451E-2</v>
      </c>
      <c r="K214" s="170">
        <v>0</v>
      </c>
      <c r="L214" s="169">
        <v>0</v>
      </c>
      <c r="M214" s="169">
        <v>0</v>
      </c>
      <c r="N214" s="169">
        <v>0</v>
      </c>
      <c r="O214" s="170">
        <v>0</v>
      </c>
      <c r="P214" s="170">
        <v>0</v>
      </c>
      <c r="Q214" s="169">
        <v>0</v>
      </c>
      <c r="R214" s="170">
        <v>0</v>
      </c>
      <c r="S214" s="170">
        <v>0</v>
      </c>
      <c r="T214" s="15">
        <v>0</v>
      </c>
      <c r="U214" s="15">
        <v>1.7603029391467451E-2</v>
      </c>
      <c r="V214" s="15"/>
    </row>
    <row r="215" spans="1:22" x14ac:dyDescent="0.25">
      <c r="A215" s="166"/>
      <c r="B215" s="207" t="s">
        <v>87</v>
      </c>
      <c r="C215" s="208">
        <v>-9.8905224181677909E-2</v>
      </c>
      <c r="D215" s="209">
        <v>0</v>
      </c>
      <c r="E215" s="209">
        <v>-0.41389778624610907</v>
      </c>
      <c r="F215" s="209">
        <v>0</v>
      </c>
      <c r="G215" s="209">
        <v>0</v>
      </c>
      <c r="H215" s="209">
        <v>0</v>
      </c>
      <c r="I215" s="209">
        <v>0</v>
      </c>
      <c r="J215" s="210">
        <v>-4.1681239318118457E-2</v>
      </c>
      <c r="K215" s="210">
        <v>0</v>
      </c>
      <c r="L215" s="209">
        <v>0</v>
      </c>
      <c r="M215" s="209">
        <v>0</v>
      </c>
      <c r="N215" s="209">
        <v>0</v>
      </c>
      <c r="O215" s="210">
        <v>0</v>
      </c>
      <c r="P215" s="210">
        <v>0</v>
      </c>
      <c r="Q215" s="209">
        <v>0</v>
      </c>
      <c r="R215" s="210">
        <v>0</v>
      </c>
      <c r="S215" s="210">
        <v>0</v>
      </c>
      <c r="T215" s="15">
        <v>0</v>
      </c>
      <c r="U215" s="15">
        <v>-4.1681239318118457E-2</v>
      </c>
      <c r="V215" s="15"/>
    </row>
    <row r="216" spans="1:22" x14ac:dyDescent="0.25">
      <c r="A216" s="166"/>
      <c r="B216" s="268" t="s">
        <v>88</v>
      </c>
      <c r="C216" s="524">
        <v>3.6623105517270849E-5</v>
      </c>
      <c r="D216" s="525">
        <v>0</v>
      </c>
      <c r="E216" s="525">
        <v>2.7549085052502197E-4</v>
      </c>
      <c r="F216" s="525">
        <v>0</v>
      </c>
      <c r="G216" s="525">
        <v>0</v>
      </c>
      <c r="H216" s="525">
        <v>0</v>
      </c>
      <c r="I216" s="525">
        <v>0</v>
      </c>
      <c r="J216" s="536">
        <v>1.283058354919602E-4</v>
      </c>
      <c r="K216" s="536">
        <v>0</v>
      </c>
      <c r="L216" s="525">
        <v>0</v>
      </c>
      <c r="M216" s="525">
        <v>0</v>
      </c>
      <c r="N216" s="525">
        <v>0</v>
      </c>
      <c r="O216" s="536">
        <v>0</v>
      </c>
      <c r="P216" s="165">
        <v>0</v>
      </c>
      <c r="Q216" s="525">
        <v>0</v>
      </c>
      <c r="R216" s="536">
        <v>0</v>
      </c>
      <c r="S216" s="536">
        <v>0</v>
      </c>
      <c r="T216" s="15">
        <v>0</v>
      </c>
      <c r="U216" s="15">
        <v>1.283058354919602E-4</v>
      </c>
      <c r="V216" s="15"/>
    </row>
    <row r="217" spans="1:22" x14ac:dyDescent="0.25">
      <c r="A217" s="166"/>
      <c r="B217" s="167" t="s">
        <v>89</v>
      </c>
      <c r="C217" s="168">
        <v>0</v>
      </c>
      <c r="D217" s="169">
        <v>0</v>
      </c>
      <c r="E217" s="169">
        <v>2.5983399494767232E-4</v>
      </c>
      <c r="F217" s="169">
        <v>0</v>
      </c>
      <c r="G217" s="169">
        <v>0</v>
      </c>
      <c r="H217" s="169">
        <v>0</v>
      </c>
      <c r="I217" s="169">
        <v>0</v>
      </c>
      <c r="J217" s="170">
        <v>1.2740431405163413E-4</v>
      </c>
      <c r="K217" s="170">
        <v>0</v>
      </c>
      <c r="L217" s="169">
        <v>0</v>
      </c>
      <c r="M217" s="169">
        <v>0</v>
      </c>
      <c r="N217" s="169">
        <v>0</v>
      </c>
      <c r="O217" s="170">
        <v>0</v>
      </c>
      <c r="P217" s="170">
        <v>0</v>
      </c>
      <c r="Q217" s="169">
        <v>0</v>
      </c>
      <c r="R217" s="170">
        <v>0</v>
      </c>
      <c r="S217" s="170">
        <v>0</v>
      </c>
      <c r="T217" s="15">
        <v>0</v>
      </c>
      <c r="U217" s="15">
        <v>1.2740431405163413E-4</v>
      </c>
      <c r="V217" s="15"/>
    </row>
    <row r="218" spans="1:22" x14ac:dyDescent="0.25">
      <c r="A218" s="166"/>
      <c r="B218" s="207" t="s">
        <v>90</v>
      </c>
      <c r="C218" s="208">
        <v>-3.6623105517270848E-3</v>
      </c>
      <c r="D218" s="209">
        <v>0</v>
      </c>
      <c r="E218" s="209">
        <v>-1.565685557734965E-3</v>
      </c>
      <c r="F218" s="209">
        <v>0</v>
      </c>
      <c r="G218" s="209">
        <v>0</v>
      </c>
      <c r="H218" s="209">
        <v>0</v>
      </c>
      <c r="I218" s="209">
        <v>0</v>
      </c>
      <c r="J218" s="210">
        <v>-9.0152144032606832E-5</v>
      </c>
      <c r="K218" s="210">
        <v>0</v>
      </c>
      <c r="L218" s="209">
        <v>0</v>
      </c>
      <c r="M218" s="209">
        <v>0</v>
      </c>
      <c r="N218" s="209">
        <v>0</v>
      </c>
      <c r="O218" s="210">
        <v>0</v>
      </c>
      <c r="P218" s="210">
        <v>0</v>
      </c>
      <c r="Q218" s="209">
        <v>0</v>
      </c>
      <c r="R218" s="210">
        <v>0</v>
      </c>
      <c r="S218" s="210">
        <v>0</v>
      </c>
      <c r="T218" s="15">
        <v>0</v>
      </c>
      <c r="U218" s="15">
        <v>-9.0152144032606832E-5</v>
      </c>
      <c r="V218" s="15"/>
    </row>
    <row r="219" spans="1:22" x14ac:dyDescent="0.25">
      <c r="A219" s="166"/>
      <c r="B219" s="268" t="s">
        <v>91</v>
      </c>
      <c r="C219" s="524">
        <v>0</v>
      </c>
      <c r="D219" s="525">
        <v>0</v>
      </c>
      <c r="E219" s="525">
        <v>0</v>
      </c>
      <c r="F219" s="525">
        <v>0</v>
      </c>
      <c r="G219" s="525">
        <v>0</v>
      </c>
      <c r="H219" s="525">
        <v>0</v>
      </c>
      <c r="I219" s="525">
        <v>0</v>
      </c>
      <c r="J219" s="536">
        <v>0</v>
      </c>
      <c r="K219" s="536">
        <v>0</v>
      </c>
      <c r="L219" s="525">
        <v>0</v>
      </c>
      <c r="M219" s="525">
        <v>0</v>
      </c>
      <c r="N219" s="525">
        <v>0</v>
      </c>
      <c r="O219" s="536">
        <v>0</v>
      </c>
      <c r="P219" s="165">
        <v>0</v>
      </c>
      <c r="Q219" s="525">
        <v>0</v>
      </c>
      <c r="R219" s="536">
        <v>0</v>
      </c>
      <c r="S219" s="536">
        <v>0</v>
      </c>
      <c r="T219" s="15">
        <v>0</v>
      </c>
      <c r="U219" s="15">
        <v>0</v>
      </c>
      <c r="V219" s="15"/>
    </row>
    <row r="220" spans="1:22" x14ac:dyDescent="0.25">
      <c r="A220" s="166"/>
      <c r="B220" s="167" t="s">
        <v>92</v>
      </c>
      <c r="C220" s="168">
        <v>0</v>
      </c>
      <c r="D220" s="169">
        <v>0</v>
      </c>
      <c r="E220" s="169">
        <v>0</v>
      </c>
      <c r="F220" s="169">
        <v>0</v>
      </c>
      <c r="G220" s="169">
        <v>0</v>
      </c>
      <c r="H220" s="169">
        <v>0</v>
      </c>
      <c r="I220" s="169">
        <v>0</v>
      </c>
      <c r="J220" s="170">
        <v>0</v>
      </c>
      <c r="K220" s="170">
        <v>0</v>
      </c>
      <c r="L220" s="169">
        <v>0</v>
      </c>
      <c r="M220" s="169">
        <v>0</v>
      </c>
      <c r="N220" s="169">
        <v>0</v>
      </c>
      <c r="O220" s="170">
        <v>0</v>
      </c>
      <c r="P220" s="170">
        <v>0</v>
      </c>
      <c r="Q220" s="169">
        <v>0</v>
      </c>
      <c r="R220" s="170">
        <v>0</v>
      </c>
      <c r="S220" s="170">
        <v>0</v>
      </c>
      <c r="T220" s="15">
        <v>0</v>
      </c>
      <c r="U220" s="15">
        <v>0</v>
      </c>
      <c r="V220" s="15"/>
    </row>
    <row r="221" spans="1:22" ht="15.75" thickBot="1" x14ac:dyDescent="0.3">
      <c r="A221" s="540"/>
      <c r="B221" s="541" t="s">
        <v>93</v>
      </c>
      <c r="C221" s="542">
        <v>0</v>
      </c>
      <c r="D221" s="543">
        <v>0</v>
      </c>
      <c r="E221" s="543">
        <v>0</v>
      </c>
      <c r="F221" s="543">
        <v>0</v>
      </c>
      <c r="G221" s="543">
        <v>0</v>
      </c>
      <c r="H221" s="543">
        <v>0</v>
      </c>
      <c r="I221" s="543">
        <v>0</v>
      </c>
      <c r="J221" s="544">
        <v>0</v>
      </c>
      <c r="K221" s="544">
        <v>0</v>
      </c>
      <c r="L221" s="543">
        <v>0</v>
      </c>
      <c r="M221" s="543">
        <v>0</v>
      </c>
      <c r="N221" s="543">
        <v>0</v>
      </c>
      <c r="O221" s="544">
        <v>0</v>
      </c>
      <c r="P221" s="544">
        <v>0</v>
      </c>
      <c r="Q221" s="543">
        <v>0</v>
      </c>
      <c r="R221" s="544">
        <v>0</v>
      </c>
      <c r="S221" s="544">
        <v>0</v>
      </c>
      <c r="T221" s="15">
        <v>0</v>
      </c>
      <c r="U221" s="15">
        <v>0</v>
      </c>
      <c r="V221" s="15"/>
    </row>
    <row r="222" spans="1:22" x14ac:dyDescent="0.25">
      <c r="A222" s="523" t="s">
        <v>45</v>
      </c>
      <c r="B222" s="268" t="s">
        <v>59</v>
      </c>
      <c r="C222" s="524">
        <v>0</v>
      </c>
      <c r="D222" s="525">
        <v>0</v>
      </c>
      <c r="E222" s="525">
        <v>0</v>
      </c>
      <c r="F222" s="525">
        <v>0</v>
      </c>
      <c r="G222" s="525">
        <v>0</v>
      </c>
      <c r="H222" s="525">
        <v>0</v>
      </c>
      <c r="I222" s="525">
        <v>0</v>
      </c>
      <c r="J222" s="536">
        <v>0</v>
      </c>
      <c r="K222" s="536">
        <v>0</v>
      </c>
      <c r="L222" s="525">
        <v>0</v>
      </c>
      <c r="M222" s="525">
        <v>0</v>
      </c>
      <c r="N222" s="525">
        <v>0</v>
      </c>
      <c r="O222" s="536">
        <v>0</v>
      </c>
      <c r="P222" s="165">
        <v>0</v>
      </c>
      <c r="Q222" s="525">
        <v>0</v>
      </c>
      <c r="R222" s="536">
        <v>0</v>
      </c>
      <c r="S222" s="536">
        <v>0</v>
      </c>
      <c r="T222" s="15">
        <v>0</v>
      </c>
      <c r="U222" s="15">
        <v>0</v>
      </c>
      <c r="V222" s="15"/>
    </row>
    <row r="223" spans="1:22" x14ac:dyDescent="0.25">
      <c r="A223" s="166"/>
      <c r="B223" s="167" t="s">
        <v>60</v>
      </c>
      <c r="C223" s="168">
        <v>0</v>
      </c>
      <c r="D223" s="169">
        <v>0</v>
      </c>
      <c r="E223" s="169">
        <v>0</v>
      </c>
      <c r="F223" s="169">
        <v>0</v>
      </c>
      <c r="G223" s="169">
        <v>0</v>
      </c>
      <c r="H223" s="169">
        <v>0</v>
      </c>
      <c r="I223" s="169">
        <v>0</v>
      </c>
      <c r="J223" s="170">
        <v>0</v>
      </c>
      <c r="K223" s="170">
        <v>0</v>
      </c>
      <c r="L223" s="169">
        <v>0</v>
      </c>
      <c r="M223" s="169">
        <v>0</v>
      </c>
      <c r="N223" s="169">
        <v>0</v>
      </c>
      <c r="O223" s="170">
        <v>0</v>
      </c>
      <c r="P223" s="170">
        <v>0</v>
      </c>
      <c r="Q223" s="169">
        <v>0</v>
      </c>
      <c r="R223" s="170">
        <v>0</v>
      </c>
      <c r="S223" s="170">
        <v>0</v>
      </c>
      <c r="T223" s="15">
        <v>0</v>
      </c>
      <c r="U223" s="15">
        <v>0</v>
      </c>
      <c r="V223" s="15"/>
    </row>
    <row r="224" spans="1:22" x14ac:dyDescent="0.25">
      <c r="A224" s="166"/>
      <c r="B224" s="207" t="s">
        <v>772</v>
      </c>
      <c r="C224" s="208">
        <v>0</v>
      </c>
      <c r="D224" s="209">
        <v>0</v>
      </c>
      <c r="E224" s="209">
        <v>0</v>
      </c>
      <c r="F224" s="209">
        <v>0</v>
      </c>
      <c r="G224" s="209">
        <v>0</v>
      </c>
      <c r="H224" s="209">
        <v>0</v>
      </c>
      <c r="I224" s="209">
        <v>0</v>
      </c>
      <c r="J224" s="210">
        <v>0</v>
      </c>
      <c r="K224" s="210">
        <v>0</v>
      </c>
      <c r="L224" s="209">
        <v>0</v>
      </c>
      <c r="M224" s="209">
        <v>0</v>
      </c>
      <c r="N224" s="209">
        <v>0</v>
      </c>
      <c r="O224" s="210">
        <v>0</v>
      </c>
      <c r="P224" s="210">
        <v>0</v>
      </c>
      <c r="Q224" s="209">
        <v>0</v>
      </c>
      <c r="R224" s="210">
        <v>0</v>
      </c>
      <c r="S224" s="210">
        <v>0</v>
      </c>
      <c r="T224" s="15">
        <v>0</v>
      </c>
      <c r="U224" s="15">
        <v>0</v>
      </c>
      <c r="V224" s="15"/>
    </row>
    <row r="225" spans="1:22" x14ac:dyDescent="0.25">
      <c r="A225" s="166"/>
      <c r="B225" s="268" t="s">
        <v>61</v>
      </c>
      <c r="C225" s="524">
        <v>0</v>
      </c>
      <c r="D225" s="525">
        <v>0</v>
      </c>
      <c r="E225" s="525">
        <v>0</v>
      </c>
      <c r="F225" s="525">
        <v>0</v>
      </c>
      <c r="G225" s="525">
        <v>0</v>
      </c>
      <c r="H225" s="525">
        <v>0</v>
      </c>
      <c r="I225" s="525">
        <v>0</v>
      </c>
      <c r="J225" s="536">
        <v>0</v>
      </c>
      <c r="K225" s="536">
        <v>0</v>
      </c>
      <c r="L225" s="525">
        <v>0</v>
      </c>
      <c r="M225" s="525">
        <v>0</v>
      </c>
      <c r="N225" s="525">
        <v>0</v>
      </c>
      <c r="O225" s="536">
        <v>0</v>
      </c>
      <c r="P225" s="165">
        <v>0</v>
      </c>
      <c r="Q225" s="525">
        <v>0</v>
      </c>
      <c r="R225" s="536">
        <v>0</v>
      </c>
      <c r="S225" s="536">
        <v>0</v>
      </c>
      <c r="T225" s="15">
        <v>0</v>
      </c>
      <c r="U225" s="15">
        <v>0</v>
      </c>
      <c r="V225" s="15"/>
    </row>
    <row r="226" spans="1:22" x14ac:dyDescent="0.25">
      <c r="A226" s="166"/>
      <c r="B226" s="167" t="s">
        <v>62</v>
      </c>
      <c r="C226" s="168">
        <v>0</v>
      </c>
      <c r="D226" s="169">
        <v>0</v>
      </c>
      <c r="E226" s="169">
        <v>0</v>
      </c>
      <c r="F226" s="169">
        <v>0</v>
      </c>
      <c r="G226" s="169">
        <v>0</v>
      </c>
      <c r="H226" s="169">
        <v>0</v>
      </c>
      <c r="I226" s="169">
        <v>0</v>
      </c>
      <c r="J226" s="170">
        <v>0</v>
      </c>
      <c r="K226" s="170">
        <v>0</v>
      </c>
      <c r="L226" s="169">
        <v>0</v>
      </c>
      <c r="M226" s="169">
        <v>0</v>
      </c>
      <c r="N226" s="169">
        <v>0</v>
      </c>
      <c r="O226" s="170">
        <v>0</v>
      </c>
      <c r="P226" s="170">
        <v>0</v>
      </c>
      <c r="Q226" s="169">
        <v>0</v>
      </c>
      <c r="R226" s="170">
        <v>0</v>
      </c>
      <c r="S226" s="170">
        <v>0</v>
      </c>
      <c r="T226" s="15">
        <v>0</v>
      </c>
      <c r="U226" s="15">
        <v>0</v>
      </c>
      <c r="V226" s="15"/>
    </row>
    <row r="227" spans="1:22" x14ac:dyDescent="0.25">
      <c r="A227" s="166"/>
      <c r="B227" s="207" t="s">
        <v>63</v>
      </c>
      <c r="C227" s="208">
        <v>0</v>
      </c>
      <c r="D227" s="209">
        <v>0</v>
      </c>
      <c r="E227" s="209">
        <v>0</v>
      </c>
      <c r="F227" s="209">
        <v>0</v>
      </c>
      <c r="G227" s="209">
        <v>0</v>
      </c>
      <c r="H227" s="209">
        <v>0</v>
      </c>
      <c r="I227" s="209">
        <v>0</v>
      </c>
      <c r="J227" s="210">
        <v>0</v>
      </c>
      <c r="K227" s="210">
        <v>0</v>
      </c>
      <c r="L227" s="209">
        <v>0</v>
      </c>
      <c r="M227" s="209">
        <v>0</v>
      </c>
      <c r="N227" s="209">
        <v>0</v>
      </c>
      <c r="O227" s="210">
        <v>0</v>
      </c>
      <c r="P227" s="210">
        <v>0</v>
      </c>
      <c r="Q227" s="209">
        <v>0</v>
      </c>
      <c r="R227" s="210">
        <v>0</v>
      </c>
      <c r="S227" s="210">
        <v>0</v>
      </c>
      <c r="T227" s="15">
        <v>0</v>
      </c>
      <c r="U227" s="15">
        <v>0</v>
      </c>
      <c r="V227" s="15"/>
    </row>
    <row r="228" spans="1:22" x14ac:dyDescent="0.25">
      <c r="A228" s="166"/>
      <c r="B228" s="268" t="s">
        <v>64</v>
      </c>
      <c r="C228" s="524">
        <v>0</v>
      </c>
      <c r="D228" s="525">
        <v>0</v>
      </c>
      <c r="E228" s="525">
        <v>0</v>
      </c>
      <c r="F228" s="525">
        <v>0</v>
      </c>
      <c r="G228" s="525">
        <v>0</v>
      </c>
      <c r="H228" s="525">
        <v>0</v>
      </c>
      <c r="I228" s="525">
        <v>0</v>
      </c>
      <c r="J228" s="536">
        <v>0</v>
      </c>
      <c r="K228" s="536">
        <v>0</v>
      </c>
      <c r="L228" s="525">
        <v>0</v>
      </c>
      <c r="M228" s="525">
        <v>0</v>
      </c>
      <c r="N228" s="525">
        <v>0</v>
      </c>
      <c r="O228" s="536">
        <v>0</v>
      </c>
      <c r="P228" s="165">
        <v>0</v>
      </c>
      <c r="Q228" s="525">
        <v>0</v>
      </c>
      <c r="R228" s="536">
        <v>0</v>
      </c>
      <c r="S228" s="536">
        <v>0</v>
      </c>
      <c r="T228" s="15">
        <v>0</v>
      </c>
      <c r="U228" s="15">
        <v>0</v>
      </c>
      <c r="V228" s="15"/>
    </row>
    <row r="229" spans="1:22" x14ac:dyDescent="0.25">
      <c r="A229" s="166"/>
      <c r="B229" s="167" t="s">
        <v>65</v>
      </c>
      <c r="C229" s="168">
        <v>0</v>
      </c>
      <c r="D229" s="169">
        <v>0</v>
      </c>
      <c r="E229" s="169">
        <v>0</v>
      </c>
      <c r="F229" s="169">
        <v>0</v>
      </c>
      <c r="G229" s="169">
        <v>0</v>
      </c>
      <c r="H229" s="169">
        <v>0</v>
      </c>
      <c r="I229" s="169">
        <v>0</v>
      </c>
      <c r="J229" s="170">
        <v>0</v>
      </c>
      <c r="K229" s="170">
        <v>0</v>
      </c>
      <c r="L229" s="169">
        <v>0</v>
      </c>
      <c r="M229" s="169">
        <v>0</v>
      </c>
      <c r="N229" s="169">
        <v>0</v>
      </c>
      <c r="O229" s="170">
        <v>0</v>
      </c>
      <c r="P229" s="170">
        <v>0</v>
      </c>
      <c r="Q229" s="169">
        <v>0</v>
      </c>
      <c r="R229" s="170">
        <v>0</v>
      </c>
      <c r="S229" s="170">
        <v>0</v>
      </c>
      <c r="T229" s="15">
        <v>0</v>
      </c>
      <c r="U229" s="15">
        <v>0</v>
      </c>
      <c r="V229" s="15"/>
    </row>
    <row r="230" spans="1:22" x14ac:dyDescent="0.25">
      <c r="A230" s="166"/>
      <c r="B230" s="207" t="s">
        <v>66</v>
      </c>
      <c r="C230" s="208">
        <v>0</v>
      </c>
      <c r="D230" s="209">
        <v>0</v>
      </c>
      <c r="E230" s="209">
        <v>0</v>
      </c>
      <c r="F230" s="209">
        <v>0</v>
      </c>
      <c r="G230" s="209">
        <v>0</v>
      </c>
      <c r="H230" s="209">
        <v>0</v>
      </c>
      <c r="I230" s="209">
        <v>0</v>
      </c>
      <c r="J230" s="210">
        <v>0</v>
      </c>
      <c r="K230" s="210">
        <v>0</v>
      </c>
      <c r="L230" s="209">
        <v>0</v>
      </c>
      <c r="M230" s="209">
        <v>0</v>
      </c>
      <c r="N230" s="209">
        <v>0</v>
      </c>
      <c r="O230" s="210">
        <v>0</v>
      </c>
      <c r="P230" s="210">
        <v>0</v>
      </c>
      <c r="Q230" s="209">
        <v>0</v>
      </c>
      <c r="R230" s="210">
        <v>0</v>
      </c>
      <c r="S230" s="210">
        <v>0</v>
      </c>
      <c r="T230" s="15">
        <v>0</v>
      </c>
      <c r="U230" s="15">
        <v>0</v>
      </c>
      <c r="V230" s="15"/>
    </row>
    <row r="231" spans="1:22" x14ac:dyDescent="0.25">
      <c r="A231" s="166"/>
      <c r="B231" s="268" t="s">
        <v>67</v>
      </c>
      <c r="C231" s="524">
        <v>0</v>
      </c>
      <c r="D231" s="525">
        <v>0</v>
      </c>
      <c r="E231" s="525">
        <v>0</v>
      </c>
      <c r="F231" s="525">
        <v>0</v>
      </c>
      <c r="G231" s="525">
        <v>0</v>
      </c>
      <c r="H231" s="525">
        <v>0</v>
      </c>
      <c r="I231" s="525">
        <v>0</v>
      </c>
      <c r="J231" s="536">
        <v>0</v>
      </c>
      <c r="K231" s="536">
        <v>0</v>
      </c>
      <c r="L231" s="525">
        <v>0</v>
      </c>
      <c r="M231" s="525">
        <v>0</v>
      </c>
      <c r="N231" s="525">
        <v>0</v>
      </c>
      <c r="O231" s="536">
        <v>0</v>
      </c>
      <c r="P231" s="165">
        <v>0</v>
      </c>
      <c r="Q231" s="525">
        <v>0</v>
      </c>
      <c r="R231" s="536">
        <v>0</v>
      </c>
      <c r="S231" s="536">
        <v>0</v>
      </c>
      <c r="T231" s="15">
        <v>0</v>
      </c>
      <c r="U231" s="15">
        <v>0</v>
      </c>
      <c r="V231" s="15"/>
    </row>
    <row r="232" spans="1:22" x14ac:dyDescent="0.25">
      <c r="A232" s="166"/>
      <c r="B232" s="167" t="s">
        <v>68</v>
      </c>
      <c r="C232" s="168">
        <v>0</v>
      </c>
      <c r="D232" s="169">
        <v>0</v>
      </c>
      <c r="E232" s="169">
        <v>0</v>
      </c>
      <c r="F232" s="169">
        <v>0</v>
      </c>
      <c r="G232" s="169">
        <v>0</v>
      </c>
      <c r="H232" s="169">
        <v>0</v>
      </c>
      <c r="I232" s="169">
        <v>0</v>
      </c>
      <c r="J232" s="170">
        <v>0</v>
      </c>
      <c r="K232" s="170">
        <v>0</v>
      </c>
      <c r="L232" s="169">
        <v>0</v>
      </c>
      <c r="M232" s="169">
        <v>0</v>
      </c>
      <c r="N232" s="169">
        <v>0</v>
      </c>
      <c r="O232" s="170">
        <v>0</v>
      </c>
      <c r="P232" s="170">
        <v>0</v>
      </c>
      <c r="Q232" s="169">
        <v>0</v>
      </c>
      <c r="R232" s="170">
        <v>0</v>
      </c>
      <c r="S232" s="170">
        <v>0</v>
      </c>
      <c r="T232" s="15">
        <v>0</v>
      </c>
      <c r="U232" s="15">
        <v>0</v>
      </c>
      <c r="V232" s="15"/>
    </row>
    <row r="233" spans="1:22" x14ac:dyDescent="0.25">
      <c r="A233" s="166"/>
      <c r="B233" s="207" t="s">
        <v>69</v>
      </c>
      <c r="C233" s="208">
        <v>0</v>
      </c>
      <c r="D233" s="209">
        <v>0</v>
      </c>
      <c r="E233" s="209">
        <v>0</v>
      </c>
      <c r="F233" s="209">
        <v>0</v>
      </c>
      <c r="G233" s="209">
        <v>0</v>
      </c>
      <c r="H233" s="209">
        <v>0</v>
      </c>
      <c r="I233" s="209">
        <v>0</v>
      </c>
      <c r="J233" s="210">
        <v>0</v>
      </c>
      <c r="K233" s="210">
        <v>0</v>
      </c>
      <c r="L233" s="209">
        <v>0</v>
      </c>
      <c r="M233" s="209">
        <v>0</v>
      </c>
      <c r="N233" s="209">
        <v>0</v>
      </c>
      <c r="O233" s="210">
        <v>0</v>
      </c>
      <c r="P233" s="210">
        <v>0</v>
      </c>
      <c r="Q233" s="209">
        <v>0</v>
      </c>
      <c r="R233" s="210">
        <v>0</v>
      </c>
      <c r="S233" s="210">
        <v>0</v>
      </c>
      <c r="T233" s="15">
        <v>0</v>
      </c>
      <c r="U233" s="15">
        <v>0</v>
      </c>
      <c r="V233" s="15"/>
    </row>
    <row r="234" spans="1:22" x14ac:dyDescent="0.25">
      <c r="A234" s="166"/>
      <c r="B234" s="268" t="s">
        <v>70</v>
      </c>
      <c r="C234" s="524">
        <v>0</v>
      </c>
      <c r="D234" s="525">
        <v>0</v>
      </c>
      <c r="E234" s="525">
        <v>0</v>
      </c>
      <c r="F234" s="525">
        <v>0</v>
      </c>
      <c r="G234" s="525">
        <v>0</v>
      </c>
      <c r="H234" s="525">
        <v>0</v>
      </c>
      <c r="I234" s="525">
        <v>0</v>
      </c>
      <c r="J234" s="536">
        <v>0</v>
      </c>
      <c r="K234" s="536">
        <v>0</v>
      </c>
      <c r="L234" s="525">
        <v>0</v>
      </c>
      <c r="M234" s="525">
        <v>0</v>
      </c>
      <c r="N234" s="525">
        <v>0</v>
      </c>
      <c r="O234" s="536">
        <v>0</v>
      </c>
      <c r="P234" s="165">
        <v>0</v>
      </c>
      <c r="Q234" s="525">
        <v>0</v>
      </c>
      <c r="R234" s="536">
        <v>0</v>
      </c>
      <c r="S234" s="536">
        <v>0</v>
      </c>
      <c r="T234" s="15">
        <v>0</v>
      </c>
      <c r="U234" s="15">
        <v>0</v>
      </c>
      <c r="V234" s="15"/>
    </row>
    <row r="235" spans="1:22" x14ac:dyDescent="0.25">
      <c r="A235" s="166"/>
      <c r="B235" s="167" t="s">
        <v>71</v>
      </c>
      <c r="C235" s="168">
        <v>0</v>
      </c>
      <c r="D235" s="169">
        <v>0</v>
      </c>
      <c r="E235" s="169">
        <v>0</v>
      </c>
      <c r="F235" s="169">
        <v>0</v>
      </c>
      <c r="G235" s="169">
        <v>0</v>
      </c>
      <c r="H235" s="169">
        <v>0</v>
      </c>
      <c r="I235" s="169">
        <v>0</v>
      </c>
      <c r="J235" s="170">
        <v>0</v>
      </c>
      <c r="K235" s="170">
        <v>0</v>
      </c>
      <c r="L235" s="169">
        <v>0</v>
      </c>
      <c r="M235" s="169">
        <v>0</v>
      </c>
      <c r="N235" s="169">
        <v>0</v>
      </c>
      <c r="O235" s="170">
        <v>0</v>
      </c>
      <c r="P235" s="170">
        <v>0</v>
      </c>
      <c r="Q235" s="169">
        <v>0</v>
      </c>
      <c r="R235" s="170">
        <v>0</v>
      </c>
      <c r="S235" s="170">
        <v>0</v>
      </c>
      <c r="T235" s="15">
        <v>0</v>
      </c>
      <c r="U235" s="15">
        <v>0</v>
      </c>
      <c r="V235" s="15"/>
    </row>
    <row r="236" spans="1:22" x14ac:dyDescent="0.25">
      <c r="A236" s="166"/>
      <c r="B236" s="207" t="s">
        <v>72</v>
      </c>
      <c r="C236" s="208">
        <v>0</v>
      </c>
      <c r="D236" s="209">
        <v>0</v>
      </c>
      <c r="E236" s="209">
        <v>0</v>
      </c>
      <c r="F236" s="209">
        <v>0</v>
      </c>
      <c r="G236" s="209">
        <v>0</v>
      </c>
      <c r="H236" s="209">
        <v>0</v>
      </c>
      <c r="I236" s="209">
        <v>0</v>
      </c>
      <c r="J236" s="210">
        <v>0</v>
      </c>
      <c r="K236" s="210">
        <v>0</v>
      </c>
      <c r="L236" s="209">
        <v>0</v>
      </c>
      <c r="M236" s="209">
        <v>0</v>
      </c>
      <c r="N236" s="209">
        <v>0</v>
      </c>
      <c r="O236" s="210">
        <v>0</v>
      </c>
      <c r="P236" s="210">
        <v>0</v>
      </c>
      <c r="Q236" s="209">
        <v>0</v>
      </c>
      <c r="R236" s="210">
        <v>0</v>
      </c>
      <c r="S236" s="210">
        <v>0</v>
      </c>
      <c r="T236" s="15">
        <v>0</v>
      </c>
      <c r="U236" s="15">
        <v>0</v>
      </c>
      <c r="V236" s="15"/>
    </row>
    <row r="237" spans="1:22" x14ac:dyDescent="0.25">
      <c r="A237" s="166"/>
      <c r="B237" s="268" t="s">
        <v>73</v>
      </c>
      <c r="C237" s="524">
        <v>0</v>
      </c>
      <c r="D237" s="525">
        <v>0</v>
      </c>
      <c r="E237" s="525">
        <v>0</v>
      </c>
      <c r="F237" s="525">
        <v>0</v>
      </c>
      <c r="G237" s="525">
        <v>0</v>
      </c>
      <c r="H237" s="525">
        <v>0</v>
      </c>
      <c r="I237" s="525">
        <v>0</v>
      </c>
      <c r="J237" s="536">
        <v>0</v>
      </c>
      <c r="K237" s="536">
        <v>0</v>
      </c>
      <c r="L237" s="525">
        <v>0</v>
      </c>
      <c r="M237" s="525">
        <v>0</v>
      </c>
      <c r="N237" s="525">
        <v>0</v>
      </c>
      <c r="O237" s="536">
        <v>0</v>
      </c>
      <c r="P237" s="165">
        <v>0</v>
      </c>
      <c r="Q237" s="525">
        <v>0</v>
      </c>
      <c r="R237" s="536">
        <v>0</v>
      </c>
      <c r="S237" s="536">
        <v>0</v>
      </c>
      <c r="T237" s="15">
        <v>0</v>
      </c>
      <c r="U237" s="15">
        <v>0</v>
      </c>
      <c r="V237" s="15"/>
    </row>
    <row r="238" spans="1:22" x14ac:dyDescent="0.25">
      <c r="A238" s="166"/>
      <c r="B238" s="167" t="s">
        <v>74</v>
      </c>
      <c r="C238" s="168">
        <v>0</v>
      </c>
      <c r="D238" s="169">
        <v>0</v>
      </c>
      <c r="E238" s="169">
        <v>0</v>
      </c>
      <c r="F238" s="169">
        <v>0</v>
      </c>
      <c r="G238" s="169">
        <v>0</v>
      </c>
      <c r="H238" s="169">
        <v>0</v>
      </c>
      <c r="I238" s="169">
        <v>0</v>
      </c>
      <c r="J238" s="170">
        <v>0</v>
      </c>
      <c r="K238" s="170">
        <v>0</v>
      </c>
      <c r="L238" s="169">
        <v>0</v>
      </c>
      <c r="M238" s="169">
        <v>0</v>
      </c>
      <c r="N238" s="169">
        <v>0</v>
      </c>
      <c r="O238" s="170">
        <v>0</v>
      </c>
      <c r="P238" s="170">
        <v>0</v>
      </c>
      <c r="Q238" s="169">
        <v>0</v>
      </c>
      <c r="R238" s="170">
        <v>0</v>
      </c>
      <c r="S238" s="170">
        <v>0</v>
      </c>
      <c r="T238" s="15">
        <v>0</v>
      </c>
      <c r="U238" s="15">
        <v>0</v>
      </c>
      <c r="V238" s="15"/>
    </row>
    <row r="239" spans="1:22" ht="15.75" thickBot="1" x14ac:dyDescent="0.3">
      <c r="A239" s="166"/>
      <c r="B239" s="531" t="s">
        <v>75</v>
      </c>
      <c r="C239" s="532">
        <v>0</v>
      </c>
      <c r="D239" s="533">
        <v>0</v>
      </c>
      <c r="E239" s="533">
        <v>0</v>
      </c>
      <c r="F239" s="533">
        <v>0</v>
      </c>
      <c r="G239" s="533">
        <v>0</v>
      </c>
      <c r="H239" s="533">
        <v>0</v>
      </c>
      <c r="I239" s="533">
        <v>0</v>
      </c>
      <c r="J239" s="537">
        <v>0</v>
      </c>
      <c r="K239" s="537">
        <v>0</v>
      </c>
      <c r="L239" s="533">
        <v>0</v>
      </c>
      <c r="M239" s="533">
        <v>0</v>
      </c>
      <c r="N239" s="533">
        <v>0</v>
      </c>
      <c r="O239" s="537">
        <v>0</v>
      </c>
      <c r="P239" s="537">
        <v>0</v>
      </c>
      <c r="Q239" s="533">
        <v>0</v>
      </c>
      <c r="R239" s="537">
        <v>0</v>
      </c>
      <c r="S239" s="537">
        <v>0</v>
      </c>
      <c r="T239" s="15">
        <v>0</v>
      </c>
      <c r="U239" s="15">
        <v>0</v>
      </c>
      <c r="V239" s="15"/>
    </row>
    <row r="240" spans="1:22" ht="15.75" thickTop="1" x14ac:dyDescent="0.25">
      <c r="A240" s="166"/>
      <c r="B240" s="167" t="s">
        <v>76</v>
      </c>
      <c r="C240" s="168">
        <v>0</v>
      </c>
      <c r="D240" s="169">
        <v>0</v>
      </c>
      <c r="E240" s="169">
        <v>0</v>
      </c>
      <c r="F240" s="169">
        <v>0</v>
      </c>
      <c r="G240" s="169">
        <v>0</v>
      </c>
      <c r="H240" s="169">
        <v>0</v>
      </c>
      <c r="I240" s="169">
        <v>0</v>
      </c>
      <c r="J240" s="170">
        <v>0</v>
      </c>
      <c r="K240" s="170">
        <v>0</v>
      </c>
      <c r="L240" s="169">
        <v>0</v>
      </c>
      <c r="M240" s="169">
        <v>0</v>
      </c>
      <c r="N240" s="169">
        <v>0</v>
      </c>
      <c r="O240" s="170">
        <v>0</v>
      </c>
      <c r="P240" s="170">
        <v>0</v>
      </c>
      <c r="Q240" s="169">
        <v>0</v>
      </c>
      <c r="R240" s="170">
        <v>0</v>
      </c>
      <c r="S240" s="170">
        <v>0</v>
      </c>
      <c r="T240" s="15">
        <v>0</v>
      </c>
      <c r="U240" s="15">
        <v>0</v>
      </c>
      <c r="V240" s="15"/>
    </row>
    <row r="241" spans="1:22" x14ac:dyDescent="0.25">
      <c r="A241" s="166"/>
      <c r="B241" s="167" t="s">
        <v>77</v>
      </c>
      <c r="C241" s="168">
        <v>0</v>
      </c>
      <c r="D241" s="169">
        <v>0</v>
      </c>
      <c r="E241" s="169">
        <v>0</v>
      </c>
      <c r="F241" s="169">
        <v>0</v>
      </c>
      <c r="G241" s="169">
        <v>0</v>
      </c>
      <c r="H241" s="169">
        <v>0</v>
      </c>
      <c r="I241" s="169">
        <v>0</v>
      </c>
      <c r="J241" s="170">
        <v>0</v>
      </c>
      <c r="K241" s="170">
        <v>0</v>
      </c>
      <c r="L241" s="169">
        <v>0</v>
      </c>
      <c r="M241" s="169">
        <v>0</v>
      </c>
      <c r="N241" s="169">
        <v>0</v>
      </c>
      <c r="O241" s="170">
        <v>0</v>
      </c>
      <c r="P241" s="170">
        <v>0</v>
      </c>
      <c r="Q241" s="169">
        <v>0</v>
      </c>
      <c r="R241" s="170">
        <v>0</v>
      </c>
      <c r="S241" s="170">
        <v>0</v>
      </c>
      <c r="T241" s="15">
        <v>0</v>
      </c>
      <c r="U241" s="15">
        <v>0</v>
      </c>
      <c r="V241" s="15"/>
    </row>
    <row r="242" spans="1:22" x14ac:dyDescent="0.25">
      <c r="A242" s="166"/>
      <c r="B242" s="207" t="s">
        <v>78</v>
      </c>
      <c r="C242" s="208">
        <v>0</v>
      </c>
      <c r="D242" s="209">
        <v>0</v>
      </c>
      <c r="E242" s="209">
        <v>0</v>
      </c>
      <c r="F242" s="209">
        <v>0</v>
      </c>
      <c r="G242" s="209">
        <v>0</v>
      </c>
      <c r="H242" s="209">
        <v>0</v>
      </c>
      <c r="I242" s="209">
        <v>0</v>
      </c>
      <c r="J242" s="210">
        <v>0</v>
      </c>
      <c r="K242" s="210">
        <v>0</v>
      </c>
      <c r="L242" s="209">
        <v>0</v>
      </c>
      <c r="M242" s="209">
        <v>0</v>
      </c>
      <c r="N242" s="209">
        <v>0</v>
      </c>
      <c r="O242" s="210">
        <v>0</v>
      </c>
      <c r="P242" s="210">
        <v>0</v>
      </c>
      <c r="Q242" s="209">
        <v>0</v>
      </c>
      <c r="R242" s="210">
        <v>0</v>
      </c>
      <c r="S242" s="210">
        <v>0</v>
      </c>
      <c r="T242" s="15">
        <v>0</v>
      </c>
      <c r="U242" s="15">
        <v>0</v>
      </c>
      <c r="V242" s="15"/>
    </row>
    <row r="243" spans="1:22" x14ac:dyDescent="0.25">
      <c r="A243" s="166"/>
      <c r="B243" s="268" t="s">
        <v>79</v>
      </c>
      <c r="C243" s="524">
        <v>0</v>
      </c>
      <c r="D243" s="525">
        <v>0</v>
      </c>
      <c r="E243" s="525">
        <v>0</v>
      </c>
      <c r="F243" s="525">
        <v>0</v>
      </c>
      <c r="G243" s="525">
        <v>0</v>
      </c>
      <c r="H243" s="525">
        <v>0</v>
      </c>
      <c r="I243" s="525">
        <v>0</v>
      </c>
      <c r="J243" s="536">
        <v>0</v>
      </c>
      <c r="K243" s="536">
        <v>0</v>
      </c>
      <c r="L243" s="525">
        <v>0</v>
      </c>
      <c r="M243" s="525">
        <v>0</v>
      </c>
      <c r="N243" s="525">
        <v>0</v>
      </c>
      <c r="O243" s="536">
        <v>0</v>
      </c>
      <c r="P243" s="165">
        <v>0</v>
      </c>
      <c r="Q243" s="525">
        <v>0</v>
      </c>
      <c r="R243" s="536">
        <v>0</v>
      </c>
      <c r="S243" s="536">
        <v>0</v>
      </c>
      <c r="T243" s="15">
        <v>0</v>
      </c>
      <c r="U243" s="15">
        <v>0</v>
      </c>
      <c r="V243" s="15"/>
    </row>
    <row r="244" spans="1:22" x14ac:dyDescent="0.25">
      <c r="A244" s="166"/>
      <c r="B244" s="167" t="s">
        <v>80</v>
      </c>
      <c r="C244" s="168">
        <v>0</v>
      </c>
      <c r="D244" s="169">
        <v>0</v>
      </c>
      <c r="E244" s="169">
        <v>0</v>
      </c>
      <c r="F244" s="169">
        <v>0</v>
      </c>
      <c r="G244" s="169">
        <v>0</v>
      </c>
      <c r="H244" s="169">
        <v>0</v>
      </c>
      <c r="I244" s="169">
        <v>0</v>
      </c>
      <c r="J244" s="170">
        <v>0</v>
      </c>
      <c r="K244" s="170">
        <v>0</v>
      </c>
      <c r="L244" s="169">
        <v>0</v>
      </c>
      <c r="M244" s="169">
        <v>0</v>
      </c>
      <c r="N244" s="169">
        <v>0</v>
      </c>
      <c r="O244" s="170">
        <v>0</v>
      </c>
      <c r="P244" s="170">
        <v>0</v>
      </c>
      <c r="Q244" s="169">
        <v>0</v>
      </c>
      <c r="R244" s="170">
        <v>0</v>
      </c>
      <c r="S244" s="170">
        <v>0</v>
      </c>
      <c r="T244" s="15">
        <v>0</v>
      </c>
      <c r="U244" s="15">
        <v>0</v>
      </c>
      <c r="V244" s="15"/>
    </row>
    <row r="245" spans="1:22" x14ac:dyDescent="0.25">
      <c r="A245" s="166"/>
      <c r="B245" s="207" t="s">
        <v>81</v>
      </c>
      <c r="C245" s="208">
        <v>0</v>
      </c>
      <c r="D245" s="209">
        <v>0</v>
      </c>
      <c r="E245" s="209">
        <v>0</v>
      </c>
      <c r="F245" s="209">
        <v>0</v>
      </c>
      <c r="G245" s="209">
        <v>0</v>
      </c>
      <c r="H245" s="209">
        <v>0</v>
      </c>
      <c r="I245" s="209">
        <v>0</v>
      </c>
      <c r="J245" s="210">
        <v>0</v>
      </c>
      <c r="K245" s="210">
        <v>0</v>
      </c>
      <c r="L245" s="209">
        <v>0</v>
      </c>
      <c r="M245" s="209">
        <v>0</v>
      </c>
      <c r="N245" s="209">
        <v>0</v>
      </c>
      <c r="O245" s="210">
        <v>0</v>
      </c>
      <c r="P245" s="210">
        <v>0</v>
      </c>
      <c r="Q245" s="209">
        <v>0</v>
      </c>
      <c r="R245" s="210">
        <v>0</v>
      </c>
      <c r="S245" s="210">
        <v>0</v>
      </c>
      <c r="T245" s="15">
        <v>0</v>
      </c>
      <c r="U245" s="15">
        <v>0</v>
      </c>
      <c r="V245" s="15"/>
    </row>
    <row r="246" spans="1:22" x14ac:dyDescent="0.25">
      <c r="A246" s="166"/>
      <c r="B246" s="268" t="s">
        <v>82</v>
      </c>
      <c r="C246" s="524">
        <v>0</v>
      </c>
      <c r="D246" s="525">
        <v>0</v>
      </c>
      <c r="E246" s="525">
        <v>0</v>
      </c>
      <c r="F246" s="525">
        <v>0</v>
      </c>
      <c r="G246" s="525">
        <v>0</v>
      </c>
      <c r="H246" s="525">
        <v>0</v>
      </c>
      <c r="I246" s="525">
        <v>0</v>
      </c>
      <c r="J246" s="536">
        <v>0</v>
      </c>
      <c r="K246" s="536">
        <v>0</v>
      </c>
      <c r="L246" s="525">
        <v>0</v>
      </c>
      <c r="M246" s="525">
        <v>0</v>
      </c>
      <c r="N246" s="525">
        <v>0</v>
      </c>
      <c r="O246" s="536">
        <v>0</v>
      </c>
      <c r="P246" s="165">
        <v>0</v>
      </c>
      <c r="Q246" s="525">
        <v>0</v>
      </c>
      <c r="R246" s="536">
        <v>0</v>
      </c>
      <c r="S246" s="536">
        <v>0</v>
      </c>
      <c r="T246" s="15">
        <v>0</v>
      </c>
      <c r="U246" s="15">
        <v>0</v>
      </c>
      <c r="V246" s="15"/>
    </row>
    <row r="247" spans="1:22" x14ac:dyDescent="0.25">
      <c r="A247" s="166"/>
      <c r="B247" s="167" t="s">
        <v>83</v>
      </c>
      <c r="C247" s="168">
        <v>0</v>
      </c>
      <c r="D247" s="169">
        <v>0</v>
      </c>
      <c r="E247" s="169">
        <v>0</v>
      </c>
      <c r="F247" s="169">
        <v>0</v>
      </c>
      <c r="G247" s="169">
        <v>0</v>
      </c>
      <c r="H247" s="169">
        <v>0</v>
      </c>
      <c r="I247" s="169">
        <v>0</v>
      </c>
      <c r="J247" s="170">
        <v>0</v>
      </c>
      <c r="K247" s="170">
        <v>0</v>
      </c>
      <c r="L247" s="169">
        <v>0</v>
      </c>
      <c r="M247" s="169">
        <v>0</v>
      </c>
      <c r="N247" s="169">
        <v>0</v>
      </c>
      <c r="O247" s="170">
        <v>0</v>
      </c>
      <c r="P247" s="170">
        <v>0</v>
      </c>
      <c r="Q247" s="169">
        <v>0</v>
      </c>
      <c r="R247" s="170">
        <v>0</v>
      </c>
      <c r="S247" s="170">
        <v>0</v>
      </c>
      <c r="T247" s="15">
        <v>0</v>
      </c>
      <c r="U247" s="15">
        <v>0</v>
      </c>
      <c r="V247" s="15"/>
    </row>
    <row r="248" spans="1:22" x14ac:dyDescent="0.25">
      <c r="A248" s="166"/>
      <c r="B248" s="207" t="s">
        <v>84</v>
      </c>
      <c r="C248" s="208">
        <v>0</v>
      </c>
      <c r="D248" s="209">
        <v>0</v>
      </c>
      <c r="E248" s="209">
        <v>0</v>
      </c>
      <c r="F248" s="209">
        <v>0</v>
      </c>
      <c r="G248" s="209">
        <v>0</v>
      </c>
      <c r="H248" s="209">
        <v>0</v>
      </c>
      <c r="I248" s="209">
        <v>0</v>
      </c>
      <c r="J248" s="210">
        <v>0</v>
      </c>
      <c r="K248" s="210">
        <v>0</v>
      </c>
      <c r="L248" s="209">
        <v>0</v>
      </c>
      <c r="M248" s="209">
        <v>0</v>
      </c>
      <c r="N248" s="209">
        <v>0</v>
      </c>
      <c r="O248" s="210">
        <v>0</v>
      </c>
      <c r="P248" s="210">
        <v>0</v>
      </c>
      <c r="Q248" s="209">
        <v>0</v>
      </c>
      <c r="R248" s="210">
        <v>0</v>
      </c>
      <c r="S248" s="210">
        <v>0</v>
      </c>
      <c r="T248" s="15">
        <v>0</v>
      </c>
      <c r="U248" s="15">
        <v>0</v>
      </c>
      <c r="V248" s="15"/>
    </row>
    <row r="249" spans="1:22" x14ac:dyDescent="0.25">
      <c r="A249" s="166"/>
      <c r="B249" s="268" t="s">
        <v>85</v>
      </c>
      <c r="C249" s="524">
        <v>0</v>
      </c>
      <c r="D249" s="525">
        <v>0</v>
      </c>
      <c r="E249" s="525">
        <v>0</v>
      </c>
      <c r="F249" s="525">
        <v>0</v>
      </c>
      <c r="G249" s="525">
        <v>0</v>
      </c>
      <c r="H249" s="525">
        <v>0</v>
      </c>
      <c r="I249" s="525">
        <v>0</v>
      </c>
      <c r="J249" s="536">
        <v>0</v>
      </c>
      <c r="K249" s="536">
        <v>0</v>
      </c>
      <c r="L249" s="525">
        <v>0</v>
      </c>
      <c r="M249" s="525">
        <v>0</v>
      </c>
      <c r="N249" s="525">
        <v>0</v>
      </c>
      <c r="O249" s="536">
        <v>0</v>
      </c>
      <c r="P249" s="165">
        <v>0</v>
      </c>
      <c r="Q249" s="525">
        <v>0</v>
      </c>
      <c r="R249" s="536">
        <v>0</v>
      </c>
      <c r="S249" s="536">
        <v>0</v>
      </c>
      <c r="T249" s="15">
        <v>0</v>
      </c>
      <c r="U249" s="15">
        <v>0</v>
      </c>
      <c r="V249" s="15"/>
    </row>
    <row r="250" spans="1:22" x14ac:dyDescent="0.25">
      <c r="A250" s="166"/>
      <c r="B250" s="167" t="s">
        <v>86</v>
      </c>
      <c r="C250" s="168">
        <v>0</v>
      </c>
      <c r="D250" s="169">
        <v>0</v>
      </c>
      <c r="E250" s="169">
        <v>0</v>
      </c>
      <c r="F250" s="169">
        <v>0</v>
      </c>
      <c r="G250" s="169">
        <v>0</v>
      </c>
      <c r="H250" s="169">
        <v>0</v>
      </c>
      <c r="I250" s="169">
        <v>0</v>
      </c>
      <c r="J250" s="170">
        <v>0</v>
      </c>
      <c r="K250" s="170">
        <v>0</v>
      </c>
      <c r="L250" s="169">
        <v>0</v>
      </c>
      <c r="M250" s="169">
        <v>0</v>
      </c>
      <c r="N250" s="169">
        <v>0</v>
      </c>
      <c r="O250" s="170">
        <v>0</v>
      </c>
      <c r="P250" s="170">
        <v>0</v>
      </c>
      <c r="Q250" s="169">
        <v>0</v>
      </c>
      <c r="R250" s="170">
        <v>0</v>
      </c>
      <c r="S250" s="170">
        <v>0</v>
      </c>
      <c r="T250" s="15">
        <v>0</v>
      </c>
      <c r="U250" s="15">
        <v>0</v>
      </c>
      <c r="V250" s="15"/>
    </row>
    <row r="251" spans="1:22" x14ac:dyDescent="0.25">
      <c r="A251" s="166"/>
      <c r="B251" s="207" t="s">
        <v>87</v>
      </c>
      <c r="C251" s="208">
        <v>0</v>
      </c>
      <c r="D251" s="209">
        <v>0</v>
      </c>
      <c r="E251" s="209">
        <v>0</v>
      </c>
      <c r="F251" s="209">
        <v>0</v>
      </c>
      <c r="G251" s="209">
        <v>0</v>
      </c>
      <c r="H251" s="209">
        <v>0</v>
      </c>
      <c r="I251" s="209">
        <v>0</v>
      </c>
      <c r="J251" s="210">
        <v>0</v>
      </c>
      <c r="K251" s="210">
        <v>0</v>
      </c>
      <c r="L251" s="209">
        <v>0</v>
      </c>
      <c r="M251" s="209">
        <v>0</v>
      </c>
      <c r="N251" s="209">
        <v>0</v>
      </c>
      <c r="O251" s="210">
        <v>0</v>
      </c>
      <c r="P251" s="210">
        <v>0</v>
      </c>
      <c r="Q251" s="209">
        <v>0</v>
      </c>
      <c r="R251" s="210">
        <v>0</v>
      </c>
      <c r="S251" s="210">
        <v>0</v>
      </c>
      <c r="T251" s="15">
        <v>0</v>
      </c>
      <c r="U251" s="15">
        <v>0</v>
      </c>
      <c r="V251" s="15"/>
    </row>
    <row r="252" spans="1:22" x14ac:dyDescent="0.25">
      <c r="A252" s="166"/>
      <c r="B252" s="268" t="s">
        <v>88</v>
      </c>
      <c r="C252" s="524">
        <v>0</v>
      </c>
      <c r="D252" s="525">
        <v>0</v>
      </c>
      <c r="E252" s="525">
        <v>0</v>
      </c>
      <c r="F252" s="525">
        <v>0</v>
      </c>
      <c r="G252" s="525">
        <v>0</v>
      </c>
      <c r="H252" s="525">
        <v>0</v>
      </c>
      <c r="I252" s="525">
        <v>0</v>
      </c>
      <c r="J252" s="536">
        <v>0</v>
      </c>
      <c r="K252" s="536">
        <v>0</v>
      </c>
      <c r="L252" s="525">
        <v>0</v>
      </c>
      <c r="M252" s="525">
        <v>0</v>
      </c>
      <c r="N252" s="525">
        <v>0</v>
      </c>
      <c r="O252" s="536">
        <v>0</v>
      </c>
      <c r="P252" s="165">
        <v>0</v>
      </c>
      <c r="Q252" s="525">
        <v>0</v>
      </c>
      <c r="R252" s="536">
        <v>0</v>
      </c>
      <c r="S252" s="536">
        <v>0</v>
      </c>
      <c r="T252" s="15">
        <v>0</v>
      </c>
      <c r="U252" s="15">
        <v>0</v>
      </c>
      <c r="V252" s="15"/>
    </row>
    <row r="253" spans="1:22" x14ac:dyDescent="0.25">
      <c r="A253" s="166"/>
      <c r="B253" s="167" t="s">
        <v>89</v>
      </c>
      <c r="C253" s="168">
        <v>0</v>
      </c>
      <c r="D253" s="169">
        <v>0</v>
      </c>
      <c r="E253" s="169">
        <v>0</v>
      </c>
      <c r="F253" s="169">
        <v>0</v>
      </c>
      <c r="G253" s="169">
        <v>0</v>
      </c>
      <c r="H253" s="169">
        <v>0</v>
      </c>
      <c r="I253" s="169">
        <v>0</v>
      </c>
      <c r="J253" s="170">
        <v>0</v>
      </c>
      <c r="K253" s="170">
        <v>0</v>
      </c>
      <c r="L253" s="169">
        <v>0</v>
      </c>
      <c r="M253" s="169">
        <v>0</v>
      </c>
      <c r="N253" s="169">
        <v>0</v>
      </c>
      <c r="O253" s="170">
        <v>0</v>
      </c>
      <c r="P253" s="170">
        <v>0</v>
      </c>
      <c r="Q253" s="169">
        <v>0</v>
      </c>
      <c r="R253" s="170">
        <v>0</v>
      </c>
      <c r="S253" s="170">
        <v>0</v>
      </c>
      <c r="T253" s="15">
        <v>0</v>
      </c>
      <c r="U253" s="15">
        <v>0</v>
      </c>
      <c r="V253" s="15"/>
    </row>
    <row r="254" spans="1:22" x14ac:dyDescent="0.25">
      <c r="A254" s="166"/>
      <c r="B254" s="207" t="s">
        <v>90</v>
      </c>
      <c r="C254" s="208">
        <v>0</v>
      </c>
      <c r="D254" s="209">
        <v>0</v>
      </c>
      <c r="E254" s="209">
        <v>0</v>
      </c>
      <c r="F254" s="209">
        <v>0</v>
      </c>
      <c r="G254" s="209">
        <v>0</v>
      </c>
      <c r="H254" s="209">
        <v>0</v>
      </c>
      <c r="I254" s="209">
        <v>0</v>
      </c>
      <c r="J254" s="210">
        <v>0</v>
      </c>
      <c r="K254" s="210">
        <v>0</v>
      </c>
      <c r="L254" s="209">
        <v>0</v>
      </c>
      <c r="M254" s="209">
        <v>0</v>
      </c>
      <c r="N254" s="209">
        <v>0</v>
      </c>
      <c r="O254" s="210">
        <v>0</v>
      </c>
      <c r="P254" s="210">
        <v>0</v>
      </c>
      <c r="Q254" s="209">
        <v>0</v>
      </c>
      <c r="R254" s="210">
        <v>0</v>
      </c>
      <c r="S254" s="210">
        <v>0</v>
      </c>
      <c r="T254" s="15">
        <v>0</v>
      </c>
      <c r="U254" s="15">
        <v>0</v>
      </c>
      <c r="V254" s="15"/>
    </row>
    <row r="255" spans="1:22" x14ac:dyDescent="0.25">
      <c r="A255" s="166"/>
      <c r="B255" s="268" t="s">
        <v>91</v>
      </c>
      <c r="C255" s="524">
        <v>0</v>
      </c>
      <c r="D255" s="525">
        <v>0</v>
      </c>
      <c r="E255" s="525">
        <v>0</v>
      </c>
      <c r="F255" s="525">
        <v>0</v>
      </c>
      <c r="G255" s="525">
        <v>0</v>
      </c>
      <c r="H255" s="525">
        <v>0</v>
      </c>
      <c r="I255" s="525">
        <v>0</v>
      </c>
      <c r="J255" s="536">
        <v>0</v>
      </c>
      <c r="K255" s="536">
        <v>0</v>
      </c>
      <c r="L255" s="525">
        <v>0</v>
      </c>
      <c r="M255" s="525">
        <v>0</v>
      </c>
      <c r="N255" s="525">
        <v>0</v>
      </c>
      <c r="O255" s="536">
        <v>0</v>
      </c>
      <c r="P255" s="165">
        <v>0</v>
      </c>
      <c r="Q255" s="525">
        <v>0</v>
      </c>
      <c r="R255" s="536">
        <v>0</v>
      </c>
      <c r="S255" s="536">
        <v>0</v>
      </c>
      <c r="T255" s="15">
        <v>0</v>
      </c>
      <c r="U255" s="15">
        <v>0</v>
      </c>
      <c r="V255" s="15"/>
    </row>
    <row r="256" spans="1:22" x14ac:dyDescent="0.25">
      <c r="A256" s="166"/>
      <c r="B256" s="167" t="s">
        <v>92</v>
      </c>
      <c r="C256" s="168">
        <v>0</v>
      </c>
      <c r="D256" s="169">
        <v>0</v>
      </c>
      <c r="E256" s="169">
        <v>0</v>
      </c>
      <c r="F256" s="169">
        <v>0</v>
      </c>
      <c r="G256" s="169">
        <v>0</v>
      </c>
      <c r="H256" s="169">
        <v>0</v>
      </c>
      <c r="I256" s="169">
        <v>0</v>
      </c>
      <c r="J256" s="170">
        <v>0</v>
      </c>
      <c r="K256" s="170">
        <v>0</v>
      </c>
      <c r="L256" s="169">
        <v>0</v>
      </c>
      <c r="M256" s="169">
        <v>0</v>
      </c>
      <c r="N256" s="169">
        <v>0</v>
      </c>
      <c r="O256" s="170">
        <v>0</v>
      </c>
      <c r="P256" s="170">
        <v>0</v>
      </c>
      <c r="Q256" s="169">
        <v>0</v>
      </c>
      <c r="R256" s="170">
        <v>0</v>
      </c>
      <c r="S256" s="170">
        <v>0</v>
      </c>
      <c r="T256" s="15">
        <v>0</v>
      </c>
      <c r="U256" s="15">
        <v>0</v>
      </c>
      <c r="V256" s="15"/>
    </row>
    <row r="257" spans="1:22" ht="15.75" thickBot="1" x14ac:dyDescent="0.3">
      <c r="A257" s="540"/>
      <c r="B257" s="541" t="s">
        <v>93</v>
      </c>
      <c r="C257" s="542">
        <v>0</v>
      </c>
      <c r="D257" s="543">
        <v>0</v>
      </c>
      <c r="E257" s="543">
        <v>0</v>
      </c>
      <c r="F257" s="543">
        <v>0</v>
      </c>
      <c r="G257" s="543">
        <v>0</v>
      </c>
      <c r="H257" s="543">
        <v>0</v>
      </c>
      <c r="I257" s="543">
        <v>0</v>
      </c>
      <c r="J257" s="544">
        <v>0</v>
      </c>
      <c r="K257" s="544">
        <v>0</v>
      </c>
      <c r="L257" s="543">
        <v>0</v>
      </c>
      <c r="M257" s="543">
        <v>0</v>
      </c>
      <c r="N257" s="543">
        <v>0</v>
      </c>
      <c r="O257" s="544">
        <v>0</v>
      </c>
      <c r="P257" s="544">
        <v>0</v>
      </c>
      <c r="Q257" s="543">
        <v>0</v>
      </c>
      <c r="R257" s="544">
        <v>0</v>
      </c>
      <c r="S257" s="544">
        <v>0</v>
      </c>
      <c r="T257" s="15">
        <v>0</v>
      </c>
      <c r="U257" s="15">
        <v>0</v>
      </c>
      <c r="V257" s="15"/>
    </row>
    <row r="258" spans="1:22" x14ac:dyDescent="0.25">
      <c r="A258" s="523" t="s">
        <v>46</v>
      </c>
      <c r="B258" s="268" t="s">
        <v>59</v>
      </c>
      <c r="C258" s="524">
        <v>0.95827681860741887</v>
      </c>
      <c r="D258" s="525">
        <v>0.93101797583174273</v>
      </c>
      <c r="E258" s="525">
        <v>0.93007397692899463</v>
      </c>
      <c r="F258" s="525">
        <v>0.89648844694240282</v>
      </c>
      <c r="G258" s="525">
        <v>0.89218394093114872</v>
      </c>
      <c r="H258" s="525">
        <v>1</v>
      </c>
      <c r="I258" s="525">
        <v>1.4726681720056574E-2</v>
      </c>
      <c r="J258" s="536">
        <v>0.78824705404960205</v>
      </c>
      <c r="K258" s="536">
        <v>0</v>
      </c>
      <c r="L258" s="525">
        <v>0.77085088798334789</v>
      </c>
      <c r="M258" s="525">
        <v>0.80206658086715754</v>
      </c>
      <c r="N258" s="525">
        <v>0.74015477384937867</v>
      </c>
      <c r="O258" s="536">
        <v>0.77735734006534019</v>
      </c>
      <c r="P258" s="165">
        <v>0</v>
      </c>
      <c r="Q258" s="525">
        <v>0</v>
      </c>
      <c r="R258" s="536">
        <v>0</v>
      </c>
      <c r="S258" s="536">
        <v>0</v>
      </c>
      <c r="T258" s="15">
        <v>0</v>
      </c>
      <c r="U258" s="15">
        <v>0.78292342747485222</v>
      </c>
      <c r="V258" s="15"/>
    </row>
    <row r="259" spans="1:22" x14ac:dyDescent="0.25">
      <c r="A259" s="166"/>
      <c r="B259" s="167" t="s">
        <v>60</v>
      </c>
      <c r="C259" s="168">
        <v>0.95520475603200206</v>
      </c>
      <c r="D259" s="169">
        <v>0.92028439474963541</v>
      </c>
      <c r="E259" s="169">
        <v>0.91869301353437638</v>
      </c>
      <c r="F259" s="169">
        <v>0.88233254893809709</v>
      </c>
      <c r="G259" s="169">
        <v>0.86301098106029661</v>
      </c>
      <c r="H259" s="169">
        <v>1</v>
      </c>
      <c r="I259" s="169">
        <v>1.484807779837698E-2</v>
      </c>
      <c r="J259" s="170">
        <v>0.7660517054191287</v>
      </c>
      <c r="K259" s="170">
        <v>0</v>
      </c>
      <c r="L259" s="169">
        <v>0.72611523157747748</v>
      </c>
      <c r="M259" s="169">
        <v>0.76113410627006883</v>
      </c>
      <c r="N259" s="169">
        <v>0.7230902282017182</v>
      </c>
      <c r="O259" s="170">
        <v>0.73350742699553095</v>
      </c>
      <c r="P259" s="170">
        <v>0</v>
      </c>
      <c r="Q259" s="169">
        <v>0</v>
      </c>
      <c r="R259" s="170">
        <v>0</v>
      </c>
      <c r="S259" s="170">
        <v>0</v>
      </c>
      <c r="T259" s="15">
        <v>0</v>
      </c>
      <c r="U259" s="15">
        <v>0.74990778157241766</v>
      </c>
      <c r="V259" s="15"/>
    </row>
    <row r="260" spans="1:22" s="173" customFormat="1" x14ac:dyDescent="0.25">
      <c r="A260" s="166"/>
      <c r="B260" s="207" t="s">
        <v>772</v>
      </c>
      <c r="C260" s="208">
        <v>-0.30720625754168118</v>
      </c>
      <c r="D260" s="209">
        <v>-1.0733581082107313</v>
      </c>
      <c r="E260" s="209">
        <v>-1.1380963394618249</v>
      </c>
      <c r="F260" s="209">
        <v>-1.4155898004305723</v>
      </c>
      <c r="G260" s="209">
        <v>-2.9172959870852111</v>
      </c>
      <c r="H260" s="209">
        <v>0</v>
      </c>
      <c r="I260" s="209">
        <v>1.2139607832040676E-2</v>
      </c>
      <c r="J260" s="210">
        <v>-2.2195348630473344</v>
      </c>
      <c r="K260" s="210">
        <v>0</v>
      </c>
      <c r="L260" s="209">
        <v>-4.4735656405870401</v>
      </c>
      <c r="M260" s="209">
        <v>-4.0932474597088708</v>
      </c>
      <c r="N260" s="209">
        <v>-1.7064545647660467</v>
      </c>
      <c r="O260" s="210">
        <v>-4.3849913069809237</v>
      </c>
      <c r="P260" s="210">
        <v>0</v>
      </c>
      <c r="Q260" s="209">
        <v>0</v>
      </c>
      <c r="R260" s="210">
        <v>0</v>
      </c>
      <c r="S260" s="210">
        <v>0</v>
      </c>
      <c r="T260" s="15">
        <v>0</v>
      </c>
      <c r="U260" s="15">
        <v>-3.3015645902434554</v>
      </c>
      <c r="V260" s="15"/>
    </row>
    <row r="261" spans="1:22" x14ac:dyDescent="0.25">
      <c r="A261" s="166"/>
      <c r="B261" s="268" t="s">
        <v>61</v>
      </c>
      <c r="C261" s="524">
        <v>2.2535468329460122E-2</v>
      </c>
      <c r="D261" s="525">
        <v>1.2137317597576219E-2</v>
      </c>
      <c r="E261" s="525">
        <v>1.8514476902824671E-2</v>
      </c>
      <c r="F261" s="525">
        <v>1.2336071480040352E-2</v>
      </c>
      <c r="G261" s="525">
        <v>0</v>
      </c>
      <c r="H261" s="525">
        <v>0</v>
      </c>
      <c r="I261" s="525">
        <v>9.8231640240523388E-2</v>
      </c>
      <c r="J261" s="536">
        <v>2.8665533686084026E-2</v>
      </c>
      <c r="K261" s="536">
        <v>0</v>
      </c>
      <c r="L261" s="525">
        <v>8.5737919729752768E-2</v>
      </c>
      <c r="M261" s="525">
        <v>3.9771096766388993E-2</v>
      </c>
      <c r="N261" s="525">
        <v>8.327190725490001E-2</v>
      </c>
      <c r="O261" s="536">
        <v>7.4141184794780518E-2</v>
      </c>
      <c r="P261" s="165">
        <v>0</v>
      </c>
      <c r="Q261" s="525">
        <v>0</v>
      </c>
      <c r="R261" s="536">
        <v>0</v>
      </c>
      <c r="S261" s="536">
        <v>0</v>
      </c>
      <c r="T261" s="15">
        <v>0</v>
      </c>
      <c r="U261" s="15">
        <v>5.0897098729591181E-2</v>
      </c>
      <c r="V261" s="15"/>
    </row>
    <row r="262" spans="1:22" x14ac:dyDescent="0.25">
      <c r="A262" s="166"/>
      <c r="B262" s="167" t="s">
        <v>62</v>
      </c>
      <c r="C262" s="168">
        <v>2.4991936248932738E-2</v>
      </c>
      <c r="D262" s="169">
        <v>1.6133932912007778E-2</v>
      </c>
      <c r="E262" s="169">
        <v>2.0511737734895136E-2</v>
      </c>
      <c r="F262" s="169">
        <v>1.0556673174425251E-2</v>
      </c>
      <c r="G262" s="169">
        <v>1.3711738415039735E-2</v>
      </c>
      <c r="H262" s="169">
        <v>0</v>
      </c>
      <c r="I262" s="169">
        <v>9.7210966669997075E-3</v>
      </c>
      <c r="J262" s="170">
        <v>1.6388553945544795E-2</v>
      </c>
      <c r="K262" s="170">
        <v>0</v>
      </c>
      <c r="L262" s="169">
        <v>0.12447208459642226</v>
      </c>
      <c r="M262" s="169">
        <v>6.2374347881409851E-2</v>
      </c>
      <c r="N262" s="169">
        <v>7.8422413863437956E-2</v>
      </c>
      <c r="O262" s="170">
        <v>0.10934038826868156</v>
      </c>
      <c r="P262" s="170">
        <v>0</v>
      </c>
      <c r="Q262" s="169">
        <v>0</v>
      </c>
      <c r="R262" s="170">
        <v>0</v>
      </c>
      <c r="S262" s="170">
        <v>0</v>
      </c>
      <c r="T262" s="15">
        <v>0</v>
      </c>
      <c r="U262" s="15">
        <v>6.2498266847851584E-2</v>
      </c>
      <c r="V262" s="15"/>
    </row>
    <row r="263" spans="1:22" s="173" customFormat="1" x14ac:dyDescent="0.25">
      <c r="A263" s="166"/>
      <c r="B263" s="207" t="s">
        <v>63</v>
      </c>
      <c r="C263" s="208">
        <v>0.24564679194726163</v>
      </c>
      <c r="D263" s="209">
        <v>0.39966153144315592</v>
      </c>
      <c r="E263" s="209">
        <v>0.19972608320704655</v>
      </c>
      <c r="F263" s="209">
        <v>-0.17793983056151008</v>
      </c>
      <c r="G263" s="209">
        <v>0</v>
      </c>
      <c r="H263" s="209">
        <v>0</v>
      </c>
      <c r="I263" s="530">
        <v>-8.8510543573523677</v>
      </c>
      <c r="J263" s="210">
        <v>-1.2276979740539231</v>
      </c>
      <c r="K263" s="210">
        <v>0</v>
      </c>
      <c r="L263" s="209">
        <v>3.8734164866669487</v>
      </c>
      <c r="M263" s="209">
        <v>2.2603251115020857</v>
      </c>
      <c r="N263" s="209">
        <v>-0.48494933914620536</v>
      </c>
      <c r="O263" s="210">
        <v>3.5199203473901042</v>
      </c>
      <c r="P263" s="210">
        <v>0</v>
      </c>
      <c r="Q263" s="209">
        <v>0</v>
      </c>
      <c r="R263" s="210">
        <v>0</v>
      </c>
      <c r="S263" s="210">
        <v>0</v>
      </c>
      <c r="T263" s="15">
        <v>0</v>
      </c>
      <c r="U263" s="15">
        <v>1.1601168118260403</v>
      </c>
      <c r="V263" s="15"/>
    </row>
    <row r="264" spans="1:22" x14ac:dyDescent="0.25">
      <c r="A264" s="166"/>
      <c r="B264" s="268" t="s">
        <v>64</v>
      </c>
      <c r="C264" s="524">
        <v>1.8702676079051028E-2</v>
      </c>
      <c r="D264" s="525">
        <v>5.6844706570681004E-2</v>
      </c>
      <c r="E264" s="525">
        <v>5.0943450261847323E-2</v>
      </c>
      <c r="F264" s="525">
        <v>8.7450715206876042E-2</v>
      </c>
      <c r="G264" s="525">
        <v>0.10781605906885131</v>
      </c>
      <c r="H264" s="525">
        <v>0</v>
      </c>
      <c r="I264" s="525">
        <v>0.88704167803942002</v>
      </c>
      <c r="J264" s="536">
        <v>0.18207656859554602</v>
      </c>
      <c r="K264" s="536">
        <v>0</v>
      </c>
      <c r="L264" s="525">
        <v>0.14224875689928906</v>
      </c>
      <c r="M264" s="525">
        <v>0.15496601062524992</v>
      </c>
      <c r="N264" s="525">
        <v>0.16739417660908179</v>
      </c>
      <c r="O264" s="536">
        <v>0.14649155137231235</v>
      </c>
      <c r="P264" s="165">
        <v>0</v>
      </c>
      <c r="Q264" s="525">
        <v>0</v>
      </c>
      <c r="R264" s="536">
        <v>0</v>
      </c>
      <c r="S264" s="536">
        <v>0</v>
      </c>
      <c r="T264" s="15">
        <v>0</v>
      </c>
      <c r="U264" s="15">
        <v>0.16468021239865024</v>
      </c>
      <c r="V264" s="15"/>
    </row>
    <row r="265" spans="1:22" x14ac:dyDescent="0.25">
      <c r="A265" s="166"/>
      <c r="B265" s="167" t="s">
        <v>65</v>
      </c>
      <c r="C265" s="168">
        <v>1.9032982322992758E-2</v>
      </c>
      <c r="D265" s="169">
        <v>6.3581672338356834E-2</v>
      </c>
      <c r="E265" s="169">
        <v>6.0692583502666389E-2</v>
      </c>
      <c r="F265" s="169">
        <v>0.10581021594376108</v>
      </c>
      <c r="G265" s="169">
        <v>0.12327728052466362</v>
      </c>
      <c r="H265" s="169">
        <v>0</v>
      </c>
      <c r="I265" s="169">
        <v>0.97543082553462335</v>
      </c>
      <c r="J265" s="170">
        <v>0.21707362941446987</v>
      </c>
      <c r="K265" s="170">
        <v>0</v>
      </c>
      <c r="L265" s="169">
        <v>0.14873320313180785</v>
      </c>
      <c r="M265" s="169">
        <v>0.17380448043831351</v>
      </c>
      <c r="N265" s="169">
        <v>0.19006747330031737</v>
      </c>
      <c r="O265" s="170">
        <v>0.15573747305072172</v>
      </c>
      <c r="P265" s="170">
        <v>0</v>
      </c>
      <c r="Q265" s="169">
        <v>0</v>
      </c>
      <c r="R265" s="170">
        <v>0</v>
      </c>
      <c r="S265" s="170">
        <v>0</v>
      </c>
      <c r="T265" s="15">
        <v>0</v>
      </c>
      <c r="U265" s="15">
        <v>0.18664719855317533</v>
      </c>
      <c r="V265" s="15"/>
    </row>
    <row r="266" spans="1:22" s="173" customFormat="1" x14ac:dyDescent="0.25">
      <c r="A266" s="166"/>
      <c r="B266" s="207" t="s">
        <v>66</v>
      </c>
      <c r="C266" s="208">
        <v>3.3030624394173036E-2</v>
      </c>
      <c r="D266" s="209">
        <v>0.67369657676758299</v>
      </c>
      <c r="E266" s="209">
        <v>0.97491332408190656</v>
      </c>
      <c r="F266" s="209">
        <v>1.8359500736885039</v>
      </c>
      <c r="G266" s="209">
        <v>1.5461221455812315</v>
      </c>
      <c r="H266" s="209">
        <v>0</v>
      </c>
      <c r="I266" s="530">
        <v>8.8389147495203328</v>
      </c>
      <c r="J266" s="210">
        <v>3.4997060818923842</v>
      </c>
      <c r="K266" s="210">
        <v>0</v>
      </c>
      <c r="L266" s="209">
        <v>0.64844462325187868</v>
      </c>
      <c r="M266" s="209">
        <v>1.8838469813063585</v>
      </c>
      <c r="N266" s="209">
        <v>2.2673296691235576</v>
      </c>
      <c r="O266" s="210">
        <v>0.92459216784093745</v>
      </c>
      <c r="P266" s="210">
        <v>0</v>
      </c>
      <c r="Q266" s="209">
        <v>0</v>
      </c>
      <c r="R266" s="210">
        <v>0</v>
      </c>
      <c r="S266" s="210">
        <v>0</v>
      </c>
      <c r="T266" s="15">
        <v>0</v>
      </c>
      <c r="U266" s="15">
        <v>2.1966986154525081</v>
      </c>
      <c r="V266" s="15"/>
    </row>
    <row r="267" spans="1:22" x14ac:dyDescent="0.25">
      <c r="A267" s="166"/>
      <c r="B267" s="268" t="s">
        <v>67</v>
      </c>
      <c r="C267" s="524">
        <v>4.8503698407003536E-4</v>
      </c>
      <c r="D267" s="525">
        <v>0</v>
      </c>
      <c r="E267" s="525">
        <v>4.680959063334166E-4</v>
      </c>
      <c r="F267" s="525">
        <v>3.7247663706807678E-3</v>
      </c>
      <c r="G267" s="525">
        <v>0</v>
      </c>
      <c r="H267" s="525">
        <v>0</v>
      </c>
      <c r="I267" s="525">
        <v>0</v>
      </c>
      <c r="J267" s="536">
        <v>1.0108436687679037E-3</v>
      </c>
      <c r="K267" s="536">
        <v>0</v>
      </c>
      <c r="L267" s="525">
        <v>6.9755620277754627E-4</v>
      </c>
      <c r="M267" s="525">
        <v>3.0444264482027469E-3</v>
      </c>
      <c r="N267" s="525">
        <v>9.1791422866395796E-3</v>
      </c>
      <c r="O267" s="536">
        <v>1.6429555759296087E-3</v>
      </c>
      <c r="P267" s="165">
        <v>0</v>
      </c>
      <c r="Q267" s="525">
        <v>0</v>
      </c>
      <c r="R267" s="536">
        <v>0</v>
      </c>
      <c r="S267" s="536">
        <v>0</v>
      </c>
      <c r="T267" s="15">
        <v>0</v>
      </c>
      <c r="U267" s="15">
        <v>1.3198625972765143E-3</v>
      </c>
      <c r="V267" s="15"/>
    </row>
    <row r="268" spans="1:22" x14ac:dyDescent="0.25">
      <c r="A268" s="166"/>
      <c r="B268" s="167" t="s">
        <v>68</v>
      </c>
      <c r="C268" s="168">
        <v>7.7032539607247894E-4</v>
      </c>
      <c r="D268" s="169">
        <v>0</v>
      </c>
      <c r="E268" s="169">
        <v>1.0266522806208728E-4</v>
      </c>
      <c r="F268" s="169">
        <v>1.3005619437165487E-3</v>
      </c>
      <c r="G268" s="169">
        <v>0</v>
      </c>
      <c r="H268" s="169">
        <v>0</v>
      </c>
      <c r="I268" s="169">
        <v>0</v>
      </c>
      <c r="J268" s="170">
        <v>4.861112208566367E-4</v>
      </c>
      <c r="K268" s="170">
        <v>0</v>
      </c>
      <c r="L268" s="169">
        <v>5.2499458330383826E-4</v>
      </c>
      <c r="M268" s="169">
        <v>2.6870654102078544E-3</v>
      </c>
      <c r="N268" s="169">
        <v>8.4198846345264217E-3</v>
      </c>
      <c r="O268" s="170">
        <v>1.299441259523657E-3</v>
      </c>
      <c r="P268" s="170">
        <v>0</v>
      </c>
      <c r="Q268" s="169">
        <v>0</v>
      </c>
      <c r="R268" s="170">
        <v>0</v>
      </c>
      <c r="S268" s="170">
        <v>0</v>
      </c>
      <c r="T268" s="15">
        <v>0</v>
      </c>
      <c r="U268" s="15">
        <v>8.8957194705796582E-4</v>
      </c>
      <c r="V268" s="15"/>
    </row>
    <row r="269" spans="1:22" s="173" customFormat="1" x14ac:dyDescent="0.25">
      <c r="A269" s="166"/>
      <c r="B269" s="207" t="s">
        <v>69</v>
      </c>
      <c r="C269" s="208">
        <v>2.8528841200244359E-2</v>
      </c>
      <c r="D269" s="209">
        <v>0</v>
      </c>
      <c r="E269" s="209">
        <v>-3.654306782713293E-2</v>
      </c>
      <c r="F269" s="209">
        <v>-0.24242044269642193</v>
      </c>
      <c r="G269" s="209">
        <v>0</v>
      </c>
      <c r="H269" s="209">
        <v>0</v>
      </c>
      <c r="I269" s="209">
        <v>0</v>
      </c>
      <c r="J269" s="210">
        <v>-5.2473244791126694E-2</v>
      </c>
      <c r="K269" s="210">
        <v>0</v>
      </c>
      <c r="L269" s="209">
        <v>-1.7256161947370802E-2</v>
      </c>
      <c r="M269" s="209">
        <v>-3.5736103799489244E-2</v>
      </c>
      <c r="N269" s="209">
        <v>-7.592576521131579E-2</v>
      </c>
      <c r="O269" s="210">
        <v>-3.4351431640595162E-2</v>
      </c>
      <c r="P269" s="210">
        <v>0</v>
      </c>
      <c r="Q269" s="209">
        <v>0</v>
      </c>
      <c r="R269" s="210">
        <v>0</v>
      </c>
      <c r="S269" s="210">
        <v>0</v>
      </c>
      <c r="T269" s="15">
        <v>0</v>
      </c>
      <c r="U269" s="15">
        <v>-4.3029065021854843E-2</v>
      </c>
      <c r="V269" s="15"/>
    </row>
    <row r="270" spans="1:22" x14ac:dyDescent="0.25">
      <c r="A270" s="166"/>
      <c r="B270" s="268" t="s">
        <v>70</v>
      </c>
      <c r="C270" s="524">
        <v>0</v>
      </c>
      <c r="D270" s="525">
        <v>0</v>
      </c>
      <c r="E270" s="525">
        <v>0</v>
      </c>
      <c r="F270" s="525">
        <v>0</v>
      </c>
      <c r="G270" s="525">
        <v>0</v>
      </c>
      <c r="H270" s="525">
        <v>0</v>
      </c>
      <c r="I270" s="525">
        <v>0</v>
      </c>
      <c r="J270" s="536">
        <v>0</v>
      </c>
      <c r="K270" s="536">
        <v>0</v>
      </c>
      <c r="L270" s="525">
        <v>4.6487918483268742E-4</v>
      </c>
      <c r="M270" s="525">
        <v>0</v>
      </c>
      <c r="N270" s="525">
        <v>0</v>
      </c>
      <c r="O270" s="536">
        <v>3.2899437693497378E-4</v>
      </c>
      <c r="P270" s="165">
        <v>0</v>
      </c>
      <c r="Q270" s="525">
        <v>0</v>
      </c>
      <c r="R270" s="536">
        <v>0</v>
      </c>
      <c r="S270" s="536">
        <v>0</v>
      </c>
      <c r="T270" s="15">
        <v>0</v>
      </c>
      <c r="U270" s="15">
        <v>1.6083463812966236E-4</v>
      </c>
      <c r="V270" s="15"/>
    </row>
    <row r="271" spans="1:22" x14ac:dyDescent="0.25">
      <c r="A271" s="166"/>
      <c r="B271" s="167" t="s">
        <v>71</v>
      </c>
      <c r="C271" s="168">
        <v>0</v>
      </c>
      <c r="D271" s="169">
        <v>0</v>
      </c>
      <c r="E271" s="169">
        <v>0</v>
      </c>
      <c r="F271" s="169">
        <v>0</v>
      </c>
      <c r="G271" s="169">
        <v>0</v>
      </c>
      <c r="H271" s="169">
        <v>0</v>
      </c>
      <c r="I271" s="169">
        <v>0</v>
      </c>
      <c r="J271" s="170">
        <v>0</v>
      </c>
      <c r="K271" s="170">
        <v>0</v>
      </c>
      <c r="L271" s="169">
        <v>1.5448611098858848E-4</v>
      </c>
      <c r="M271" s="169">
        <v>0</v>
      </c>
      <c r="N271" s="169">
        <v>0</v>
      </c>
      <c r="O271" s="170">
        <v>1.1527042554212821E-4</v>
      </c>
      <c r="P271" s="170">
        <v>0</v>
      </c>
      <c r="Q271" s="169">
        <v>0</v>
      </c>
      <c r="R271" s="170">
        <v>0</v>
      </c>
      <c r="S271" s="170">
        <v>0</v>
      </c>
      <c r="T271" s="15">
        <v>0</v>
      </c>
      <c r="U271" s="15">
        <v>5.7181079497548742E-5</v>
      </c>
      <c r="V271" s="15"/>
    </row>
    <row r="272" spans="1:22" s="173" customFormat="1" x14ac:dyDescent="0.25">
      <c r="A272" s="166"/>
      <c r="B272" s="207" t="s">
        <v>72</v>
      </c>
      <c r="C272" s="208">
        <v>0</v>
      </c>
      <c r="D272" s="209">
        <v>0</v>
      </c>
      <c r="E272" s="209">
        <v>0</v>
      </c>
      <c r="F272" s="209">
        <v>0</v>
      </c>
      <c r="G272" s="209">
        <v>0</v>
      </c>
      <c r="H272" s="209">
        <v>0</v>
      </c>
      <c r="I272" s="209">
        <v>0</v>
      </c>
      <c r="J272" s="210">
        <v>0</v>
      </c>
      <c r="K272" s="210">
        <v>0</v>
      </c>
      <c r="L272" s="209">
        <v>-3.1039307384409898E-2</v>
      </c>
      <c r="M272" s="209">
        <v>0</v>
      </c>
      <c r="N272" s="209">
        <v>0</v>
      </c>
      <c r="O272" s="210">
        <v>-2.1372395139284555E-2</v>
      </c>
      <c r="P272" s="210">
        <v>0</v>
      </c>
      <c r="Q272" s="209">
        <v>0</v>
      </c>
      <c r="R272" s="210">
        <v>0</v>
      </c>
      <c r="S272" s="210">
        <v>0</v>
      </c>
      <c r="T272" s="15">
        <v>0</v>
      </c>
      <c r="U272" s="15">
        <v>-1.0365355863211361E-2</v>
      </c>
      <c r="V272" s="15"/>
    </row>
    <row r="273" spans="1:22" x14ac:dyDescent="0.25">
      <c r="A273" s="166"/>
      <c r="B273" s="268" t="s">
        <v>73</v>
      </c>
      <c r="C273" s="524">
        <v>0</v>
      </c>
      <c r="D273" s="525">
        <v>0</v>
      </c>
      <c r="E273" s="525">
        <v>0</v>
      </c>
      <c r="F273" s="525">
        <v>0</v>
      </c>
      <c r="G273" s="525">
        <v>0</v>
      </c>
      <c r="H273" s="525">
        <v>0</v>
      </c>
      <c r="I273" s="525">
        <v>0</v>
      </c>
      <c r="J273" s="536">
        <v>0</v>
      </c>
      <c r="K273" s="536">
        <v>0</v>
      </c>
      <c r="L273" s="525">
        <v>0</v>
      </c>
      <c r="M273" s="525">
        <v>1.5188529300084344E-4</v>
      </c>
      <c r="N273" s="525">
        <v>0</v>
      </c>
      <c r="O273" s="536">
        <v>3.7973814702402489E-5</v>
      </c>
      <c r="P273" s="165">
        <v>0</v>
      </c>
      <c r="Q273" s="525">
        <v>0</v>
      </c>
      <c r="R273" s="536">
        <v>0</v>
      </c>
      <c r="S273" s="536">
        <v>0</v>
      </c>
      <c r="T273" s="15">
        <v>0</v>
      </c>
      <c r="U273" s="15">
        <v>1.8564161500155104E-5</v>
      </c>
      <c r="V273" s="15"/>
    </row>
    <row r="274" spans="1:22" x14ac:dyDescent="0.25">
      <c r="A274" s="166"/>
      <c r="B274" s="167" t="s">
        <v>74</v>
      </c>
      <c r="C274" s="168">
        <v>0</v>
      </c>
      <c r="D274" s="169">
        <v>0</v>
      </c>
      <c r="E274" s="169">
        <v>0</v>
      </c>
      <c r="F274" s="169">
        <v>0</v>
      </c>
      <c r="G274" s="169">
        <v>0</v>
      </c>
      <c r="H274" s="169">
        <v>0</v>
      </c>
      <c r="I274" s="169">
        <v>0</v>
      </c>
      <c r="J274" s="170">
        <v>0</v>
      </c>
      <c r="K274" s="170">
        <v>0</v>
      </c>
      <c r="L274" s="169">
        <v>0</v>
      </c>
      <c r="M274" s="169">
        <v>0</v>
      </c>
      <c r="N274" s="169">
        <v>0</v>
      </c>
      <c r="O274" s="170">
        <v>0</v>
      </c>
      <c r="P274" s="170">
        <v>0</v>
      </c>
      <c r="Q274" s="169">
        <v>0</v>
      </c>
      <c r="R274" s="170">
        <v>0</v>
      </c>
      <c r="S274" s="170">
        <v>0</v>
      </c>
      <c r="T274" s="15">
        <v>0</v>
      </c>
      <c r="U274" s="15">
        <v>0</v>
      </c>
      <c r="V274" s="15"/>
    </row>
    <row r="275" spans="1:22" s="173" customFormat="1" ht="15.75" thickBot="1" x14ac:dyDescent="0.3">
      <c r="A275" s="166"/>
      <c r="B275" s="531" t="s">
        <v>75</v>
      </c>
      <c r="C275" s="532">
        <v>0</v>
      </c>
      <c r="D275" s="533">
        <v>0</v>
      </c>
      <c r="E275" s="533">
        <v>0</v>
      </c>
      <c r="F275" s="533">
        <v>0</v>
      </c>
      <c r="G275" s="533">
        <v>0</v>
      </c>
      <c r="H275" s="533">
        <v>0</v>
      </c>
      <c r="I275" s="533">
        <v>0</v>
      </c>
      <c r="J275" s="537">
        <v>0</v>
      </c>
      <c r="K275" s="537">
        <v>0</v>
      </c>
      <c r="L275" s="533">
        <v>0</v>
      </c>
      <c r="M275" s="533">
        <v>-1.5188529300084344E-2</v>
      </c>
      <c r="N275" s="533">
        <v>0</v>
      </c>
      <c r="O275" s="537">
        <v>-3.7973814702402489E-3</v>
      </c>
      <c r="P275" s="537">
        <v>0</v>
      </c>
      <c r="Q275" s="533">
        <v>0</v>
      </c>
      <c r="R275" s="537">
        <v>0</v>
      </c>
      <c r="S275" s="537">
        <v>0</v>
      </c>
      <c r="T275" s="15">
        <v>0</v>
      </c>
      <c r="U275" s="15">
        <v>-1.8564161500155105E-3</v>
      </c>
      <c r="V275" s="15"/>
    </row>
    <row r="276" spans="1:22" ht="15.75" thickTop="1" x14ac:dyDescent="0.25">
      <c r="A276" s="166"/>
      <c r="B276" s="167" t="s">
        <v>76</v>
      </c>
      <c r="C276" s="168">
        <v>0.72345835982199613</v>
      </c>
      <c r="D276" s="169">
        <v>0.81701603865444328</v>
      </c>
      <c r="E276" s="169">
        <v>0.64088388184773726</v>
      </c>
      <c r="F276" s="169">
        <v>0.780689604564342</v>
      </c>
      <c r="G276" s="169">
        <v>0.83702301194290707</v>
      </c>
      <c r="H276" s="169">
        <v>1</v>
      </c>
      <c r="I276" s="169">
        <v>0.11351629502572899</v>
      </c>
      <c r="J276" s="170">
        <v>0.50713693814009997</v>
      </c>
      <c r="K276" s="170">
        <v>0</v>
      </c>
      <c r="L276" s="169">
        <v>0</v>
      </c>
      <c r="M276" s="169">
        <v>0</v>
      </c>
      <c r="N276" s="169">
        <v>0</v>
      </c>
      <c r="O276" s="170">
        <v>0</v>
      </c>
      <c r="P276" s="170">
        <v>0</v>
      </c>
      <c r="Q276" s="169">
        <v>0</v>
      </c>
      <c r="R276" s="170">
        <v>0</v>
      </c>
      <c r="S276" s="170">
        <v>0</v>
      </c>
      <c r="T276" s="15">
        <v>0</v>
      </c>
      <c r="U276" s="15">
        <v>0.50713693814009997</v>
      </c>
      <c r="V276" s="15"/>
    </row>
    <row r="277" spans="1:22" x14ac:dyDescent="0.25">
      <c r="A277" s="166"/>
      <c r="B277" s="167" t="s">
        <v>77</v>
      </c>
      <c r="C277" s="168">
        <v>0.74124476948015228</v>
      </c>
      <c r="D277" s="169">
        <v>0.79486681268988912</v>
      </c>
      <c r="E277" s="169">
        <v>0.60822259720171556</v>
      </c>
      <c r="F277" s="169">
        <v>0.75415517426657597</v>
      </c>
      <c r="G277" s="169">
        <v>0.79233838786911415</v>
      </c>
      <c r="H277" s="169">
        <v>1</v>
      </c>
      <c r="I277" s="169">
        <v>0.10740881710465347</v>
      </c>
      <c r="J277" s="170">
        <v>0.49547237009112094</v>
      </c>
      <c r="K277" s="170">
        <v>0</v>
      </c>
      <c r="L277" s="169">
        <v>0</v>
      </c>
      <c r="M277" s="169">
        <v>0</v>
      </c>
      <c r="N277" s="169">
        <v>0</v>
      </c>
      <c r="O277" s="170">
        <v>0</v>
      </c>
      <c r="P277" s="170">
        <v>0</v>
      </c>
      <c r="Q277" s="169">
        <v>0</v>
      </c>
      <c r="R277" s="170">
        <v>0</v>
      </c>
      <c r="S277" s="170">
        <v>0</v>
      </c>
      <c r="T277" s="15">
        <v>0</v>
      </c>
      <c r="U277" s="15">
        <v>0.49547237009112094</v>
      </c>
      <c r="V277" s="15"/>
    </row>
    <row r="278" spans="1:22" s="173" customFormat="1" x14ac:dyDescent="0.25">
      <c r="A278" s="166"/>
      <c r="B278" s="207" t="s">
        <v>78</v>
      </c>
      <c r="C278" s="208">
        <v>1.7786409658156144</v>
      </c>
      <c r="D278" s="209">
        <v>-2.2149225964554153</v>
      </c>
      <c r="E278" s="209">
        <v>-3.2661284646021693</v>
      </c>
      <c r="F278" s="209">
        <v>-2.6534430297766032</v>
      </c>
      <c r="G278" s="209">
        <v>-4.4684624073792918</v>
      </c>
      <c r="H278" s="209">
        <v>0</v>
      </c>
      <c r="I278" s="209">
        <v>-0.61074779210755215</v>
      </c>
      <c r="J278" s="210">
        <v>-1.1664568048979029</v>
      </c>
      <c r="K278" s="210">
        <v>0</v>
      </c>
      <c r="L278" s="209">
        <v>0</v>
      </c>
      <c r="M278" s="209">
        <v>0</v>
      </c>
      <c r="N278" s="209">
        <v>0</v>
      </c>
      <c r="O278" s="210">
        <v>0</v>
      </c>
      <c r="P278" s="210">
        <v>0</v>
      </c>
      <c r="Q278" s="209">
        <v>0</v>
      </c>
      <c r="R278" s="210">
        <v>0</v>
      </c>
      <c r="S278" s="210">
        <v>0</v>
      </c>
      <c r="T278" s="15">
        <v>0</v>
      </c>
      <c r="U278" s="15">
        <v>-1.1664568048979029</v>
      </c>
      <c r="V278" s="15"/>
    </row>
    <row r="279" spans="1:22" x14ac:dyDescent="0.25">
      <c r="A279" s="166"/>
      <c r="B279" s="268" t="s">
        <v>79</v>
      </c>
      <c r="C279" s="524">
        <v>0.23422482108350695</v>
      </c>
      <c r="D279" s="525">
        <v>5.0136870533335785E-2</v>
      </c>
      <c r="E279" s="525">
        <v>0.2190058937046889</v>
      </c>
      <c r="F279" s="525">
        <v>3.7993377301204376E-2</v>
      </c>
      <c r="G279" s="525">
        <v>4.8936789979609673E-2</v>
      </c>
      <c r="H279" s="525">
        <v>0</v>
      </c>
      <c r="I279" s="525">
        <v>2.8734991423670669E-2</v>
      </c>
      <c r="J279" s="536">
        <v>0.10252379381642357</v>
      </c>
      <c r="K279" s="536">
        <v>0</v>
      </c>
      <c r="L279" s="525">
        <v>0</v>
      </c>
      <c r="M279" s="525">
        <v>0</v>
      </c>
      <c r="N279" s="525">
        <v>0</v>
      </c>
      <c r="O279" s="536">
        <v>0</v>
      </c>
      <c r="P279" s="165">
        <v>0</v>
      </c>
      <c r="Q279" s="525">
        <v>0</v>
      </c>
      <c r="R279" s="536">
        <v>0</v>
      </c>
      <c r="S279" s="536">
        <v>0</v>
      </c>
      <c r="T279" s="15">
        <v>0</v>
      </c>
      <c r="U279" s="15">
        <v>0.10252379381642357</v>
      </c>
      <c r="V279" s="15"/>
    </row>
    <row r="280" spans="1:22" x14ac:dyDescent="0.25">
      <c r="A280" s="166"/>
      <c r="B280" s="167" t="s">
        <v>80</v>
      </c>
      <c r="C280" s="168">
        <v>0.21040826327892337</v>
      </c>
      <c r="D280" s="169">
        <v>2.6796438917543984E-2</v>
      </c>
      <c r="E280" s="169">
        <v>0.22627082893904241</v>
      </c>
      <c r="F280" s="169">
        <v>3.6071211090016833E-2</v>
      </c>
      <c r="G280" s="169">
        <v>0.13072625698324022</v>
      </c>
      <c r="H280" s="169">
        <v>0</v>
      </c>
      <c r="I280" s="169">
        <v>4.7854471437082144E-2</v>
      </c>
      <c r="J280" s="170">
        <v>0.1014975278004054</v>
      </c>
      <c r="K280" s="170">
        <v>0</v>
      </c>
      <c r="L280" s="169">
        <v>0</v>
      </c>
      <c r="M280" s="169">
        <v>0</v>
      </c>
      <c r="N280" s="169">
        <v>0</v>
      </c>
      <c r="O280" s="170">
        <v>0</v>
      </c>
      <c r="P280" s="170">
        <v>0</v>
      </c>
      <c r="Q280" s="169">
        <v>0</v>
      </c>
      <c r="R280" s="170">
        <v>0</v>
      </c>
      <c r="S280" s="170">
        <v>0</v>
      </c>
      <c r="T280" s="15">
        <v>0</v>
      </c>
      <c r="U280" s="15">
        <v>0.1014975278004054</v>
      </c>
      <c r="V280" s="15"/>
    </row>
    <row r="281" spans="1:22" s="173" customFormat="1" x14ac:dyDescent="0.25">
      <c r="A281" s="166"/>
      <c r="B281" s="207" t="s">
        <v>81</v>
      </c>
      <c r="C281" s="208">
        <v>-2.3816557804583582</v>
      </c>
      <c r="D281" s="209">
        <v>-2.3340431615791801</v>
      </c>
      <c r="E281" s="209">
        <v>0.7264935234353509</v>
      </c>
      <c r="F281" s="209">
        <v>-0.19221662111875426</v>
      </c>
      <c r="G281" s="530">
        <v>8.1789467003630545</v>
      </c>
      <c r="H281" s="209">
        <v>0</v>
      </c>
      <c r="I281" s="209">
        <v>1.9119480013411474</v>
      </c>
      <c r="J281" s="210">
        <v>-0.10262660160181708</v>
      </c>
      <c r="K281" s="210">
        <v>0</v>
      </c>
      <c r="L281" s="209">
        <v>0</v>
      </c>
      <c r="M281" s="209">
        <v>0</v>
      </c>
      <c r="N281" s="209">
        <v>0</v>
      </c>
      <c r="O281" s="210">
        <v>0</v>
      </c>
      <c r="P281" s="210">
        <v>0</v>
      </c>
      <c r="Q281" s="209">
        <v>0</v>
      </c>
      <c r="R281" s="210">
        <v>0</v>
      </c>
      <c r="S281" s="210">
        <v>0</v>
      </c>
      <c r="T281" s="15">
        <v>0</v>
      </c>
      <c r="U281" s="15">
        <v>-0.10262660160181708</v>
      </c>
      <c r="V281" s="15"/>
    </row>
    <row r="282" spans="1:22" x14ac:dyDescent="0.25">
      <c r="A282" s="166"/>
      <c r="B282" s="268" t="s">
        <v>82</v>
      </c>
      <c r="C282" s="524">
        <v>3.6343494489309069E-2</v>
      </c>
      <c r="D282" s="525">
        <v>0.13284709081222099</v>
      </c>
      <c r="E282" s="525">
        <v>0.13442514647333925</v>
      </c>
      <c r="F282" s="525">
        <v>0.15572514882726865</v>
      </c>
      <c r="G282" s="525">
        <v>0.11404019807748325</v>
      </c>
      <c r="H282" s="525">
        <v>0</v>
      </c>
      <c r="I282" s="525">
        <v>0.85427101200686106</v>
      </c>
      <c r="J282" s="536">
        <v>0.3824919346404177</v>
      </c>
      <c r="K282" s="536">
        <v>0</v>
      </c>
      <c r="L282" s="525">
        <v>0</v>
      </c>
      <c r="M282" s="525">
        <v>0</v>
      </c>
      <c r="N282" s="525">
        <v>0</v>
      </c>
      <c r="O282" s="536">
        <v>0</v>
      </c>
      <c r="P282" s="165">
        <v>0</v>
      </c>
      <c r="Q282" s="525">
        <v>0</v>
      </c>
      <c r="R282" s="536">
        <v>0</v>
      </c>
      <c r="S282" s="536">
        <v>0</v>
      </c>
      <c r="T282" s="15">
        <v>0</v>
      </c>
      <c r="U282" s="15">
        <v>0.3824919346404177</v>
      </c>
      <c r="V282" s="15"/>
    </row>
    <row r="283" spans="1:22" x14ac:dyDescent="0.25">
      <c r="A283" s="166"/>
      <c r="B283" s="167" t="s">
        <v>83</v>
      </c>
      <c r="C283" s="168">
        <v>4.1649388673175761E-2</v>
      </c>
      <c r="D283" s="169">
        <v>0.17833674839256694</v>
      </c>
      <c r="E283" s="169">
        <v>0.16445194403431063</v>
      </c>
      <c r="F283" s="169">
        <v>0.19557079915463696</v>
      </c>
      <c r="G283" s="169">
        <v>7.6935355147645657E-2</v>
      </c>
      <c r="H283" s="169">
        <v>0</v>
      </c>
      <c r="I283" s="169">
        <v>0.84071953399086519</v>
      </c>
      <c r="J283" s="170">
        <v>0.39721585491377298</v>
      </c>
      <c r="K283" s="170">
        <v>0</v>
      </c>
      <c r="L283" s="169">
        <v>0</v>
      </c>
      <c r="M283" s="169">
        <v>0</v>
      </c>
      <c r="N283" s="169">
        <v>0</v>
      </c>
      <c r="O283" s="170">
        <v>0</v>
      </c>
      <c r="P283" s="170">
        <v>0</v>
      </c>
      <c r="Q283" s="169">
        <v>0</v>
      </c>
      <c r="R283" s="170">
        <v>0</v>
      </c>
      <c r="S283" s="170">
        <v>0</v>
      </c>
      <c r="T283" s="15">
        <v>0</v>
      </c>
      <c r="U283" s="15">
        <v>0.39721585491377298</v>
      </c>
      <c r="V283" s="15"/>
    </row>
    <row r="284" spans="1:22" s="173" customFormat="1" x14ac:dyDescent="0.25">
      <c r="A284" s="166"/>
      <c r="B284" s="207" t="s">
        <v>84</v>
      </c>
      <c r="C284" s="208">
        <v>0.53058941838666906</v>
      </c>
      <c r="D284" s="209">
        <v>4.5489657580345959</v>
      </c>
      <c r="E284" s="209">
        <v>3.0026797560971374</v>
      </c>
      <c r="F284" s="209">
        <v>3.9845650327368309</v>
      </c>
      <c r="G284" s="209">
        <v>-3.7104842929837596</v>
      </c>
      <c r="H284" s="209">
        <v>0</v>
      </c>
      <c r="I284" s="209">
        <v>-1.3551478015995877</v>
      </c>
      <c r="J284" s="210">
        <v>1.4723920273355284</v>
      </c>
      <c r="K284" s="210">
        <v>0</v>
      </c>
      <c r="L284" s="209">
        <v>0</v>
      </c>
      <c r="M284" s="209">
        <v>0</v>
      </c>
      <c r="N284" s="209">
        <v>0</v>
      </c>
      <c r="O284" s="210">
        <v>0</v>
      </c>
      <c r="P284" s="210">
        <v>0</v>
      </c>
      <c r="Q284" s="209">
        <v>0</v>
      </c>
      <c r="R284" s="210">
        <v>0</v>
      </c>
      <c r="S284" s="210">
        <v>0</v>
      </c>
      <c r="T284" s="15">
        <v>0</v>
      </c>
      <c r="U284" s="15">
        <v>1.4723920273355284</v>
      </c>
      <c r="V284" s="15"/>
    </row>
    <row r="285" spans="1:22" x14ac:dyDescent="0.25">
      <c r="A285" s="166"/>
      <c r="B285" s="268" t="s">
        <v>85</v>
      </c>
      <c r="C285" s="524">
        <v>5.9733246051877917E-3</v>
      </c>
      <c r="D285" s="525">
        <v>0</v>
      </c>
      <c r="E285" s="525">
        <v>5.6850779742346012E-3</v>
      </c>
      <c r="F285" s="525">
        <v>2.5591869307184986E-2</v>
      </c>
      <c r="G285" s="525">
        <v>0</v>
      </c>
      <c r="H285" s="525">
        <v>0</v>
      </c>
      <c r="I285" s="525">
        <v>2.8687821612349913E-3</v>
      </c>
      <c r="J285" s="536">
        <v>7.6188484034208385E-3</v>
      </c>
      <c r="K285" s="536">
        <v>0</v>
      </c>
      <c r="L285" s="525">
        <v>0</v>
      </c>
      <c r="M285" s="525">
        <v>0</v>
      </c>
      <c r="N285" s="525">
        <v>0</v>
      </c>
      <c r="O285" s="536">
        <v>0</v>
      </c>
      <c r="P285" s="165">
        <v>0</v>
      </c>
      <c r="Q285" s="525">
        <v>0</v>
      </c>
      <c r="R285" s="536">
        <v>0</v>
      </c>
      <c r="S285" s="536">
        <v>0</v>
      </c>
      <c r="T285" s="15">
        <v>0</v>
      </c>
      <c r="U285" s="15">
        <v>7.6188484034208385E-3</v>
      </c>
      <c r="V285" s="15"/>
    </row>
    <row r="286" spans="1:22" x14ac:dyDescent="0.25">
      <c r="A286" s="166"/>
      <c r="B286" s="167" t="s">
        <v>86</v>
      </c>
      <c r="C286" s="168">
        <v>6.6975785677485834E-3</v>
      </c>
      <c r="D286" s="169">
        <v>0</v>
      </c>
      <c r="E286" s="169">
        <v>1.054629824931449E-3</v>
      </c>
      <c r="F286" s="169">
        <v>1.4202815488770284E-2</v>
      </c>
      <c r="G286" s="169">
        <v>0</v>
      </c>
      <c r="H286" s="169">
        <v>0</v>
      </c>
      <c r="I286" s="169">
        <v>2.1554577348249157E-3</v>
      </c>
      <c r="J286" s="170">
        <v>5.1038450123452109E-3</v>
      </c>
      <c r="K286" s="170">
        <v>0</v>
      </c>
      <c r="L286" s="169">
        <v>0</v>
      </c>
      <c r="M286" s="169">
        <v>0</v>
      </c>
      <c r="N286" s="169">
        <v>0</v>
      </c>
      <c r="O286" s="170">
        <v>0</v>
      </c>
      <c r="P286" s="170">
        <v>0</v>
      </c>
      <c r="Q286" s="169">
        <v>0</v>
      </c>
      <c r="R286" s="170">
        <v>0</v>
      </c>
      <c r="S286" s="170">
        <v>0</v>
      </c>
      <c r="T286" s="15">
        <v>0</v>
      </c>
      <c r="U286" s="15">
        <v>5.1038450123452109E-3</v>
      </c>
      <c r="V286" s="15"/>
    </row>
    <row r="287" spans="1:22" s="173" customFormat="1" x14ac:dyDescent="0.25">
      <c r="A287" s="166"/>
      <c r="B287" s="207" t="s">
        <v>87</v>
      </c>
      <c r="C287" s="208">
        <v>7.2425396256079175E-2</v>
      </c>
      <c r="D287" s="209">
        <v>0</v>
      </c>
      <c r="E287" s="209">
        <v>-0.46304481493031519</v>
      </c>
      <c r="F287" s="209">
        <v>-1.1389053818414703</v>
      </c>
      <c r="G287" s="209">
        <v>0</v>
      </c>
      <c r="H287" s="209">
        <v>0</v>
      </c>
      <c r="I287" s="209">
        <v>-7.1332442641007562E-2</v>
      </c>
      <c r="J287" s="210">
        <v>-0.25150033910756275</v>
      </c>
      <c r="K287" s="210">
        <v>0</v>
      </c>
      <c r="L287" s="209">
        <v>0</v>
      </c>
      <c r="M287" s="209">
        <v>0</v>
      </c>
      <c r="N287" s="209">
        <v>0</v>
      </c>
      <c r="O287" s="210">
        <v>0</v>
      </c>
      <c r="P287" s="210">
        <v>0</v>
      </c>
      <c r="Q287" s="209">
        <v>0</v>
      </c>
      <c r="R287" s="210">
        <v>0</v>
      </c>
      <c r="S287" s="210">
        <v>0</v>
      </c>
      <c r="T287" s="15">
        <v>0</v>
      </c>
      <c r="U287" s="15">
        <v>-0.25150033910756275</v>
      </c>
      <c r="V287" s="15"/>
    </row>
    <row r="288" spans="1:22" x14ac:dyDescent="0.25">
      <c r="A288" s="166"/>
      <c r="B288" s="268" t="s">
        <v>88</v>
      </c>
      <c r="C288" s="524">
        <v>0</v>
      </c>
      <c r="D288" s="525">
        <v>0</v>
      </c>
      <c r="E288" s="525">
        <v>0</v>
      </c>
      <c r="F288" s="525">
        <v>0</v>
      </c>
      <c r="G288" s="525">
        <v>0</v>
      </c>
      <c r="H288" s="525">
        <v>0</v>
      </c>
      <c r="I288" s="525">
        <v>6.089193825042882E-4</v>
      </c>
      <c r="J288" s="536">
        <v>2.2848499963796392E-4</v>
      </c>
      <c r="K288" s="536">
        <v>0</v>
      </c>
      <c r="L288" s="525">
        <v>0</v>
      </c>
      <c r="M288" s="525">
        <v>0</v>
      </c>
      <c r="N288" s="525">
        <v>0</v>
      </c>
      <c r="O288" s="536">
        <v>0</v>
      </c>
      <c r="P288" s="165">
        <v>0</v>
      </c>
      <c r="Q288" s="525">
        <v>0</v>
      </c>
      <c r="R288" s="536">
        <v>0</v>
      </c>
      <c r="S288" s="536">
        <v>0</v>
      </c>
      <c r="T288" s="15">
        <v>0</v>
      </c>
      <c r="U288" s="15">
        <v>2.2848499963796392E-4</v>
      </c>
      <c r="V288" s="15"/>
    </row>
    <row r="289" spans="1:22" x14ac:dyDescent="0.25">
      <c r="A289" s="166"/>
      <c r="B289" s="167" t="s">
        <v>89</v>
      </c>
      <c r="C289" s="168">
        <v>0</v>
      </c>
      <c r="D289" s="169">
        <v>0</v>
      </c>
      <c r="E289" s="169">
        <v>0</v>
      </c>
      <c r="F289" s="169">
        <v>0</v>
      </c>
      <c r="G289" s="169">
        <v>0</v>
      </c>
      <c r="H289" s="169">
        <v>0</v>
      </c>
      <c r="I289" s="169">
        <v>1.8617197325743033E-3</v>
      </c>
      <c r="J289" s="170">
        <v>7.1040218235550424E-4</v>
      </c>
      <c r="K289" s="170">
        <v>0</v>
      </c>
      <c r="L289" s="169">
        <v>0</v>
      </c>
      <c r="M289" s="169">
        <v>0</v>
      </c>
      <c r="N289" s="169">
        <v>0</v>
      </c>
      <c r="O289" s="170">
        <v>0</v>
      </c>
      <c r="P289" s="170">
        <v>0</v>
      </c>
      <c r="Q289" s="169">
        <v>0</v>
      </c>
      <c r="R289" s="170">
        <v>0</v>
      </c>
      <c r="S289" s="170">
        <v>0</v>
      </c>
      <c r="T289" s="15">
        <v>0</v>
      </c>
      <c r="U289" s="15">
        <v>7.1040218235550424E-4</v>
      </c>
      <c r="V289" s="15"/>
    </row>
    <row r="290" spans="1:22" s="173" customFormat="1" x14ac:dyDescent="0.25">
      <c r="A290" s="166"/>
      <c r="B290" s="207" t="s">
        <v>90</v>
      </c>
      <c r="C290" s="208">
        <v>0</v>
      </c>
      <c r="D290" s="209">
        <v>0</v>
      </c>
      <c r="E290" s="209">
        <v>0</v>
      </c>
      <c r="F290" s="209">
        <v>0</v>
      </c>
      <c r="G290" s="209">
        <v>0</v>
      </c>
      <c r="H290" s="209">
        <v>0</v>
      </c>
      <c r="I290" s="209">
        <v>0.12528003500700152</v>
      </c>
      <c r="J290" s="210">
        <v>4.819171827175403E-2</v>
      </c>
      <c r="K290" s="210">
        <v>0</v>
      </c>
      <c r="L290" s="209">
        <v>0</v>
      </c>
      <c r="M290" s="209">
        <v>0</v>
      </c>
      <c r="N290" s="209">
        <v>0</v>
      </c>
      <c r="O290" s="210">
        <v>0</v>
      </c>
      <c r="P290" s="210">
        <v>0</v>
      </c>
      <c r="Q290" s="209">
        <v>0</v>
      </c>
      <c r="R290" s="210">
        <v>0</v>
      </c>
      <c r="S290" s="210">
        <v>0</v>
      </c>
      <c r="T290" s="15">
        <v>0</v>
      </c>
      <c r="U290" s="15">
        <v>4.819171827175403E-2</v>
      </c>
      <c r="V290" s="15"/>
    </row>
    <row r="291" spans="1:22" x14ac:dyDescent="0.25">
      <c r="A291" s="166"/>
      <c r="B291" s="268" t="s">
        <v>91</v>
      </c>
      <c r="C291" s="524">
        <v>0</v>
      </c>
      <c r="D291" s="525">
        <v>0</v>
      </c>
      <c r="E291" s="525">
        <v>0</v>
      </c>
      <c r="F291" s="525">
        <v>0</v>
      </c>
      <c r="G291" s="525">
        <v>0</v>
      </c>
      <c r="H291" s="525">
        <v>0</v>
      </c>
      <c r="I291" s="525">
        <v>0</v>
      </c>
      <c r="J291" s="536">
        <v>0</v>
      </c>
      <c r="K291" s="536">
        <v>0</v>
      </c>
      <c r="L291" s="525">
        <v>0</v>
      </c>
      <c r="M291" s="525">
        <v>0</v>
      </c>
      <c r="N291" s="525">
        <v>0</v>
      </c>
      <c r="O291" s="536">
        <v>0</v>
      </c>
      <c r="P291" s="165">
        <v>0</v>
      </c>
      <c r="Q291" s="525">
        <v>0</v>
      </c>
      <c r="R291" s="536">
        <v>0</v>
      </c>
      <c r="S291" s="536">
        <v>0</v>
      </c>
      <c r="T291" s="15">
        <v>0</v>
      </c>
      <c r="U291" s="15">
        <v>0</v>
      </c>
      <c r="V291" s="15"/>
    </row>
    <row r="292" spans="1:22" x14ac:dyDescent="0.25">
      <c r="A292" s="166"/>
      <c r="B292" s="167" t="s">
        <v>92</v>
      </c>
      <c r="C292" s="168">
        <v>0</v>
      </c>
      <c r="D292" s="169">
        <v>0</v>
      </c>
      <c r="E292" s="169">
        <v>0</v>
      </c>
      <c r="F292" s="169">
        <v>0</v>
      </c>
      <c r="G292" s="169">
        <v>0</v>
      </c>
      <c r="H292" s="169">
        <v>0</v>
      </c>
      <c r="I292" s="169">
        <v>0</v>
      </c>
      <c r="J292" s="170">
        <v>0</v>
      </c>
      <c r="K292" s="170">
        <v>0</v>
      </c>
      <c r="L292" s="169">
        <v>0</v>
      </c>
      <c r="M292" s="169">
        <v>0</v>
      </c>
      <c r="N292" s="169">
        <v>0</v>
      </c>
      <c r="O292" s="170">
        <v>0</v>
      </c>
      <c r="P292" s="170">
        <v>0</v>
      </c>
      <c r="Q292" s="169">
        <v>0</v>
      </c>
      <c r="R292" s="170">
        <v>0</v>
      </c>
      <c r="S292" s="170">
        <v>0</v>
      </c>
      <c r="T292" s="15">
        <v>0</v>
      </c>
      <c r="U292" s="15">
        <v>0</v>
      </c>
      <c r="V292" s="15"/>
    </row>
    <row r="293" spans="1:22" s="173" customFormat="1" ht="15.75" thickBot="1" x14ac:dyDescent="0.3">
      <c r="A293" s="540"/>
      <c r="B293" s="541" t="s">
        <v>93</v>
      </c>
      <c r="C293" s="542">
        <v>0</v>
      </c>
      <c r="D293" s="543">
        <v>0</v>
      </c>
      <c r="E293" s="543">
        <v>0</v>
      </c>
      <c r="F293" s="543">
        <v>0</v>
      </c>
      <c r="G293" s="543">
        <v>0</v>
      </c>
      <c r="H293" s="543">
        <v>0</v>
      </c>
      <c r="I293" s="543">
        <v>0</v>
      </c>
      <c r="J293" s="544">
        <v>0</v>
      </c>
      <c r="K293" s="544">
        <v>0</v>
      </c>
      <c r="L293" s="543">
        <v>0</v>
      </c>
      <c r="M293" s="543">
        <v>0</v>
      </c>
      <c r="N293" s="543">
        <v>0</v>
      </c>
      <c r="O293" s="544">
        <v>0</v>
      </c>
      <c r="P293" s="544">
        <v>0</v>
      </c>
      <c r="Q293" s="543">
        <v>0</v>
      </c>
      <c r="R293" s="544">
        <v>0</v>
      </c>
      <c r="S293" s="544">
        <v>0</v>
      </c>
      <c r="T293" s="15">
        <v>0</v>
      </c>
      <c r="U293" s="15">
        <v>0</v>
      </c>
      <c r="V293" s="15"/>
    </row>
    <row r="294" spans="1:22" x14ac:dyDescent="0.25">
      <c r="A294" s="523" t="s">
        <v>47</v>
      </c>
      <c r="B294" s="268" t="s">
        <v>59</v>
      </c>
      <c r="C294" s="524">
        <v>0.86108211452785755</v>
      </c>
      <c r="D294" s="525">
        <v>0.90207811742030841</v>
      </c>
      <c r="E294" s="525">
        <v>0</v>
      </c>
      <c r="F294" s="525">
        <v>0.81185871713223046</v>
      </c>
      <c r="G294" s="525">
        <v>0.59079616704128712</v>
      </c>
      <c r="H294" s="525">
        <v>0</v>
      </c>
      <c r="I294" s="525">
        <v>0</v>
      </c>
      <c r="J294" s="536">
        <v>0.85844021326103348</v>
      </c>
      <c r="K294" s="536">
        <v>0</v>
      </c>
      <c r="L294" s="525">
        <v>0.78568459219513254</v>
      </c>
      <c r="M294" s="525">
        <v>0.81539041483182262</v>
      </c>
      <c r="N294" s="525">
        <v>0.87860860969092225</v>
      </c>
      <c r="O294" s="536">
        <v>0.80526885157172789</v>
      </c>
      <c r="P294" s="165">
        <v>0</v>
      </c>
      <c r="Q294" s="525">
        <v>0</v>
      </c>
      <c r="R294" s="536">
        <v>0</v>
      </c>
      <c r="S294" s="536">
        <v>0</v>
      </c>
      <c r="T294" s="15">
        <v>0</v>
      </c>
      <c r="U294" s="15">
        <v>0.8286958265347637</v>
      </c>
      <c r="V294" s="15"/>
    </row>
    <row r="295" spans="1:22" x14ac:dyDescent="0.25">
      <c r="A295" s="166"/>
      <c r="B295" s="167" t="s">
        <v>60</v>
      </c>
      <c r="C295" s="168">
        <v>0.85571762470783808</v>
      </c>
      <c r="D295" s="169">
        <v>0.87713718389725603</v>
      </c>
      <c r="E295" s="169">
        <v>0</v>
      </c>
      <c r="F295" s="169">
        <v>0.81274457324276428</v>
      </c>
      <c r="G295" s="169">
        <v>0.52951594724747142</v>
      </c>
      <c r="H295" s="169">
        <v>0</v>
      </c>
      <c r="I295" s="169">
        <v>0</v>
      </c>
      <c r="J295" s="170">
        <v>0.8451342694094971</v>
      </c>
      <c r="K295" s="170">
        <v>0</v>
      </c>
      <c r="L295" s="169">
        <v>0.79746269563632255</v>
      </c>
      <c r="M295" s="169">
        <v>0.80726475803653353</v>
      </c>
      <c r="N295" s="169">
        <v>0.87074829931972786</v>
      </c>
      <c r="O295" s="170">
        <v>0.80636710982963267</v>
      </c>
      <c r="P295" s="170">
        <v>0</v>
      </c>
      <c r="Q295" s="169">
        <v>0</v>
      </c>
      <c r="R295" s="170">
        <v>0</v>
      </c>
      <c r="S295" s="170">
        <v>0</v>
      </c>
      <c r="T295" s="15">
        <v>0</v>
      </c>
      <c r="U295" s="15">
        <v>0.82437465150742606</v>
      </c>
      <c r="V295" s="15"/>
    </row>
    <row r="296" spans="1:22" s="173" customFormat="1" x14ac:dyDescent="0.25">
      <c r="A296" s="166"/>
      <c r="B296" s="207" t="s">
        <v>772</v>
      </c>
      <c r="C296" s="208">
        <v>-0.53644898200194691</v>
      </c>
      <c r="D296" s="209">
        <v>-2.4940933523052378</v>
      </c>
      <c r="E296" s="209">
        <v>0</v>
      </c>
      <c r="F296" s="209">
        <v>8.8585611053382252E-2</v>
      </c>
      <c r="G296" s="530">
        <v>-6.12802197938157</v>
      </c>
      <c r="H296" s="209">
        <v>0</v>
      </c>
      <c r="I296" s="209">
        <v>0</v>
      </c>
      <c r="J296" s="210">
        <v>-1.3305943851536384</v>
      </c>
      <c r="K296" s="210">
        <v>0</v>
      </c>
      <c r="L296" s="209">
        <v>1.1778103441190013</v>
      </c>
      <c r="M296" s="209">
        <v>-0.81256567952890935</v>
      </c>
      <c r="N296" s="209">
        <v>-0.786031037119439</v>
      </c>
      <c r="O296" s="210">
        <v>0.10982582579047717</v>
      </c>
      <c r="P296" s="210">
        <v>0</v>
      </c>
      <c r="Q296" s="209">
        <v>0</v>
      </c>
      <c r="R296" s="210">
        <v>0</v>
      </c>
      <c r="S296" s="210">
        <v>0</v>
      </c>
      <c r="T296" s="15">
        <v>0</v>
      </c>
      <c r="U296" s="15">
        <v>-0.43211750273376426</v>
      </c>
      <c r="V296" s="15"/>
    </row>
    <row r="297" spans="1:22" x14ac:dyDescent="0.25">
      <c r="A297" s="166"/>
      <c r="B297" s="268" t="s">
        <v>61</v>
      </c>
      <c r="C297" s="524">
        <v>6.386249672602215E-2</v>
      </c>
      <c r="D297" s="525">
        <v>5.4787027963262611E-2</v>
      </c>
      <c r="E297" s="525">
        <v>0</v>
      </c>
      <c r="F297" s="525">
        <v>1.2961572647802486E-2</v>
      </c>
      <c r="G297" s="525">
        <v>0</v>
      </c>
      <c r="H297" s="525">
        <v>0</v>
      </c>
      <c r="I297" s="525">
        <v>0</v>
      </c>
      <c r="J297" s="536">
        <v>5.1133352699360042E-2</v>
      </c>
      <c r="K297" s="536">
        <v>0</v>
      </c>
      <c r="L297" s="525">
        <v>0</v>
      </c>
      <c r="M297" s="525">
        <v>0</v>
      </c>
      <c r="N297" s="525">
        <v>0</v>
      </c>
      <c r="O297" s="536">
        <v>0</v>
      </c>
      <c r="P297" s="165">
        <v>0</v>
      </c>
      <c r="Q297" s="525">
        <v>0</v>
      </c>
      <c r="R297" s="536">
        <v>0</v>
      </c>
      <c r="S297" s="536">
        <v>0</v>
      </c>
      <c r="T297" s="15">
        <v>0</v>
      </c>
      <c r="U297" s="15">
        <v>2.2529040735568061E-2</v>
      </c>
      <c r="V297" s="15"/>
    </row>
    <row r="298" spans="1:22" x14ac:dyDescent="0.25">
      <c r="A298" s="166"/>
      <c r="B298" s="167" t="s">
        <v>62</v>
      </c>
      <c r="C298" s="168">
        <v>6.3636931768470253E-2</v>
      </c>
      <c r="D298" s="169">
        <v>5.274981941531931E-2</v>
      </c>
      <c r="E298" s="169">
        <v>0</v>
      </c>
      <c r="F298" s="169">
        <v>1.3096204961606616E-2</v>
      </c>
      <c r="G298" s="169">
        <v>0</v>
      </c>
      <c r="H298" s="169">
        <v>0</v>
      </c>
      <c r="I298" s="169">
        <v>0</v>
      </c>
      <c r="J298" s="170">
        <v>5.0715245677684553E-2</v>
      </c>
      <c r="K298" s="170">
        <v>0</v>
      </c>
      <c r="L298" s="169">
        <v>0</v>
      </c>
      <c r="M298" s="169">
        <v>0</v>
      </c>
      <c r="N298" s="169">
        <v>0</v>
      </c>
      <c r="O298" s="170">
        <v>0</v>
      </c>
      <c r="P298" s="170">
        <v>0</v>
      </c>
      <c r="Q298" s="169">
        <v>0</v>
      </c>
      <c r="R298" s="170">
        <v>0</v>
      </c>
      <c r="S298" s="170">
        <v>0</v>
      </c>
      <c r="T298" s="15">
        <v>0</v>
      </c>
      <c r="U298" s="15">
        <v>2.3557488093989245E-2</v>
      </c>
      <c r="V298" s="15"/>
    </row>
    <row r="299" spans="1:22" s="173" customFormat="1" x14ac:dyDescent="0.25">
      <c r="A299" s="166"/>
      <c r="B299" s="207" t="s">
        <v>63</v>
      </c>
      <c r="C299" s="208">
        <v>-2.2556495755189643E-2</v>
      </c>
      <c r="D299" s="209">
        <v>-0.20372085479433005</v>
      </c>
      <c r="E299" s="209">
        <v>0</v>
      </c>
      <c r="F299" s="209">
        <v>1.3463231380412936E-2</v>
      </c>
      <c r="G299" s="209">
        <v>0</v>
      </c>
      <c r="H299" s="209">
        <v>0</v>
      </c>
      <c r="I299" s="209">
        <v>0</v>
      </c>
      <c r="J299" s="210">
        <v>-4.1810702167548869E-2</v>
      </c>
      <c r="K299" s="210">
        <v>0</v>
      </c>
      <c r="L299" s="209">
        <v>0</v>
      </c>
      <c r="M299" s="209">
        <v>0</v>
      </c>
      <c r="N299" s="209">
        <v>0</v>
      </c>
      <c r="O299" s="210">
        <v>0</v>
      </c>
      <c r="P299" s="210">
        <v>0</v>
      </c>
      <c r="Q299" s="209">
        <v>0</v>
      </c>
      <c r="R299" s="210">
        <v>0</v>
      </c>
      <c r="S299" s="210">
        <v>0</v>
      </c>
      <c r="T299" s="15">
        <v>0</v>
      </c>
      <c r="U299" s="15">
        <v>0.10284473584211834</v>
      </c>
      <c r="V299" s="15"/>
    </row>
    <row r="300" spans="1:22" x14ac:dyDescent="0.25">
      <c r="A300" s="166"/>
      <c r="B300" s="268" t="s">
        <v>64</v>
      </c>
      <c r="C300" s="524">
        <v>7.4291144253678554E-2</v>
      </c>
      <c r="D300" s="525">
        <v>2.9648090690958577E-2</v>
      </c>
      <c r="E300" s="525">
        <v>0</v>
      </c>
      <c r="F300" s="525">
        <v>0.16983370871842665</v>
      </c>
      <c r="G300" s="525">
        <v>0.40920383295871288</v>
      </c>
      <c r="H300" s="525">
        <v>0</v>
      </c>
      <c r="I300" s="525">
        <v>0</v>
      </c>
      <c r="J300" s="536">
        <v>8.4482824388282973E-2</v>
      </c>
      <c r="K300" s="536">
        <v>0</v>
      </c>
      <c r="L300" s="525">
        <v>0.21431540780486746</v>
      </c>
      <c r="M300" s="525">
        <v>0.18460958516817738</v>
      </c>
      <c r="N300" s="525">
        <v>0.12139139030907771</v>
      </c>
      <c r="O300" s="536">
        <v>0.19473114842827208</v>
      </c>
      <c r="P300" s="165">
        <v>0</v>
      </c>
      <c r="Q300" s="525">
        <v>0</v>
      </c>
      <c r="R300" s="536">
        <v>0</v>
      </c>
      <c r="S300" s="536">
        <v>0</v>
      </c>
      <c r="T300" s="15">
        <v>0</v>
      </c>
      <c r="U300" s="15">
        <v>0.14615641486975642</v>
      </c>
      <c r="V300" s="15"/>
    </row>
    <row r="301" spans="1:22" x14ac:dyDescent="0.25">
      <c r="A301" s="166"/>
      <c r="B301" s="167" t="s">
        <v>65</v>
      </c>
      <c r="C301" s="168">
        <v>7.969677653205344E-2</v>
      </c>
      <c r="D301" s="169">
        <v>5.4126081519266081E-2</v>
      </c>
      <c r="E301" s="169">
        <v>0</v>
      </c>
      <c r="F301" s="169">
        <v>0.17034295629060839</v>
      </c>
      <c r="G301" s="169">
        <v>0.47048405275252858</v>
      </c>
      <c r="H301" s="169">
        <v>0</v>
      </c>
      <c r="I301" s="169">
        <v>0</v>
      </c>
      <c r="J301" s="170">
        <v>9.7361296960154803E-2</v>
      </c>
      <c r="K301" s="170">
        <v>0</v>
      </c>
      <c r="L301" s="169">
        <v>0.2025373043636774</v>
      </c>
      <c r="M301" s="169">
        <v>0.19273524196346653</v>
      </c>
      <c r="N301" s="169">
        <v>0.12925170068027211</v>
      </c>
      <c r="O301" s="170">
        <v>0.19363289017036733</v>
      </c>
      <c r="P301" s="170">
        <v>0</v>
      </c>
      <c r="Q301" s="169">
        <v>0</v>
      </c>
      <c r="R301" s="170">
        <v>0</v>
      </c>
      <c r="S301" s="170">
        <v>0</v>
      </c>
      <c r="T301" s="15">
        <v>0</v>
      </c>
      <c r="U301" s="15">
        <v>0.14891424826034946</v>
      </c>
      <c r="V301" s="15"/>
    </row>
    <row r="302" spans="1:22" s="173" customFormat="1" x14ac:dyDescent="0.25">
      <c r="A302" s="166"/>
      <c r="B302" s="207" t="s">
        <v>66</v>
      </c>
      <c r="C302" s="208">
        <v>0.54056322783748856</v>
      </c>
      <c r="D302" s="209">
        <v>2.4477990828307505</v>
      </c>
      <c r="E302" s="209">
        <v>0</v>
      </c>
      <c r="F302" s="209">
        <v>5.0924757218173688E-2</v>
      </c>
      <c r="G302" s="530">
        <v>6.12802197938157</v>
      </c>
      <c r="H302" s="209">
        <v>0</v>
      </c>
      <c r="I302" s="209">
        <v>0</v>
      </c>
      <c r="J302" s="210">
        <v>1.2878472571871828</v>
      </c>
      <c r="K302" s="210">
        <v>0</v>
      </c>
      <c r="L302" s="209">
        <v>-1.1778103441190069</v>
      </c>
      <c r="M302" s="209">
        <v>0.8125656795289149</v>
      </c>
      <c r="N302" s="209">
        <v>0.78603103711944033</v>
      </c>
      <c r="O302" s="210">
        <v>-0.1098258257904744</v>
      </c>
      <c r="P302" s="210">
        <v>0</v>
      </c>
      <c r="Q302" s="209">
        <v>0</v>
      </c>
      <c r="R302" s="210">
        <v>0</v>
      </c>
      <c r="S302" s="210">
        <v>0</v>
      </c>
      <c r="T302" s="15">
        <v>0</v>
      </c>
      <c r="U302" s="15">
        <v>0.27578333905930452</v>
      </c>
      <c r="V302" s="15"/>
    </row>
    <row r="303" spans="1:22" x14ac:dyDescent="0.25">
      <c r="A303" s="166"/>
      <c r="B303" s="268" t="s">
        <v>67</v>
      </c>
      <c r="C303" s="524">
        <v>7.6171388153957302E-4</v>
      </c>
      <c r="D303" s="525">
        <v>1.3486763925470368E-2</v>
      </c>
      <c r="E303" s="525">
        <v>0</v>
      </c>
      <c r="F303" s="525">
        <v>0</v>
      </c>
      <c r="G303" s="525">
        <v>0</v>
      </c>
      <c r="H303" s="525">
        <v>0</v>
      </c>
      <c r="I303" s="525">
        <v>0</v>
      </c>
      <c r="J303" s="536">
        <v>5.215329677262231E-3</v>
      </c>
      <c r="K303" s="536">
        <v>0</v>
      </c>
      <c r="L303" s="525">
        <v>0</v>
      </c>
      <c r="M303" s="525">
        <v>0</v>
      </c>
      <c r="N303" s="525">
        <v>0</v>
      </c>
      <c r="O303" s="536">
        <v>0</v>
      </c>
      <c r="P303" s="165">
        <v>0</v>
      </c>
      <c r="Q303" s="525">
        <v>0</v>
      </c>
      <c r="R303" s="536">
        <v>0</v>
      </c>
      <c r="S303" s="536">
        <v>0</v>
      </c>
      <c r="T303" s="15">
        <v>0</v>
      </c>
      <c r="U303" s="15">
        <v>2.2978421821718007E-3</v>
      </c>
      <c r="V303" s="15"/>
    </row>
    <row r="304" spans="1:22" x14ac:dyDescent="0.25">
      <c r="A304" s="166"/>
      <c r="B304" s="167" t="s">
        <v>68</v>
      </c>
      <c r="C304" s="168">
        <v>9.0742060069743898E-4</v>
      </c>
      <c r="D304" s="169">
        <v>1.5986915168158547E-2</v>
      </c>
      <c r="E304" s="169">
        <v>0</v>
      </c>
      <c r="F304" s="169">
        <v>0</v>
      </c>
      <c r="G304" s="169">
        <v>0</v>
      </c>
      <c r="H304" s="169">
        <v>0</v>
      </c>
      <c r="I304" s="169">
        <v>0</v>
      </c>
      <c r="J304" s="170">
        <v>6.2873225891350816E-3</v>
      </c>
      <c r="K304" s="170">
        <v>0</v>
      </c>
      <c r="L304" s="169">
        <v>0</v>
      </c>
      <c r="M304" s="169">
        <v>0</v>
      </c>
      <c r="N304" s="169">
        <v>0</v>
      </c>
      <c r="O304" s="170">
        <v>0</v>
      </c>
      <c r="P304" s="170">
        <v>0</v>
      </c>
      <c r="Q304" s="169">
        <v>0</v>
      </c>
      <c r="R304" s="170">
        <v>0</v>
      </c>
      <c r="S304" s="170">
        <v>0</v>
      </c>
      <c r="T304" s="15">
        <v>0</v>
      </c>
      <c r="U304" s="15">
        <v>2.9204931388470312E-3</v>
      </c>
      <c r="V304" s="15"/>
    </row>
    <row r="305" spans="1:22" s="173" customFormat="1" x14ac:dyDescent="0.25">
      <c r="A305" s="166"/>
      <c r="B305" s="207" t="s">
        <v>69</v>
      </c>
      <c r="C305" s="208">
        <v>1.4570671915786596E-2</v>
      </c>
      <c r="D305" s="209">
        <v>0.25001512426881795</v>
      </c>
      <c r="E305" s="209">
        <v>0</v>
      </c>
      <c r="F305" s="209">
        <v>0</v>
      </c>
      <c r="G305" s="209">
        <v>0</v>
      </c>
      <c r="H305" s="209">
        <v>0</v>
      </c>
      <c r="I305" s="209">
        <v>0</v>
      </c>
      <c r="J305" s="210">
        <v>0.10719929118728505</v>
      </c>
      <c r="K305" s="210">
        <v>0</v>
      </c>
      <c r="L305" s="209">
        <v>0</v>
      </c>
      <c r="M305" s="209">
        <v>0</v>
      </c>
      <c r="N305" s="209">
        <v>0</v>
      </c>
      <c r="O305" s="210">
        <v>0</v>
      </c>
      <c r="P305" s="210">
        <v>0</v>
      </c>
      <c r="Q305" s="209">
        <v>0</v>
      </c>
      <c r="R305" s="210">
        <v>0</v>
      </c>
      <c r="S305" s="210">
        <v>0</v>
      </c>
      <c r="T305" s="15">
        <v>0</v>
      </c>
      <c r="U305" s="15">
        <v>6.2265095667523057E-2</v>
      </c>
      <c r="V305" s="15"/>
    </row>
    <row r="306" spans="1:22" x14ac:dyDescent="0.25">
      <c r="A306" s="166"/>
      <c r="B306" s="268" t="s">
        <v>70</v>
      </c>
      <c r="C306" s="524">
        <v>0</v>
      </c>
      <c r="D306" s="525">
        <v>0</v>
      </c>
      <c r="E306" s="525">
        <v>0</v>
      </c>
      <c r="F306" s="525">
        <v>1.7474823310119863E-3</v>
      </c>
      <c r="G306" s="525">
        <v>0</v>
      </c>
      <c r="H306" s="525">
        <v>0</v>
      </c>
      <c r="I306" s="525">
        <v>0</v>
      </c>
      <c r="J306" s="536">
        <v>2.3767396413763964E-4</v>
      </c>
      <c r="K306" s="536">
        <v>0</v>
      </c>
      <c r="L306" s="525">
        <v>0</v>
      </c>
      <c r="M306" s="525">
        <v>0</v>
      </c>
      <c r="N306" s="525">
        <v>0</v>
      </c>
      <c r="O306" s="536">
        <v>0</v>
      </c>
      <c r="P306" s="165">
        <v>0</v>
      </c>
      <c r="Q306" s="525">
        <v>0</v>
      </c>
      <c r="R306" s="536">
        <v>0</v>
      </c>
      <c r="S306" s="536">
        <v>0</v>
      </c>
      <c r="T306" s="15">
        <v>0</v>
      </c>
      <c r="U306" s="15">
        <v>1.0471768693367609E-4</v>
      </c>
      <c r="V306" s="15"/>
    </row>
    <row r="307" spans="1:22" x14ac:dyDescent="0.25">
      <c r="A307" s="166"/>
      <c r="B307" s="167" t="s">
        <v>71</v>
      </c>
      <c r="C307" s="168">
        <v>4.1246390940792682E-5</v>
      </c>
      <c r="D307" s="169">
        <v>0</v>
      </c>
      <c r="E307" s="169">
        <v>0</v>
      </c>
      <c r="F307" s="169">
        <v>3.9224010632014174E-4</v>
      </c>
      <c r="G307" s="169">
        <v>0</v>
      </c>
      <c r="H307" s="169">
        <v>0</v>
      </c>
      <c r="I307" s="169">
        <v>0</v>
      </c>
      <c r="J307" s="170">
        <v>6.8860596391121182E-5</v>
      </c>
      <c r="K307" s="170">
        <v>0</v>
      </c>
      <c r="L307" s="169">
        <v>0</v>
      </c>
      <c r="M307" s="169">
        <v>0</v>
      </c>
      <c r="N307" s="169">
        <v>0</v>
      </c>
      <c r="O307" s="170">
        <v>0</v>
      </c>
      <c r="P307" s="170">
        <v>0</v>
      </c>
      <c r="Q307" s="169">
        <v>0</v>
      </c>
      <c r="R307" s="170">
        <v>0</v>
      </c>
      <c r="S307" s="170">
        <v>0</v>
      </c>
      <c r="T307" s="15">
        <v>0</v>
      </c>
      <c r="U307" s="15">
        <v>3.1986095264892303E-5</v>
      </c>
      <c r="V307" s="15"/>
    </row>
    <row r="308" spans="1:22" s="173" customFormat="1" x14ac:dyDescent="0.25">
      <c r="A308" s="166"/>
      <c r="B308" s="207" t="s">
        <v>72</v>
      </c>
      <c r="C308" s="208">
        <v>0</v>
      </c>
      <c r="D308" s="209">
        <v>0</v>
      </c>
      <c r="E308" s="209">
        <v>0</v>
      </c>
      <c r="F308" s="209">
        <v>-0.13552422246918444</v>
      </c>
      <c r="G308" s="209">
        <v>0</v>
      </c>
      <c r="H308" s="209">
        <v>0</v>
      </c>
      <c r="I308" s="209">
        <v>0</v>
      </c>
      <c r="J308" s="210">
        <v>-1.6881336774651846E-2</v>
      </c>
      <c r="K308" s="210">
        <v>0</v>
      </c>
      <c r="L308" s="209">
        <v>0</v>
      </c>
      <c r="M308" s="209">
        <v>0</v>
      </c>
      <c r="N308" s="209">
        <v>0</v>
      </c>
      <c r="O308" s="210">
        <v>0</v>
      </c>
      <c r="P308" s="210">
        <v>0</v>
      </c>
      <c r="Q308" s="209">
        <v>0</v>
      </c>
      <c r="R308" s="210">
        <v>0</v>
      </c>
      <c r="S308" s="210">
        <v>0</v>
      </c>
      <c r="T308" s="15">
        <v>0</v>
      </c>
      <c r="U308" s="15">
        <v>-7.2731591668783787E-3</v>
      </c>
      <c r="V308" s="15"/>
    </row>
    <row r="309" spans="1:22" x14ac:dyDescent="0.25">
      <c r="A309" s="166"/>
      <c r="B309" s="268" t="s">
        <v>73</v>
      </c>
      <c r="C309" s="524">
        <v>2.5306109021248276E-6</v>
      </c>
      <c r="D309" s="525">
        <v>0</v>
      </c>
      <c r="E309" s="525">
        <v>0</v>
      </c>
      <c r="F309" s="525">
        <v>3.5985191705283871E-3</v>
      </c>
      <c r="G309" s="525">
        <v>0</v>
      </c>
      <c r="H309" s="525">
        <v>0</v>
      </c>
      <c r="I309" s="525">
        <v>0</v>
      </c>
      <c r="J309" s="536">
        <v>4.9060600992362159E-4</v>
      </c>
      <c r="K309" s="536">
        <v>0</v>
      </c>
      <c r="L309" s="525">
        <v>0</v>
      </c>
      <c r="M309" s="525">
        <v>0</v>
      </c>
      <c r="N309" s="525">
        <v>0</v>
      </c>
      <c r="O309" s="536">
        <v>0</v>
      </c>
      <c r="P309" s="165">
        <v>0</v>
      </c>
      <c r="Q309" s="525">
        <v>0</v>
      </c>
      <c r="R309" s="536">
        <v>0</v>
      </c>
      <c r="S309" s="536">
        <v>0</v>
      </c>
      <c r="T309" s="15">
        <v>0</v>
      </c>
      <c r="U309" s="15">
        <v>2.1615799080630421E-4</v>
      </c>
      <c r="V309" s="15"/>
    </row>
    <row r="310" spans="1:22" x14ac:dyDescent="0.25">
      <c r="A310" s="166"/>
      <c r="B310" s="167" t="s">
        <v>74</v>
      </c>
      <c r="C310" s="168">
        <v>0</v>
      </c>
      <c r="D310" s="169">
        <v>0</v>
      </c>
      <c r="E310" s="169">
        <v>0</v>
      </c>
      <c r="F310" s="169">
        <v>3.4240253987005316E-3</v>
      </c>
      <c r="G310" s="169">
        <v>0</v>
      </c>
      <c r="H310" s="169">
        <v>0</v>
      </c>
      <c r="I310" s="169">
        <v>0</v>
      </c>
      <c r="J310" s="170">
        <v>4.3300476713738917E-4</v>
      </c>
      <c r="K310" s="170">
        <v>0</v>
      </c>
      <c r="L310" s="169">
        <v>0</v>
      </c>
      <c r="M310" s="169">
        <v>0</v>
      </c>
      <c r="N310" s="169">
        <v>0</v>
      </c>
      <c r="O310" s="170">
        <v>0</v>
      </c>
      <c r="P310" s="170">
        <v>0</v>
      </c>
      <c r="Q310" s="169">
        <v>0</v>
      </c>
      <c r="R310" s="170">
        <v>0</v>
      </c>
      <c r="S310" s="170">
        <v>0</v>
      </c>
      <c r="T310" s="15">
        <v>0</v>
      </c>
      <c r="U310" s="15">
        <v>2.0113290412330584E-4</v>
      </c>
      <c r="V310" s="15"/>
    </row>
    <row r="311" spans="1:22" s="173" customFormat="1" ht="15.75" thickBot="1" x14ac:dyDescent="0.3">
      <c r="A311" s="166"/>
      <c r="B311" s="531" t="s">
        <v>75</v>
      </c>
      <c r="C311" s="532">
        <v>-2.5306109021248278E-4</v>
      </c>
      <c r="D311" s="533">
        <v>0</v>
      </c>
      <c r="E311" s="533">
        <v>0</v>
      </c>
      <c r="F311" s="533">
        <v>-1.7449377182785549E-2</v>
      </c>
      <c r="G311" s="533">
        <v>0</v>
      </c>
      <c r="H311" s="533">
        <v>0</v>
      </c>
      <c r="I311" s="533">
        <v>0</v>
      </c>
      <c r="J311" s="537">
        <v>-5.7601242786232427E-3</v>
      </c>
      <c r="K311" s="537">
        <v>0</v>
      </c>
      <c r="L311" s="533">
        <v>0</v>
      </c>
      <c r="M311" s="533">
        <v>0</v>
      </c>
      <c r="N311" s="533">
        <v>0</v>
      </c>
      <c r="O311" s="537">
        <v>0</v>
      </c>
      <c r="P311" s="537">
        <v>0</v>
      </c>
      <c r="Q311" s="533">
        <v>0</v>
      </c>
      <c r="R311" s="537">
        <v>0</v>
      </c>
      <c r="S311" s="537">
        <v>0</v>
      </c>
      <c r="T311" s="15">
        <v>0</v>
      </c>
      <c r="U311" s="15">
        <v>-1.502508668299837E-3</v>
      </c>
      <c r="V311" s="15"/>
    </row>
    <row r="312" spans="1:22" ht="15.75" thickTop="1" x14ac:dyDescent="0.25">
      <c r="A312" s="166"/>
      <c r="B312" s="167" t="s">
        <v>76</v>
      </c>
      <c r="C312" s="168">
        <v>0.67382026483188373</v>
      </c>
      <c r="D312" s="169">
        <v>0.85763171487603307</v>
      </c>
      <c r="E312" s="169">
        <v>0</v>
      </c>
      <c r="F312" s="169">
        <v>0.5996273587971489</v>
      </c>
      <c r="G312" s="169">
        <v>0.64389671361502343</v>
      </c>
      <c r="H312" s="169">
        <v>0</v>
      </c>
      <c r="I312" s="169">
        <v>0</v>
      </c>
      <c r="J312" s="170">
        <v>0.72456891216198471</v>
      </c>
      <c r="K312" s="170">
        <v>0</v>
      </c>
      <c r="L312" s="169">
        <v>0</v>
      </c>
      <c r="M312" s="169">
        <v>0</v>
      </c>
      <c r="N312" s="169">
        <v>0</v>
      </c>
      <c r="O312" s="170">
        <v>0</v>
      </c>
      <c r="P312" s="170">
        <v>0</v>
      </c>
      <c r="Q312" s="169">
        <v>0</v>
      </c>
      <c r="R312" s="170">
        <v>0</v>
      </c>
      <c r="S312" s="170">
        <v>0</v>
      </c>
      <c r="T312" s="15">
        <v>0</v>
      </c>
      <c r="U312" s="15">
        <v>0.72456891216198471</v>
      </c>
      <c r="V312" s="15"/>
    </row>
    <row r="313" spans="1:22" x14ac:dyDescent="0.25">
      <c r="A313" s="166"/>
      <c r="B313" s="167" t="s">
        <v>77</v>
      </c>
      <c r="C313" s="168">
        <v>0.67360424269295049</v>
      </c>
      <c r="D313" s="169">
        <v>0.77147657596718233</v>
      </c>
      <c r="E313" s="169">
        <v>0</v>
      </c>
      <c r="F313" s="169">
        <v>0.49803058642314885</v>
      </c>
      <c r="G313" s="169">
        <v>0.63482280431432969</v>
      </c>
      <c r="H313" s="169">
        <v>0</v>
      </c>
      <c r="I313" s="169">
        <v>0</v>
      </c>
      <c r="J313" s="170">
        <v>0.67685969931973311</v>
      </c>
      <c r="K313" s="170">
        <v>0</v>
      </c>
      <c r="L313" s="169">
        <v>0</v>
      </c>
      <c r="M313" s="169">
        <v>0</v>
      </c>
      <c r="N313" s="169">
        <v>0</v>
      </c>
      <c r="O313" s="170">
        <v>0</v>
      </c>
      <c r="P313" s="170">
        <v>0</v>
      </c>
      <c r="Q313" s="169">
        <v>0</v>
      </c>
      <c r="R313" s="170">
        <v>0</v>
      </c>
      <c r="S313" s="170">
        <v>0</v>
      </c>
      <c r="T313" s="15">
        <v>0</v>
      </c>
      <c r="U313" s="15">
        <v>0.67685969931973311</v>
      </c>
      <c r="V313" s="15"/>
    </row>
    <row r="314" spans="1:22" s="173" customFormat="1" x14ac:dyDescent="0.25">
      <c r="A314" s="166"/>
      <c r="B314" s="207" t="s">
        <v>78</v>
      </c>
      <c r="C314" s="208">
        <v>-2.1602213893323619E-2</v>
      </c>
      <c r="D314" s="530">
        <v>-8.6155138908850741</v>
      </c>
      <c r="E314" s="209">
        <v>0</v>
      </c>
      <c r="F314" s="530">
        <v>-10.159677237400006</v>
      </c>
      <c r="G314" s="209">
        <v>-0.90739093006937388</v>
      </c>
      <c r="H314" s="209">
        <v>0</v>
      </c>
      <c r="I314" s="209">
        <v>0</v>
      </c>
      <c r="J314" s="210">
        <v>-4.7709212842251603</v>
      </c>
      <c r="K314" s="210">
        <v>0</v>
      </c>
      <c r="L314" s="209">
        <v>0</v>
      </c>
      <c r="M314" s="209">
        <v>0</v>
      </c>
      <c r="N314" s="209">
        <v>0</v>
      </c>
      <c r="O314" s="210">
        <v>0</v>
      </c>
      <c r="P314" s="210">
        <v>0</v>
      </c>
      <c r="Q314" s="209">
        <v>0</v>
      </c>
      <c r="R314" s="210">
        <v>0</v>
      </c>
      <c r="S314" s="210">
        <v>0</v>
      </c>
      <c r="T314" s="15">
        <v>0</v>
      </c>
      <c r="U314" s="15">
        <v>-4.7709212842251603</v>
      </c>
      <c r="V314" s="15"/>
    </row>
    <row r="315" spans="1:22" x14ac:dyDescent="0.25">
      <c r="A315" s="166"/>
      <c r="B315" s="268" t="s">
        <v>79</v>
      </c>
      <c r="C315" s="524">
        <v>6.3368168246137863E-2</v>
      </c>
      <c r="D315" s="525">
        <v>8.1428632920110197E-2</v>
      </c>
      <c r="E315" s="525">
        <v>0</v>
      </c>
      <c r="F315" s="525">
        <v>1.0009316030071278E-2</v>
      </c>
      <c r="G315" s="525">
        <v>7.6995305164319253E-2</v>
      </c>
      <c r="H315" s="525">
        <v>0</v>
      </c>
      <c r="I315" s="525">
        <v>0</v>
      </c>
      <c r="J315" s="536">
        <v>6.0643002629476396E-2</v>
      </c>
      <c r="K315" s="536">
        <v>0</v>
      </c>
      <c r="L315" s="525">
        <v>0</v>
      </c>
      <c r="M315" s="525">
        <v>0</v>
      </c>
      <c r="N315" s="525">
        <v>0</v>
      </c>
      <c r="O315" s="536">
        <v>0</v>
      </c>
      <c r="P315" s="165">
        <v>0</v>
      </c>
      <c r="Q315" s="525">
        <v>0</v>
      </c>
      <c r="R315" s="536">
        <v>0</v>
      </c>
      <c r="S315" s="536">
        <v>0</v>
      </c>
      <c r="T315" s="15">
        <v>0</v>
      </c>
      <c r="U315" s="15">
        <v>6.0643002629476396E-2</v>
      </c>
      <c r="V315" s="15"/>
    </row>
    <row r="316" spans="1:22" x14ac:dyDescent="0.25">
      <c r="A316" s="166"/>
      <c r="B316" s="167" t="s">
        <v>80</v>
      </c>
      <c r="C316" s="168">
        <v>6.6863340268067256E-2</v>
      </c>
      <c r="D316" s="169">
        <v>0.11464356630081389</v>
      </c>
      <c r="E316" s="169">
        <v>0</v>
      </c>
      <c r="F316" s="169">
        <v>1.2080536912751677E-2</v>
      </c>
      <c r="G316" s="169">
        <v>7.1905495634309188E-2</v>
      </c>
      <c r="H316" s="169">
        <v>0</v>
      </c>
      <c r="I316" s="169">
        <v>0</v>
      </c>
      <c r="J316" s="170">
        <v>7.425633321847136E-2</v>
      </c>
      <c r="K316" s="170">
        <v>0</v>
      </c>
      <c r="L316" s="169">
        <v>0</v>
      </c>
      <c r="M316" s="169">
        <v>0</v>
      </c>
      <c r="N316" s="169">
        <v>0</v>
      </c>
      <c r="O316" s="170">
        <v>0</v>
      </c>
      <c r="P316" s="170">
        <v>0</v>
      </c>
      <c r="Q316" s="169">
        <v>0</v>
      </c>
      <c r="R316" s="170">
        <v>0</v>
      </c>
      <c r="S316" s="170">
        <v>0</v>
      </c>
      <c r="T316" s="15">
        <v>0</v>
      </c>
      <c r="U316" s="15">
        <v>7.425633321847136E-2</v>
      </c>
      <c r="V316" s="15"/>
    </row>
    <row r="317" spans="1:22" s="173" customFormat="1" x14ac:dyDescent="0.25">
      <c r="A317" s="166"/>
      <c r="B317" s="207" t="s">
        <v>81</v>
      </c>
      <c r="C317" s="208">
        <v>0.34951720219293936</v>
      </c>
      <c r="D317" s="530">
        <v>3.3214933380703693</v>
      </c>
      <c r="E317" s="209">
        <v>0</v>
      </c>
      <c r="F317" s="209">
        <v>0.20712208826803996</v>
      </c>
      <c r="G317" s="209">
        <v>-0.50898095300100643</v>
      </c>
      <c r="H317" s="209">
        <v>0</v>
      </c>
      <c r="I317" s="209">
        <v>0</v>
      </c>
      <c r="J317" s="210">
        <v>1.3613330588994963</v>
      </c>
      <c r="K317" s="210">
        <v>0</v>
      </c>
      <c r="L317" s="209">
        <v>0</v>
      </c>
      <c r="M317" s="209">
        <v>0</v>
      </c>
      <c r="N317" s="209">
        <v>0</v>
      </c>
      <c r="O317" s="210">
        <v>0</v>
      </c>
      <c r="P317" s="210">
        <v>0</v>
      </c>
      <c r="Q317" s="209">
        <v>0</v>
      </c>
      <c r="R317" s="210">
        <v>0</v>
      </c>
      <c r="S317" s="210">
        <v>0</v>
      </c>
      <c r="T317" s="15">
        <v>0</v>
      </c>
      <c r="U317" s="15">
        <v>1.3613330588994963</v>
      </c>
      <c r="V317" s="15"/>
    </row>
    <row r="318" spans="1:22" x14ac:dyDescent="0.25">
      <c r="A318" s="166"/>
      <c r="B318" s="268" t="s">
        <v>82</v>
      </c>
      <c r="C318" s="524">
        <v>0.25766746722056344</v>
      </c>
      <c r="D318" s="525">
        <v>4.2957988980716254E-2</v>
      </c>
      <c r="E318" s="525">
        <v>0</v>
      </c>
      <c r="F318" s="525">
        <v>0.38572697532335293</v>
      </c>
      <c r="G318" s="525">
        <v>0.27910798122065728</v>
      </c>
      <c r="H318" s="525">
        <v>0</v>
      </c>
      <c r="I318" s="525">
        <v>0</v>
      </c>
      <c r="J318" s="536">
        <v>0.20533922496089546</v>
      </c>
      <c r="K318" s="536">
        <v>0</v>
      </c>
      <c r="L318" s="525">
        <v>0</v>
      </c>
      <c r="M318" s="525">
        <v>0</v>
      </c>
      <c r="N318" s="525">
        <v>0</v>
      </c>
      <c r="O318" s="536">
        <v>0</v>
      </c>
      <c r="P318" s="165">
        <v>0</v>
      </c>
      <c r="Q318" s="525">
        <v>0</v>
      </c>
      <c r="R318" s="536">
        <v>0</v>
      </c>
      <c r="S318" s="536">
        <v>0</v>
      </c>
      <c r="T318" s="15">
        <v>0</v>
      </c>
      <c r="U318" s="15">
        <v>0.20533922496089546</v>
      </c>
      <c r="V318" s="15"/>
    </row>
    <row r="319" spans="1:22" x14ac:dyDescent="0.25">
      <c r="A319" s="166"/>
      <c r="B319" s="167" t="s">
        <v>83</v>
      </c>
      <c r="C319" s="168">
        <v>0.25471505064629446</v>
      </c>
      <c r="D319" s="169">
        <v>0.10088590193981976</v>
      </c>
      <c r="E319" s="169">
        <v>0</v>
      </c>
      <c r="F319" s="169">
        <v>0.48885465947849049</v>
      </c>
      <c r="G319" s="169">
        <v>0.29327170005136105</v>
      </c>
      <c r="H319" s="169">
        <v>0</v>
      </c>
      <c r="I319" s="169">
        <v>0</v>
      </c>
      <c r="J319" s="170">
        <v>0.24190319845439656</v>
      </c>
      <c r="K319" s="170">
        <v>0</v>
      </c>
      <c r="L319" s="169">
        <v>0</v>
      </c>
      <c r="M319" s="169">
        <v>0</v>
      </c>
      <c r="N319" s="169">
        <v>0</v>
      </c>
      <c r="O319" s="170">
        <v>0</v>
      </c>
      <c r="P319" s="170">
        <v>0</v>
      </c>
      <c r="Q319" s="169">
        <v>0</v>
      </c>
      <c r="R319" s="170">
        <v>0</v>
      </c>
      <c r="S319" s="170">
        <v>0</v>
      </c>
      <c r="T319" s="15">
        <v>0</v>
      </c>
      <c r="U319" s="15">
        <v>0.24190319845439656</v>
      </c>
      <c r="V319" s="15"/>
    </row>
    <row r="320" spans="1:22" s="173" customFormat="1" x14ac:dyDescent="0.25">
      <c r="A320" s="166"/>
      <c r="B320" s="207" t="s">
        <v>84</v>
      </c>
      <c r="C320" s="208">
        <v>-0.2952416574268979</v>
      </c>
      <c r="D320" s="530">
        <v>5.7927912959103507</v>
      </c>
      <c r="E320" s="209">
        <v>0</v>
      </c>
      <c r="F320" s="530">
        <v>10.312768415513757</v>
      </c>
      <c r="G320" s="209">
        <v>1.4163718830703775</v>
      </c>
      <c r="H320" s="209">
        <v>0</v>
      </c>
      <c r="I320" s="209">
        <v>0</v>
      </c>
      <c r="J320" s="210">
        <v>3.6563973493501098</v>
      </c>
      <c r="K320" s="210">
        <v>0</v>
      </c>
      <c r="L320" s="209">
        <v>0</v>
      </c>
      <c r="M320" s="209">
        <v>0</v>
      </c>
      <c r="N320" s="209">
        <v>0</v>
      </c>
      <c r="O320" s="210">
        <v>0</v>
      </c>
      <c r="P320" s="210">
        <v>0</v>
      </c>
      <c r="Q320" s="209">
        <v>0</v>
      </c>
      <c r="R320" s="210">
        <v>0</v>
      </c>
      <c r="S320" s="210">
        <v>0</v>
      </c>
      <c r="T320" s="15">
        <v>0</v>
      </c>
      <c r="U320" s="15">
        <v>3.6563973493501098</v>
      </c>
      <c r="V320" s="15"/>
    </row>
    <row r="321" spans="1:22" x14ac:dyDescent="0.25">
      <c r="A321" s="166"/>
      <c r="B321" s="268" t="s">
        <v>85</v>
      </c>
      <c r="C321" s="524">
        <v>4.9250292093989357E-3</v>
      </c>
      <c r="D321" s="525">
        <v>1.7981663223140498E-2</v>
      </c>
      <c r="E321" s="525">
        <v>0</v>
      </c>
      <c r="F321" s="525">
        <v>0</v>
      </c>
      <c r="G321" s="525">
        <v>0</v>
      </c>
      <c r="H321" s="525">
        <v>0</v>
      </c>
      <c r="I321" s="525">
        <v>0</v>
      </c>
      <c r="J321" s="536">
        <v>8.5448605177180191E-3</v>
      </c>
      <c r="K321" s="536">
        <v>0</v>
      </c>
      <c r="L321" s="525">
        <v>0</v>
      </c>
      <c r="M321" s="525">
        <v>0</v>
      </c>
      <c r="N321" s="525">
        <v>0</v>
      </c>
      <c r="O321" s="536">
        <v>0</v>
      </c>
      <c r="P321" s="165">
        <v>0</v>
      </c>
      <c r="Q321" s="525">
        <v>0</v>
      </c>
      <c r="R321" s="536">
        <v>0</v>
      </c>
      <c r="S321" s="536">
        <v>0</v>
      </c>
      <c r="T321" s="15">
        <v>0</v>
      </c>
      <c r="U321" s="15">
        <v>8.5448605177180191E-3</v>
      </c>
      <c r="V321" s="15"/>
    </row>
    <row r="322" spans="1:22" x14ac:dyDescent="0.25">
      <c r="A322" s="166"/>
      <c r="B322" s="167" t="s">
        <v>86</v>
      </c>
      <c r="C322" s="168">
        <v>4.6553664608983318E-3</v>
      </c>
      <c r="D322" s="169">
        <v>1.2993955792183988E-2</v>
      </c>
      <c r="E322" s="169">
        <v>0</v>
      </c>
      <c r="F322" s="169">
        <v>0</v>
      </c>
      <c r="G322" s="169">
        <v>0</v>
      </c>
      <c r="H322" s="169">
        <v>0</v>
      </c>
      <c r="I322" s="169">
        <v>0</v>
      </c>
      <c r="J322" s="170">
        <v>6.725233369856861E-3</v>
      </c>
      <c r="K322" s="170">
        <v>0</v>
      </c>
      <c r="L322" s="169">
        <v>0</v>
      </c>
      <c r="M322" s="169">
        <v>0</v>
      </c>
      <c r="N322" s="169">
        <v>0</v>
      </c>
      <c r="O322" s="170">
        <v>0</v>
      </c>
      <c r="P322" s="170">
        <v>0</v>
      </c>
      <c r="Q322" s="169">
        <v>0</v>
      </c>
      <c r="R322" s="170">
        <v>0</v>
      </c>
      <c r="S322" s="170">
        <v>0</v>
      </c>
      <c r="T322" s="15">
        <v>0</v>
      </c>
      <c r="U322" s="15">
        <v>6.725233369856861E-3</v>
      </c>
      <c r="V322" s="15"/>
    </row>
    <row r="323" spans="1:22" s="173" customFormat="1" x14ac:dyDescent="0.25">
      <c r="A323" s="166"/>
      <c r="B323" s="207" t="s">
        <v>87</v>
      </c>
      <c r="C323" s="208">
        <v>-2.6966274850060389E-2</v>
      </c>
      <c r="D323" s="209">
        <v>-0.49877074309565095</v>
      </c>
      <c r="E323" s="209">
        <v>0</v>
      </c>
      <c r="F323" s="209">
        <v>0</v>
      </c>
      <c r="G323" s="209">
        <v>0</v>
      </c>
      <c r="H323" s="209">
        <v>0</v>
      </c>
      <c r="I323" s="209">
        <v>0</v>
      </c>
      <c r="J323" s="210">
        <v>-0.18196271478611581</v>
      </c>
      <c r="K323" s="210">
        <v>0</v>
      </c>
      <c r="L323" s="209">
        <v>0</v>
      </c>
      <c r="M323" s="209">
        <v>0</v>
      </c>
      <c r="N323" s="209">
        <v>0</v>
      </c>
      <c r="O323" s="210">
        <v>0</v>
      </c>
      <c r="P323" s="210">
        <v>0</v>
      </c>
      <c r="Q323" s="209">
        <v>0</v>
      </c>
      <c r="R323" s="210">
        <v>0</v>
      </c>
      <c r="S323" s="210">
        <v>0</v>
      </c>
      <c r="T323" s="15">
        <v>0</v>
      </c>
      <c r="U323" s="15">
        <v>-0.18196271478611581</v>
      </c>
      <c r="V323" s="15"/>
    </row>
    <row r="324" spans="1:22" x14ac:dyDescent="0.25">
      <c r="A324" s="166"/>
      <c r="B324" s="268" t="s">
        <v>88</v>
      </c>
      <c r="C324" s="524">
        <v>2.1907049201609762E-4</v>
      </c>
      <c r="D324" s="525">
        <v>0</v>
      </c>
      <c r="E324" s="525">
        <v>0</v>
      </c>
      <c r="F324" s="525">
        <v>4.6363498494269555E-3</v>
      </c>
      <c r="G324" s="525">
        <v>0</v>
      </c>
      <c r="H324" s="525">
        <v>0</v>
      </c>
      <c r="I324" s="525">
        <v>0</v>
      </c>
      <c r="J324" s="536">
        <v>9.0399972992539189E-4</v>
      </c>
      <c r="K324" s="536">
        <v>0</v>
      </c>
      <c r="L324" s="525">
        <v>0</v>
      </c>
      <c r="M324" s="525">
        <v>0</v>
      </c>
      <c r="N324" s="525">
        <v>0</v>
      </c>
      <c r="O324" s="536">
        <v>0</v>
      </c>
      <c r="P324" s="165">
        <v>0</v>
      </c>
      <c r="Q324" s="525">
        <v>0</v>
      </c>
      <c r="R324" s="536">
        <v>0</v>
      </c>
      <c r="S324" s="536">
        <v>0</v>
      </c>
      <c r="T324" s="15">
        <v>0</v>
      </c>
      <c r="U324" s="15">
        <v>9.0399972992539189E-4</v>
      </c>
      <c r="V324" s="15"/>
    </row>
    <row r="325" spans="1:22" x14ac:dyDescent="0.25">
      <c r="A325" s="166"/>
      <c r="B325" s="167" t="s">
        <v>89</v>
      </c>
      <c r="C325" s="168">
        <v>0</v>
      </c>
      <c r="D325" s="169">
        <v>0</v>
      </c>
      <c r="E325" s="169">
        <v>0</v>
      </c>
      <c r="F325" s="169">
        <v>4.4009241940807569E-5</v>
      </c>
      <c r="G325" s="169">
        <v>0</v>
      </c>
      <c r="H325" s="169">
        <v>0</v>
      </c>
      <c r="I325" s="169">
        <v>0</v>
      </c>
      <c r="J325" s="170">
        <v>7.743504167941118E-6</v>
      </c>
      <c r="K325" s="170">
        <v>0</v>
      </c>
      <c r="L325" s="169">
        <v>0</v>
      </c>
      <c r="M325" s="169">
        <v>0</v>
      </c>
      <c r="N325" s="169">
        <v>0</v>
      </c>
      <c r="O325" s="170">
        <v>0</v>
      </c>
      <c r="P325" s="170">
        <v>0</v>
      </c>
      <c r="Q325" s="169">
        <v>0</v>
      </c>
      <c r="R325" s="170">
        <v>0</v>
      </c>
      <c r="S325" s="170">
        <v>0</v>
      </c>
      <c r="T325" s="15">
        <v>0</v>
      </c>
      <c r="U325" s="15">
        <v>7.743504167941118E-6</v>
      </c>
      <c r="V325" s="15"/>
    </row>
    <row r="326" spans="1:22" s="173" customFormat="1" x14ac:dyDescent="0.25">
      <c r="A326" s="166"/>
      <c r="B326" s="207" t="s">
        <v>90</v>
      </c>
      <c r="C326" s="208">
        <v>-2.1907049201609761E-2</v>
      </c>
      <c r="D326" s="209">
        <v>0</v>
      </c>
      <c r="E326" s="209">
        <v>0</v>
      </c>
      <c r="F326" s="209">
        <v>-0.45923406074861478</v>
      </c>
      <c r="G326" s="209">
        <v>0</v>
      </c>
      <c r="H326" s="209">
        <v>0</v>
      </c>
      <c r="I326" s="209">
        <v>0</v>
      </c>
      <c r="J326" s="210">
        <v>-8.9625622575745079E-2</v>
      </c>
      <c r="K326" s="210">
        <v>0</v>
      </c>
      <c r="L326" s="209">
        <v>0</v>
      </c>
      <c r="M326" s="209">
        <v>0</v>
      </c>
      <c r="N326" s="209">
        <v>0</v>
      </c>
      <c r="O326" s="210">
        <v>0</v>
      </c>
      <c r="P326" s="210">
        <v>0</v>
      </c>
      <c r="Q326" s="209">
        <v>0</v>
      </c>
      <c r="R326" s="210">
        <v>0</v>
      </c>
      <c r="S326" s="210">
        <v>0</v>
      </c>
      <c r="T326" s="15">
        <v>0</v>
      </c>
      <c r="U326" s="15">
        <v>-8.9625622575745079E-2</v>
      </c>
      <c r="V326" s="15"/>
    </row>
    <row r="327" spans="1:22" x14ac:dyDescent="0.25">
      <c r="A327" s="166"/>
      <c r="B327" s="268" t="s">
        <v>91</v>
      </c>
      <c r="C327" s="524">
        <v>0</v>
      </c>
      <c r="D327" s="525">
        <v>0</v>
      </c>
      <c r="E327" s="525">
        <v>0</v>
      </c>
      <c r="F327" s="525">
        <v>0</v>
      </c>
      <c r="G327" s="525">
        <v>0</v>
      </c>
      <c r="H327" s="525">
        <v>0</v>
      </c>
      <c r="I327" s="525">
        <v>0</v>
      </c>
      <c r="J327" s="536">
        <v>0</v>
      </c>
      <c r="K327" s="536">
        <v>0</v>
      </c>
      <c r="L327" s="525">
        <v>0</v>
      </c>
      <c r="M327" s="525">
        <v>0</v>
      </c>
      <c r="N327" s="525">
        <v>0</v>
      </c>
      <c r="O327" s="536">
        <v>0</v>
      </c>
      <c r="P327" s="165">
        <v>0</v>
      </c>
      <c r="Q327" s="525">
        <v>0</v>
      </c>
      <c r="R327" s="536">
        <v>0</v>
      </c>
      <c r="S327" s="536">
        <v>0</v>
      </c>
      <c r="T327" s="15">
        <v>0</v>
      </c>
      <c r="U327" s="15">
        <v>0</v>
      </c>
      <c r="V327" s="15"/>
    </row>
    <row r="328" spans="1:22" x14ac:dyDescent="0.25">
      <c r="A328" s="166"/>
      <c r="B328" s="167" t="s">
        <v>92</v>
      </c>
      <c r="C328" s="168">
        <v>1.619999317895024E-4</v>
      </c>
      <c r="D328" s="169">
        <v>0</v>
      </c>
      <c r="E328" s="169">
        <v>0</v>
      </c>
      <c r="F328" s="169">
        <v>9.9020794366817041E-4</v>
      </c>
      <c r="G328" s="169">
        <v>0</v>
      </c>
      <c r="H328" s="169">
        <v>0</v>
      </c>
      <c r="I328" s="169">
        <v>0</v>
      </c>
      <c r="J328" s="170">
        <v>2.4779213337411578E-4</v>
      </c>
      <c r="K328" s="170">
        <v>0</v>
      </c>
      <c r="L328" s="169">
        <v>0</v>
      </c>
      <c r="M328" s="169">
        <v>0</v>
      </c>
      <c r="N328" s="169">
        <v>0</v>
      </c>
      <c r="O328" s="170">
        <v>0</v>
      </c>
      <c r="P328" s="170">
        <v>0</v>
      </c>
      <c r="Q328" s="169">
        <v>0</v>
      </c>
      <c r="R328" s="170">
        <v>0</v>
      </c>
      <c r="S328" s="170">
        <v>0</v>
      </c>
      <c r="T328" s="15">
        <v>0</v>
      </c>
      <c r="U328" s="15">
        <v>2.4779213337411578E-4</v>
      </c>
      <c r="V328" s="15"/>
    </row>
    <row r="329" spans="1:22" s="173" customFormat="1" ht="15.75" thickBot="1" x14ac:dyDescent="0.3">
      <c r="A329" s="540"/>
      <c r="B329" s="541" t="s">
        <v>93</v>
      </c>
      <c r="C329" s="542">
        <v>0</v>
      </c>
      <c r="D329" s="543">
        <v>0</v>
      </c>
      <c r="E329" s="543">
        <v>0</v>
      </c>
      <c r="F329" s="543">
        <v>0</v>
      </c>
      <c r="G329" s="543">
        <v>0</v>
      </c>
      <c r="H329" s="543">
        <v>0</v>
      </c>
      <c r="I329" s="543">
        <v>0</v>
      </c>
      <c r="J329" s="544">
        <v>0</v>
      </c>
      <c r="K329" s="544">
        <v>0</v>
      </c>
      <c r="L329" s="543">
        <v>0</v>
      </c>
      <c r="M329" s="543">
        <v>0</v>
      </c>
      <c r="N329" s="543">
        <v>0</v>
      </c>
      <c r="O329" s="544">
        <v>0</v>
      </c>
      <c r="P329" s="544">
        <v>0</v>
      </c>
      <c r="Q329" s="543">
        <v>0</v>
      </c>
      <c r="R329" s="544">
        <v>0</v>
      </c>
      <c r="S329" s="544">
        <v>0</v>
      </c>
      <c r="T329" s="15">
        <v>0</v>
      </c>
      <c r="U329" s="15">
        <v>0</v>
      </c>
      <c r="V329" s="15"/>
    </row>
    <row r="330" spans="1:22" x14ac:dyDescent="0.25">
      <c r="A330" s="523" t="s">
        <v>48</v>
      </c>
      <c r="B330" s="268" t="s">
        <v>59</v>
      </c>
      <c r="C330" s="524">
        <v>0.90154278391167197</v>
      </c>
      <c r="D330" s="525">
        <v>0.89866539266601819</v>
      </c>
      <c r="E330" s="525">
        <v>0.92059172652588217</v>
      </c>
      <c r="F330" s="525">
        <v>0.82071275491636453</v>
      </c>
      <c r="G330" s="525">
        <v>0.7871918666164005</v>
      </c>
      <c r="H330" s="525">
        <v>0.8948952919518719</v>
      </c>
      <c r="I330" s="525">
        <v>0</v>
      </c>
      <c r="J330" s="536">
        <v>0.89636768504783493</v>
      </c>
      <c r="K330" s="536">
        <v>0</v>
      </c>
      <c r="L330" s="525">
        <v>0.69491435591518891</v>
      </c>
      <c r="M330" s="525">
        <v>0.64197297574832002</v>
      </c>
      <c r="N330" s="525">
        <v>0.62353873365895707</v>
      </c>
      <c r="O330" s="536">
        <v>0.66312309987555695</v>
      </c>
      <c r="P330" s="165">
        <v>0</v>
      </c>
      <c r="Q330" s="525">
        <v>0</v>
      </c>
      <c r="R330" s="536">
        <v>0</v>
      </c>
      <c r="S330" s="536">
        <v>0</v>
      </c>
      <c r="T330" s="15">
        <v>0</v>
      </c>
      <c r="U330" s="15">
        <v>0.77356746958063416</v>
      </c>
      <c r="V330" s="15"/>
    </row>
    <row r="331" spans="1:22" x14ac:dyDescent="0.25">
      <c r="A331" s="166"/>
      <c r="B331" s="167" t="s">
        <v>60</v>
      </c>
      <c r="C331" s="168">
        <v>0.90449780054391671</v>
      </c>
      <c r="D331" s="169">
        <v>0.89690775313037618</v>
      </c>
      <c r="E331" s="169">
        <v>0.91670000432668464</v>
      </c>
      <c r="F331" s="169">
        <v>0.79660937227022888</v>
      </c>
      <c r="G331" s="169">
        <v>0.77941381920731412</v>
      </c>
      <c r="H331" s="169">
        <v>0.87972540597400894</v>
      </c>
      <c r="I331" s="169">
        <v>0</v>
      </c>
      <c r="J331" s="170">
        <v>0.89445687133642804</v>
      </c>
      <c r="K331" s="170">
        <v>0</v>
      </c>
      <c r="L331" s="169">
        <v>0.6598771908906641</v>
      </c>
      <c r="M331" s="169">
        <v>0.63046777776776608</v>
      </c>
      <c r="N331" s="169">
        <v>0.60813071951910425</v>
      </c>
      <c r="O331" s="170">
        <v>0.64082668925932373</v>
      </c>
      <c r="P331" s="170">
        <v>0</v>
      </c>
      <c r="Q331" s="169">
        <v>0</v>
      </c>
      <c r="R331" s="170">
        <v>0</v>
      </c>
      <c r="S331" s="170">
        <v>0</v>
      </c>
      <c r="T331" s="15">
        <v>0</v>
      </c>
      <c r="U331" s="15">
        <v>0.7624883419305919</v>
      </c>
      <c r="V331" s="15"/>
    </row>
    <row r="332" spans="1:22" x14ac:dyDescent="0.25">
      <c r="A332" s="166"/>
      <c r="B332" s="207" t="s">
        <v>772</v>
      </c>
      <c r="C332" s="208">
        <v>0.29550166322447335</v>
      </c>
      <c r="D332" s="209">
        <v>-0.17576395356420083</v>
      </c>
      <c r="E332" s="209">
        <v>-0.38917221991975337</v>
      </c>
      <c r="F332" s="209">
        <v>-2.4103382646135652</v>
      </c>
      <c r="G332" s="209">
        <v>-0.7778047409086386</v>
      </c>
      <c r="H332" s="209">
        <v>-1.5169885977862951</v>
      </c>
      <c r="I332" s="209">
        <v>0</v>
      </c>
      <c r="J332" s="210">
        <v>-0.1910813711406889</v>
      </c>
      <c r="K332" s="210">
        <v>0</v>
      </c>
      <c r="L332" s="209">
        <v>-3.5037165024524808</v>
      </c>
      <c r="M332" s="209">
        <v>-1.1505197980553938</v>
      </c>
      <c r="N332" s="209">
        <v>-1.5408014139852821</v>
      </c>
      <c r="O332" s="210">
        <v>-2.229641061623322</v>
      </c>
      <c r="P332" s="210">
        <v>0</v>
      </c>
      <c r="Q332" s="209">
        <v>0</v>
      </c>
      <c r="R332" s="210">
        <v>0</v>
      </c>
      <c r="S332" s="210">
        <v>0</v>
      </c>
      <c r="T332" s="15">
        <v>0</v>
      </c>
      <c r="U332" s="15">
        <v>-1.1079127650042264</v>
      </c>
      <c r="V332" s="15"/>
    </row>
    <row r="333" spans="1:22" x14ac:dyDescent="0.25">
      <c r="A333" s="166"/>
      <c r="B333" s="268" t="s">
        <v>61</v>
      </c>
      <c r="C333" s="524">
        <v>1.8417711779641457E-3</v>
      </c>
      <c r="D333" s="525">
        <v>6.7898964416199517E-3</v>
      </c>
      <c r="E333" s="525">
        <v>1.6794539847570969E-2</v>
      </c>
      <c r="F333" s="525">
        <v>2.0056341065627908E-2</v>
      </c>
      <c r="G333" s="525">
        <v>5.150251127947561E-2</v>
      </c>
      <c r="H333" s="525">
        <v>1.5998616775663388E-2</v>
      </c>
      <c r="I333" s="525">
        <v>0</v>
      </c>
      <c r="J333" s="536">
        <v>1.1832815741520116E-2</v>
      </c>
      <c r="K333" s="536">
        <v>0</v>
      </c>
      <c r="L333" s="525">
        <v>1.4475602530441957E-2</v>
      </c>
      <c r="M333" s="525">
        <v>2.1762320313859062E-2</v>
      </c>
      <c r="N333" s="525">
        <v>3.0600174184743572E-2</v>
      </c>
      <c r="O333" s="536">
        <v>1.9862430044710506E-2</v>
      </c>
      <c r="P333" s="165">
        <v>0</v>
      </c>
      <c r="Q333" s="525">
        <v>0</v>
      </c>
      <c r="R333" s="536">
        <v>0</v>
      </c>
      <c r="S333" s="536">
        <v>0</v>
      </c>
      <c r="T333" s="15">
        <v>0</v>
      </c>
      <c r="U333" s="15">
        <v>1.6060302376727505E-2</v>
      </c>
      <c r="V333" s="15"/>
    </row>
    <row r="334" spans="1:22" x14ac:dyDescent="0.25">
      <c r="A334" s="166"/>
      <c r="B334" s="167" t="s">
        <v>62</v>
      </c>
      <c r="C334" s="168">
        <v>2.3654931545636954E-3</v>
      </c>
      <c r="D334" s="169">
        <v>8.5931894744056565E-3</v>
      </c>
      <c r="E334" s="169">
        <v>9.3456388682724208E-3</v>
      </c>
      <c r="F334" s="169">
        <v>1.6664202873231108E-2</v>
      </c>
      <c r="G334" s="169">
        <v>4.5391485725610727E-2</v>
      </c>
      <c r="H334" s="169">
        <v>1.3510552036992396E-2</v>
      </c>
      <c r="I334" s="169">
        <v>0</v>
      </c>
      <c r="J334" s="170">
        <v>9.480097880539811E-3</v>
      </c>
      <c r="K334" s="170">
        <v>0</v>
      </c>
      <c r="L334" s="169">
        <v>1.304916338778268E-2</v>
      </c>
      <c r="M334" s="169">
        <v>1.70529690267303E-2</v>
      </c>
      <c r="N334" s="169">
        <v>1.7464638608014289E-2</v>
      </c>
      <c r="O334" s="170">
        <v>1.5233024180501863E-2</v>
      </c>
      <c r="P334" s="170">
        <v>0</v>
      </c>
      <c r="Q334" s="169">
        <v>0</v>
      </c>
      <c r="R334" s="170">
        <v>0</v>
      </c>
      <c r="S334" s="170">
        <v>0</v>
      </c>
      <c r="T334" s="15">
        <v>0</v>
      </c>
      <c r="U334" s="15">
        <v>1.2473453077341073E-2</v>
      </c>
      <c r="V334" s="15"/>
    </row>
    <row r="335" spans="1:22" x14ac:dyDescent="0.25">
      <c r="A335" s="166"/>
      <c r="B335" s="207" t="s">
        <v>63</v>
      </c>
      <c r="C335" s="208">
        <v>5.2372197659954968E-2</v>
      </c>
      <c r="D335" s="209">
        <v>0.18032930327857047</v>
      </c>
      <c r="E335" s="209">
        <v>-0.74489009792985483</v>
      </c>
      <c r="F335" s="209">
        <v>-0.33921381923967991</v>
      </c>
      <c r="G335" s="209">
        <v>-0.61110255538648839</v>
      </c>
      <c r="H335" s="209">
        <v>-0.24880647386709923</v>
      </c>
      <c r="I335" s="209">
        <v>0</v>
      </c>
      <c r="J335" s="210">
        <v>-0.23527178609803051</v>
      </c>
      <c r="K335" s="210">
        <v>0</v>
      </c>
      <c r="L335" s="209">
        <v>-0.14264391426592765</v>
      </c>
      <c r="M335" s="209">
        <v>-0.47093512871287624</v>
      </c>
      <c r="N335" s="209">
        <v>-1.3135535576729283</v>
      </c>
      <c r="O335" s="210">
        <v>-0.46294058642086433</v>
      </c>
      <c r="P335" s="210">
        <v>0</v>
      </c>
      <c r="Q335" s="209">
        <v>0</v>
      </c>
      <c r="R335" s="210">
        <v>0</v>
      </c>
      <c r="S335" s="210">
        <v>0</v>
      </c>
      <c r="T335" s="15">
        <v>0</v>
      </c>
      <c r="U335" s="15">
        <v>-0.3586849299386432</v>
      </c>
      <c r="V335" s="15"/>
    </row>
    <row r="336" spans="1:22" x14ac:dyDescent="0.25">
      <c r="A336" s="166"/>
      <c r="B336" s="268" t="s">
        <v>64</v>
      </c>
      <c r="C336" s="524">
        <v>9.6431508232669078E-2</v>
      </c>
      <c r="D336" s="525">
        <v>9.4534399736034391E-2</v>
      </c>
      <c r="E336" s="525">
        <v>6.2269893624080329E-2</v>
      </c>
      <c r="F336" s="525">
        <v>0.15854348910245178</v>
      </c>
      <c r="G336" s="525">
        <v>0.1597429130841917</v>
      </c>
      <c r="H336" s="525">
        <v>8.6715960984937099E-2</v>
      </c>
      <c r="I336" s="525">
        <v>0</v>
      </c>
      <c r="J336" s="536">
        <v>9.141558607234429E-2</v>
      </c>
      <c r="K336" s="536">
        <v>0</v>
      </c>
      <c r="L336" s="525">
        <v>0.28690629976260296</v>
      </c>
      <c r="M336" s="525">
        <v>0.32790807046730469</v>
      </c>
      <c r="N336" s="525">
        <v>0.32582984664559689</v>
      </c>
      <c r="O336" s="536">
        <v>0.30890306972032655</v>
      </c>
      <c r="P336" s="165">
        <v>0</v>
      </c>
      <c r="Q336" s="525">
        <v>0</v>
      </c>
      <c r="R336" s="536">
        <v>0</v>
      </c>
      <c r="S336" s="536">
        <v>0</v>
      </c>
      <c r="T336" s="15">
        <v>0</v>
      </c>
      <c r="U336" s="15">
        <v>0.20591989421593937</v>
      </c>
      <c r="V336" s="15"/>
    </row>
    <row r="337" spans="1:22" x14ac:dyDescent="0.25">
      <c r="A337" s="166"/>
      <c r="B337" s="167" t="s">
        <v>65</v>
      </c>
      <c r="C337" s="168">
        <v>9.2662139939590632E-2</v>
      </c>
      <c r="D337" s="169">
        <v>9.4347234259627974E-2</v>
      </c>
      <c r="E337" s="169">
        <v>7.3295369448946782E-2</v>
      </c>
      <c r="F337" s="169">
        <v>0.18672642485654004</v>
      </c>
      <c r="G337" s="169">
        <v>0.1722836098755966</v>
      </c>
      <c r="H337" s="169">
        <v>0.10378909074970963</v>
      </c>
      <c r="I337" s="169">
        <v>0</v>
      </c>
      <c r="J337" s="170">
        <v>9.5377331428522741E-2</v>
      </c>
      <c r="K337" s="170">
        <v>0</v>
      </c>
      <c r="L337" s="169">
        <v>0.32450856484241486</v>
      </c>
      <c r="M337" s="169">
        <v>0.34623043584036906</v>
      </c>
      <c r="N337" s="169">
        <v>0.35559804684124102</v>
      </c>
      <c r="O337" s="170">
        <v>0.33746827583240291</v>
      </c>
      <c r="P337" s="170">
        <v>0</v>
      </c>
      <c r="Q337" s="169">
        <v>0</v>
      </c>
      <c r="R337" s="170">
        <v>0</v>
      </c>
      <c r="S337" s="170">
        <v>0</v>
      </c>
      <c r="T337" s="15">
        <v>0</v>
      </c>
      <c r="U337" s="15">
        <v>0.22134177956245066</v>
      </c>
      <c r="V337" s="15"/>
    </row>
    <row r="338" spans="1:22" x14ac:dyDescent="0.25">
      <c r="A338" s="166"/>
      <c r="B338" s="207" t="s">
        <v>66</v>
      </c>
      <c r="C338" s="208">
        <v>-0.37693682930784456</v>
      </c>
      <c r="D338" s="209">
        <v>-1.8716547640641734E-2</v>
      </c>
      <c r="E338" s="209">
        <v>1.1025475824866453</v>
      </c>
      <c r="F338" s="209">
        <v>2.8182935754088256</v>
      </c>
      <c r="G338" s="209">
        <v>1.2540696791404904</v>
      </c>
      <c r="H338" s="209">
        <v>1.707312976477253</v>
      </c>
      <c r="I338" s="209">
        <v>0</v>
      </c>
      <c r="J338" s="210">
        <v>0.39617453561784505</v>
      </c>
      <c r="K338" s="210">
        <v>0</v>
      </c>
      <c r="L338" s="209">
        <v>3.7602265079811903</v>
      </c>
      <c r="M338" s="209">
        <v>1.8322365373064364</v>
      </c>
      <c r="N338" s="209">
        <v>2.9768200195644132</v>
      </c>
      <c r="O338" s="210">
        <v>2.8565206112076358</v>
      </c>
      <c r="P338" s="210">
        <v>0</v>
      </c>
      <c r="Q338" s="209">
        <v>0</v>
      </c>
      <c r="R338" s="210">
        <v>0</v>
      </c>
      <c r="S338" s="210">
        <v>0</v>
      </c>
      <c r="T338" s="15">
        <v>0</v>
      </c>
      <c r="U338" s="15">
        <v>1.5421885346511288</v>
      </c>
      <c r="V338" s="15"/>
    </row>
    <row r="339" spans="1:22" x14ac:dyDescent="0.25">
      <c r="A339" s="166"/>
      <c r="B339" s="268" t="s">
        <v>67</v>
      </c>
      <c r="C339" s="524">
        <v>5.2295722089713008E-5</v>
      </c>
      <c r="D339" s="525">
        <v>1.0311156327441081E-5</v>
      </c>
      <c r="E339" s="525">
        <v>1.0590003974602758E-4</v>
      </c>
      <c r="F339" s="525">
        <v>6.671968298041541E-4</v>
      </c>
      <c r="G339" s="525">
        <v>1.5627090199321408E-3</v>
      </c>
      <c r="H339" s="525">
        <v>2.3901302875275884E-3</v>
      </c>
      <c r="I339" s="525">
        <v>0</v>
      </c>
      <c r="J339" s="536">
        <v>2.6835868822267845E-4</v>
      </c>
      <c r="K339" s="536">
        <v>0</v>
      </c>
      <c r="L339" s="525">
        <v>1.4270718052853866E-3</v>
      </c>
      <c r="M339" s="525">
        <v>7.5801445788555889E-3</v>
      </c>
      <c r="N339" s="525">
        <v>1.3040286955897141E-2</v>
      </c>
      <c r="O339" s="536">
        <v>5.6544209149271994E-3</v>
      </c>
      <c r="P339" s="165">
        <v>0</v>
      </c>
      <c r="Q339" s="525">
        <v>0</v>
      </c>
      <c r="R339" s="536">
        <v>0</v>
      </c>
      <c r="S339" s="536">
        <v>0</v>
      </c>
      <c r="T339" s="15">
        <v>0</v>
      </c>
      <c r="U339" s="15">
        <v>3.1040498210759418E-3</v>
      </c>
      <c r="V339" s="15"/>
    </row>
    <row r="340" spans="1:22" x14ac:dyDescent="0.25">
      <c r="A340" s="166"/>
      <c r="B340" s="167" t="s">
        <v>68</v>
      </c>
      <c r="C340" s="168">
        <v>7.3386550813765118E-6</v>
      </c>
      <c r="D340" s="169">
        <v>1.5182313559020593E-4</v>
      </c>
      <c r="E340" s="169">
        <v>2.9288326937605881E-4</v>
      </c>
      <c r="F340" s="169">
        <v>0</v>
      </c>
      <c r="G340" s="169">
        <v>2.9110851914785777E-3</v>
      </c>
      <c r="H340" s="169">
        <v>2.9749512392890799E-3</v>
      </c>
      <c r="I340" s="169">
        <v>0</v>
      </c>
      <c r="J340" s="170">
        <v>4.1912865870308692E-4</v>
      </c>
      <c r="K340" s="170">
        <v>0</v>
      </c>
      <c r="L340" s="169">
        <v>1.13588490123604E-3</v>
      </c>
      <c r="M340" s="169">
        <v>5.8148091415047018E-3</v>
      </c>
      <c r="N340" s="169">
        <v>1.2916630657102527E-2</v>
      </c>
      <c r="O340" s="170">
        <v>4.7195836068578438E-3</v>
      </c>
      <c r="P340" s="170">
        <v>0</v>
      </c>
      <c r="Q340" s="169">
        <v>0</v>
      </c>
      <c r="R340" s="170">
        <v>0</v>
      </c>
      <c r="S340" s="170">
        <v>0</v>
      </c>
      <c r="T340" s="15">
        <v>0</v>
      </c>
      <c r="U340" s="15">
        <v>2.6567358339859774E-3</v>
      </c>
      <c r="V340" s="15"/>
    </row>
    <row r="341" spans="1:22" x14ac:dyDescent="0.25">
      <c r="A341" s="166"/>
      <c r="B341" s="207" t="s">
        <v>69</v>
      </c>
      <c r="C341" s="208">
        <v>-4.4957067008336501E-3</v>
      </c>
      <c r="D341" s="209">
        <v>1.4151197926276485E-2</v>
      </c>
      <c r="E341" s="209">
        <v>1.8698322963003125E-2</v>
      </c>
      <c r="F341" s="209">
        <v>-6.6719682980415404E-2</v>
      </c>
      <c r="G341" s="209">
        <v>0.13483761715464368</v>
      </c>
      <c r="H341" s="209">
        <v>5.8482095176149149E-2</v>
      </c>
      <c r="I341" s="209">
        <v>0</v>
      </c>
      <c r="J341" s="210">
        <v>1.5076997048040847E-2</v>
      </c>
      <c r="K341" s="210">
        <v>0</v>
      </c>
      <c r="L341" s="209">
        <v>-2.9118690404934658E-2</v>
      </c>
      <c r="M341" s="209">
        <v>-0.1765335437350887</v>
      </c>
      <c r="N341" s="209">
        <v>-1.2365629879461382E-2</v>
      </c>
      <c r="O341" s="210">
        <v>-9.3483730806935561E-2</v>
      </c>
      <c r="P341" s="210">
        <v>0</v>
      </c>
      <c r="Q341" s="209">
        <v>0</v>
      </c>
      <c r="R341" s="210">
        <v>0</v>
      </c>
      <c r="S341" s="210">
        <v>0</v>
      </c>
      <c r="T341" s="15">
        <v>0</v>
      </c>
      <c r="U341" s="15">
        <v>-4.4731398708996443E-2</v>
      </c>
      <c r="V341" s="15"/>
    </row>
    <row r="342" spans="1:22" x14ac:dyDescent="0.25">
      <c r="A342" s="166"/>
      <c r="B342" s="268" t="s">
        <v>70</v>
      </c>
      <c r="C342" s="524">
        <v>1.3164095560513965E-4</v>
      </c>
      <c r="D342" s="525">
        <v>0</v>
      </c>
      <c r="E342" s="525">
        <v>2.3793996272050499E-4</v>
      </c>
      <c r="F342" s="525">
        <v>2.0218085751641033E-5</v>
      </c>
      <c r="G342" s="525">
        <v>0</v>
      </c>
      <c r="H342" s="525">
        <v>0</v>
      </c>
      <c r="I342" s="525">
        <v>0</v>
      </c>
      <c r="J342" s="536">
        <v>1.1555445007797422E-4</v>
      </c>
      <c r="K342" s="536">
        <v>0</v>
      </c>
      <c r="L342" s="525">
        <v>2.2766699864807888E-3</v>
      </c>
      <c r="M342" s="525">
        <v>7.76488891660575E-4</v>
      </c>
      <c r="N342" s="525">
        <v>6.9909585548053443E-3</v>
      </c>
      <c r="O342" s="536">
        <v>2.4569794444787669E-3</v>
      </c>
      <c r="P342" s="165">
        <v>0</v>
      </c>
      <c r="Q342" s="525">
        <v>0</v>
      </c>
      <c r="R342" s="536">
        <v>0</v>
      </c>
      <c r="S342" s="536">
        <v>0</v>
      </c>
      <c r="T342" s="15">
        <v>0</v>
      </c>
      <c r="U342" s="15">
        <v>1.3482840056230024E-3</v>
      </c>
      <c r="V342" s="15"/>
    </row>
    <row r="343" spans="1:22" x14ac:dyDescent="0.25">
      <c r="A343" s="166"/>
      <c r="B343" s="167" t="s">
        <v>71</v>
      </c>
      <c r="C343" s="168">
        <v>4.6722770684763789E-4</v>
      </c>
      <c r="D343" s="169">
        <v>0</v>
      </c>
      <c r="E343" s="169">
        <v>3.6610408672007347E-4</v>
      </c>
      <c r="F343" s="169">
        <v>0</v>
      </c>
      <c r="G343" s="169">
        <v>0</v>
      </c>
      <c r="H343" s="169">
        <v>0</v>
      </c>
      <c r="I343" s="169">
        <v>0</v>
      </c>
      <c r="J343" s="170">
        <v>2.6657069580631956E-4</v>
      </c>
      <c r="K343" s="170">
        <v>0</v>
      </c>
      <c r="L343" s="169">
        <v>1.4291959779023091E-3</v>
      </c>
      <c r="M343" s="169">
        <v>4.3400822362987059E-4</v>
      </c>
      <c r="N343" s="169">
        <v>5.8899643745378774E-3</v>
      </c>
      <c r="O343" s="170">
        <v>1.7524271209137308E-3</v>
      </c>
      <c r="P343" s="170">
        <v>0</v>
      </c>
      <c r="Q343" s="169">
        <v>0</v>
      </c>
      <c r="R343" s="170">
        <v>0</v>
      </c>
      <c r="S343" s="170">
        <v>0</v>
      </c>
      <c r="T343" s="15">
        <v>0</v>
      </c>
      <c r="U343" s="15">
        <v>1.0396895956304233E-3</v>
      </c>
      <c r="V343" s="15"/>
    </row>
    <row r="344" spans="1:22" x14ac:dyDescent="0.25">
      <c r="A344" s="166"/>
      <c r="B344" s="207" t="s">
        <v>72</v>
      </c>
      <c r="C344" s="208">
        <v>3.3558675124249822E-2</v>
      </c>
      <c r="D344" s="209">
        <v>0</v>
      </c>
      <c r="E344" s="209">
        <v>1.2816412399956848E-2</v>
      </c>
      <c r="F344" s="209">
        <v>-2.0218085751641033E-3</v>
      </c>
      <c r="G344" s="209">
        <v>0</v>
      </c>
      <c r="H344" s="209">
        <v>0</v>
      </c>
      <c r="I344" s="209">
        <v>0</v>
      </c>
      <c r="J344" s="210">
        <v>1.5101624572834534E-2</v>
      </c>
      <c r="K344" s="210">
        <v>0</v>
      </c>
      <c r="L344" s="209">
        <v>-8.4747400857847974E-2</v>
      </c>
      <c r="M344" s="209">
        <v>-3.4248066803070444E-2</v>
      </c>
      <c r="N344" s="209">
        <v>-0.11009941802674669</v>
      </c>
      <c r="O344" s="210">
        <v>-7.0455232356503611E-2</v>
      </c>
      <c r="P344" s="210">
        <v>0</v>
      </c>
      <c r="Q344" s="209">
        <v>0</v>
      </c>
      <c r="R344" s="210">
        <v>0</v>
      </c>
      <c r="S344" s="210">
        <v>0</v>
      </c>
      <c r="T344" s="15">
        <v>0</v>
      </c>
      <c r="U344" s="15">
        <v>-3.0859440999257907E-2</v>
      </c>
      <c r="V344" s="15"/>
    </row>
    <row r="345" spans="1:22" x14ac:dyDescent="0.25">
      <c r="A345" s="166"/>
      <c r="B345" s="268" t="s">
        <v>73</v>
      </c>
      <c r="C345" s="524">
        <v>0</v>
      </c>
      <c r="D345" s="525">
        <v>0</v>
      </c>
      <c r="E345" s="525">
        <v>0</v>
      </c>
      <c r="F345" s="525">
        <v>0</v>
      </c>
      <c r="G345" s="525">
        <v>0</v>
      </c>
      <c r="H345" s="525">
        <v>0</v>
      </c>
      <c r="I345" s="525">
        <v>0</v>
      </c>
      <c r="J345" s="536">
        <v>0</v>
      </c>
      <c r="K345" s="536">
        <v>0</v>
      </c>
      <c r="L345" s="525">
        <v>0</v>
      </c>
      <c r="M345" s="525">
        <v>0</v>
      </c>
      <c r="N345" s="525">
        <v>0</v>
      </c>
      <c r="O345" s="536">
        <v>0</v>
      </c>
      <c r="P345" s="165">
        <v>0</v>
      </c>
      <c r="Q345" s="525">
        <v>0</v>
      </c>
      <c r="R345" s="536">
        <v>0</v>
      </c>
      <c r="S345" s="536">
        <v>0</v>
      </c>
      <c r="T345" s="15">
        <v>0</v>
      </c>
      <c r="U345" s="15">
        <v>0</v>
      </c>
      <c r="V345" s="15"/>
    </row>
    <row r="346" spans="1:22" x14ac:dyDescent="0.25">
      <c r="A346" s="166"/>
      <c r="B346" s="167" t="s">
        <v>74</v>
      </c>
      <c r="C346" s="168">
        <v>0</v>
      </c>
      <c r="D346" s="169">
        <v>0</v>
      </c>
      <c r="E346" s="169">
        <v>0</v>
      </c>
      <c r="F346" s="169">
        <v>0</v>
      </c>
      <c r="G346" s="169">
        <v>0</v>
      </c>
      <c r="H346" s="169">
        <v>0</v>
      </c>
      <c r="I346" s="169">
        <v>0</v>
      </c>
      <c r="J346" s="170">
        <v>0</v>
      </c>
      <c r="K346" s="170">
        <v>0</v>
      </c>
      <c r="L346" s="169">
        <v>0</v>
      </c>
      <c r="M346" s="169">
        <v>0</v>
      </c>
      <c r="N346" s="169">
        <v>0</v>
      </c>
      <c r="O346" s="170">
        <v>0</v>
      </c>
      <c r="P346" s="170">
        <v>0</v>
      </c>
      <c r="Q346" s="169">
        <v>0</v>
      </c>
      <c r="R346" s="170">
        <v>0</v>
      </c>
      <c r="S346" s="170">
        <v>0</v>
      </c>
      <c r="T346" s="15">
        <v>0</v>
      </c>
      <c r="U346" s="15">
        <v>0</v>
      </c>
      <c r="V346" s="15"/>
    </row>
    <row r="347" spans="1:22" ht="15.75" thickBot="1" x14ac:dyDescent="0.3">
      <c r="A347" s="166"/>
      <c r="B347" s="531" t="s">
        <v>75</v>
      </c>
      <c r="C347" s="532">
        <v>0</v>
      </c>
      <c r="D347" s="533">
        <v>0</v>
      </c>
      <c r="E347" s="533">
        <v>0</v>
      </c>
      <c r="F347" s="533">
        <v>0</v>
      </c>
      <c r="G347" s="533">
        <v>0</v>
      </c>
      <c r="H347" s="533">
        <v>0</v>
      </c>
      <c r="I347" s="533">
        <v>0</v>
      </c>
      <c r="J347" s="537">
        <v>0</v>
      </c>
      <c r="K347" s="537">
        <v>0</v>
      </c>
      <c r="L347" s="533">
        <v>0</v>
      </c>
      <c r="M347" s="533">
        <v>0</v>
      </c>
      <c r="N347" s="533">
        <v>0</v>
      </c>
      <c r="O347" s="537">
        <v>0</v>
      </c>
      <c r="P347" s="537">
        <v>0</v>
      </c>
      <c r="Q347" s="533">
        <v>0</v>
      </c>
      <c r="R347" s="537">
        <v>0</v>
      </c>
      <c r="S347" s="537">
        <v>0</v>
      </c>
      <c r="T347" s="15">
        <v>0</v>
      </c>
      <c r="U347" s="15">
        <v>0</v>
      </c>
      <c r="V347" s="15"/>
    </row>
    <row r="348" spans="1:22" ht="15.75" thickTop="1" x14ac:dyDescent="0.25">
      <c r="A348" s="166"/>
      <c r="B348" s="167" t="s">
        <v>76</v>
      </c>
      <c r="C348" s="168">
        <v>0.82957921595454109</v>
      </c>
      <c r="D348" s="169">
        <v>0.65016349363685044</v>
      </c>
      <c r="E348" s="169">
        <v>0.69511887552671237</v>
      </c>
      <c r="F348" s="169">
        <v>0.56932153392330387</v>
      </c>
      <c r="G348" s="169">
        <v>0.58750217126975857</v>
      </c>
      <c r="H348" s="169">
        <v>0.62451737451737455</v>
      </c>
      <c r="I348" s="169">
        <v>0</v>
      </c>
      <c r="J348" s="170">
        <v>0.74930963744831158</v>
      </c>
      <c r="K348" s="170">
        <v>0</v>
      </c>
      <c r="L348" s="169">
        <v>0</v>
      </c>
      <c r="M348" s="169">
        <v>0</v>
      </c>
      <c r="N348" s="169">
        <v>0</v>
      </c>
      <c r="O348" s="170">
        <v>0</v>
      </c>
      <c r="P348" s="170">
        <v>0</v>
      </c>
      <c r="Q348" s="169">
        <v>0</v>
      </c>
      <c r="R348" s="170">
        <v>0</v>
      </c>
      <c r="S348" s="170">
        <v>0</v>
      </c>
      <c r="T348" s="15">
        <v>0</v>
      </c>
      <c r="U348" s="15">
        <v>0.74930963744831158</v>
      </c>
      <c r="V348" s="15"/>
    </row>
    <row r="349" spans="1:22" x14ac:dyDescent="0.25">
      <c r="A349" s="166"/>
      <c r="B349" s="167" t="s">
        <v>77</v>
      </c>
      <c r="C349" s="168">
        <v>0.82730198271605548</v>
      </c>
      <c r="D349" s="169">
        <v>0.66628885811961625</v>
      </c>
      <c r="E349" s="169">
        <v>0.69809821175134823</v>
      </c>
      <c r="F349" s="169">
        <v>0.56111501934576147</v>
      </c>
      <c r="G349" s="169">
        <v>0.65898557061652818</v>
      </c>
      <c r="H349" s="169">
        <v>0.64819837272375047</v>
      </c>
      <c r="I349" s="169">
        <v>0</v>
      </c>
      <c r="J349" s="170">
        <v>0.7562646646000003</v>
      </c>
      <c r="K349" s="170">
        <v>0</v>
      </c>
      <c r="L349" s="169">
        <v>0</v>
      </c>
      <c r="M349" s="169">
        <v>0</v>
      </c>
      <c r="N349" s="169">
        <v>0</v>
      </c>
      <c r="O349" s="170">
        <v>0</v>
      </c>
      <c r="P349" s="170">
        <v>0</v>
      </c>
      <c r="Q349" s="169">
        <v>0</v>
      </c>
      <c r="R349" s="170">
        <v>0</v>
      </c>
      <c r="S349" s="170">
        <v>0</v>
      </c>
      <c r="T349" s="15">
        <v>0</v>
      </c>
      <c r="U349" s="15">
        <v>0.7562646646000003</v>
      </c>
      <c r="V349" s="15"/>
    </row>
    <row r="350" spans="1:22" x14ac:dyDescent="0.25">
      <c r="A350" s="166"/>
      <c r="B350" s="207" t="s">
        <v>78</v>
      </c>
      <c r="C350" s="208">
        <v>-0.22772332384856098</v>
      </c>
      <c r="D350" s="209">
        <v>1.6125364482765803</v>
      </c>
      <c r="E350" s="209">
        <v>0.29793362246358646</v>
      </c>
      <c r="F350" s="209">
        <v>-0.82065145775424009</v>
      </c>
      <c r="G350" s="530">
        <v>7.1483399346769616</v>
      </c>
      <c r="H350" s="209">
        <v>2.3680998206375925</v>
      </c>
      <c r="I350" s="209">
        <v>0</v>
      </c>
      <c r="J350" s="210">
        <v>0.69550271516887197</v>
      </c>
      <c r="K350" s="210">
        <v>0</v>
      </c>
      <c r="L350" s="209">
        <v>0</v>
      </c>
      <c r="M350" s="209">
        <v>0</v>
      </c>
      <c r="N350" s="209">
        <v>0</v>
      </c>
      <c r="O350" s="210">
        <v>0</v>
      </c>
      <c r="P350" s="210">
        <v>0</v>
      </c>
      <c r="Q350" s="209">
        <v>0</v>
      </c>
      <c r="R350" s="210">
        <v>0</v>
      </c>
      <c r="S350" s="210">
        <v>0</v>
      </c>
      <c r="T350" s="15">
        <v>0</v>
      </c>
      <c r="U350" s="15">
        <v>0.69550271516887197</v>
      </c>
      <c r="V350" s="15"/>
    </row>
    <row r="351" spans="1:22" x14ac:dyDescent="0.25">
      <c r="A351" s="166"/>
      <c r="B351" s="268" t="s">
        <v>79</v>
      </c>
      <c r="C351" s="524">
        <v>5.7577558184242192E-2</v>
      </c>
      <c r="D351" s="525">
        <v>5.4249125565391756E-2</v>
      </c>
      <c r="E351" s="525">
        <v>9.013010180543167E-2</v>
      </c>
      <c r="F351" s="525">
        <v>0.18399705014749262</v>
      </c>
      <c r="G351" s="525">
        <v>6.7743616466909851E-2</v>
      </c>
      <c r="H351" s="525">
        <v>4.633204633204633E-2</v>
      </c>
      <c r="I351" s="525">
        <v>0</v>
      </c>
      <c r="J351" s="536">
        <v>6.5697727709907006E-2</v>
      </c>
      <c r="K351" s="536">
        <v>0</v>
      </c>
      <c r="L351" s="525">
        <v>0</v>
      </c>
      <c r="M351" s="525">
        <v>0</v>
      </c>
      <c r="N351" s="525">
        <v>0</v>
      </c>
      <c r="O351" s="536">
        <v>0</v>
      </c>
      <c r="P351" s="165">
        <v>0</v>
      </c>
      <c r="Q351" s="525">
        <v>0</v>
      </c>
      <c r="R351" s="536">
        <v>0</v>
      </c>
      <c r="S351" s="536">
        <v>0</v>
      </c>
      <c r="T351" s="15">
        <v>0</v>
      </c>
      <c r="U351" s="15">
        <v>6.5697727709907006E-2</v>
      </c>
      <c r="V351" s="15"/>
    </row>
    <row r="352" spans="1:22" x14ac:dyDescent="0.25">
      <c r="A352" s="166"/>
      <c r="B352" s="167" t="s">
        <v>80</v>
      </c>
      <c r="C352" s="168">
        <v>5.2762428882994691E-2</v>
      </c>
      <c r="D352" s="169">
        <v>5.4269645023342444E-2</v>
      </c>
      <c r="E352" s="169">
        <v>7.2646418771880023E-2</v>
      </c>
      <c r="F352" s="169">
        <v>0.20198733731973267</v>
      </c>
      <c r="G352" s="169">
        <v>7.6213379973764761E-2</v>
      </c>
      <c r="H352" s="169">
        <v>0</v>
      </c>
      <c r="I352" s="169">
        <v>0</v>
      </c>
      <c r="J352" s="170">
        <v>5.9977967813049413E-2</v>
      </c>
      <c r="K352" s="170">
        <v>0</v>
      </c>
      <c r="L352" s="169">
        <v>0</v>
      </c>
      <c r="M352" s="169">
        <v>0</v>
      </c>
      <c r="N352" s="169">
        <v>0</v>
      </c>
      <c r="O352" s="170">
        <v>0</v>
      </c>
      <c r="P352" s="170">
        <v>0</v>
      </c>
      <c r="Q352" s="169">
        <v>0</v>
      </c>
      <c r="R352" s="170">
        <v>0</v>
      </c>
      <c r="S352" s="170">
        <v>0</v>
      </c>
      <c r="T352" s="15">
        <v>0</v>
      </c>
      <c r="U352" s="15">
        <v>5.9977967813049413E-2</v>
      </c>
      <c r="V352" s="15"/>
    </row>
    <row r="353" spans="1:22" x14ac:dyDescent="0.25">
      <c r="A353" s="166"/>
      <c r="B353" s="207" t="s">
        <v>81</v>
      </c>
      <c r="C353" s="208">
        <v>-0.48151293012475005</v>
      </c>
      <c r="D353" s="209">
        <v>2.051945795068788E-3</v>
      </c>
      <c r="E353" s="209">
        <v>-1.7483683033551647</v>
      </c>
      <c r="F353" s="209">
        <v>1.7990287172240049</v>
      </c>
      <c r="G353" s="209">
        <v>0.84697635068549104</v>
      </c>
      <c r="H353" s="209">
        <v>-4.6332046332046328</v>
      </c>
      <c r="I353" s="209">
        <v>0</v>
      </c>
      <c r="J353" s="210">
        <v>-0.57197598968575925</v>
      </c>
      <c r="K353" s="210">
        <v>0</v>
      </c>
      <c r="L353" s="209">
        <v>0</v>
      </c>
      <c r="M353" s="209">
        <v>0</v>
      </c>
      <c r="N353" s="209">
        <v>0</v>
      </c>
      <c r="O353" s="210">
        <v>0</v>
      </c>
      <c r="P353" s="210">
        <v>0</v>
      </c>
      <c r="Q353" s="209">
        <v>0</v>
      </c>
      <c r="R353" s="210">
        <v>0</v>
      </c>
      <c r="S353" s="210">
        <v>0</v>
      </c>
      <c r="T353" s="15">
        <v>0</v>
      </c>
      <c r="U353" s="15">
        <v>-0.57197598968575925</v>
      </c>
      <c r="V353" s="15"/>
    </row>
    <row r="354" spans="1:22" x14ac:dyDescent="0.25">
      <c r="A354" s="166"/>
      <c r="B354" s="268" t="s">
        <v>82</v>
      </c>
      <c r="C354" s="524">
        <v>0.11139767013367022</v>
      </c>
      <c r="D354" s="525">
        <v>0.2954335714529856</v>
      </c>
      <c r="E354" s="525">
        <v>0.21322547903915356</v>
      </c>
      <c r="F354" s="525">
        <v>0.24668141592920353</v>
      </c>
      <c r="G354" s="525">
        <v>0.33680736494702102</v>
      </c>
      <c r="H354" s="525">
        <v>0.32915057915057916</v>
      </c>
      <c r="I354" s="525">
        <v>0</v>
      </c>
      <c r="J354" s="536">
        <v>0.18365386725673999</v>
      </c>
      <c r="K354" s="536">
        <v>0</v>
      </c>
      <c r="L354" s="525">
        <v>0</v>
      </c>
      <c r="M354" s="525">
        <v>0</v>
      </c>
      <c r="N354" s="525">
        <v>0</v>
      </c>
      <c r="O354" s="536">
        <v>0</v>
      </c>
      <c r="P354" s="165">
        <v>0</v>
      </c>
      <c r="Q354" s="525">
        <v>0</v>
      </c>
      <c r="R354" s="536">
        <v>0</v>
      </c>
      <c r="S354" s="536">
        <v>0</v>
      </c>
      <c r="T354" s="15">
        <v>0</v>
      </c>
      <c r="U354" s="15">
        <v>0.18365386725673999</v>
      </c>
      <c r="V354" s="15"/>
    </row>
    <row r="355" spans="1:22" x14ac:dyDescent="0.25">
      <c r="A355" s="166"/>
      <c r="B355" s="167" t="s">
        <v>83</v>
      </c>
      <c r="C355" s="168">
        <v>0.11807469859788157</v>
      </c>
      <c r="D355" s="169">
        <v>0.27944149685704134</v>
      </c>
      <c r="E355" s="169">
        <v>0.2285993629167061</v>
      </c>
      <c r="F355" s="169">
        <v>0.2368976433345058</v>
      </c>
      <c r="G355" s="169">
        <v>0.2465675557498907</v>
      </c>
      <c r="H355" s="169">
        <v>0.35180162727624953</v>
      </c>
      <c r="I355" s="169">
        <v>0</v>
      </c>
      <c r="J355" s="170">
        <v>0.18208854103068092</v>
      </c>
      <c r="K355" s="170">
        <v>0</v>
      </c>
      <c r="L355" s="169">
        <v>0</v>
      </c>
      <c r="M355" s="169">
        <v>0</v>
      </c>
      <c r="N355" s="169">
        <v>0</v>
      </c>
      <c r="O355" s="170">
        <v>0</v>
      </c>
      <c r="P355" s="170">
        <v>0</v>
      </c>
      <c r="Q355" s="169">
        <v>0</v>
      </c>
      <c r="R355" s="170">
        <v>0</v>
      </c>
      <c r="S355" s="170">
        <v>0</v>
      </c>
      <c r="T355" s="15">
        <v>0</v>
      </c>
      <c r="U355" s="15">
        <v>0.18208854103068092</v>
      </c>
      <c r="V355" s="15"/>
    </row>
    <row r="356" spans="1:22" x14ac:dyDescent="0.25">
      <c r="A356" s="166"/>
      <c r="B356" s="207" t="s">
        <v>84</v>
      </c>
      <c r="C356" s="208">
        <v>0.6677028464211352</v>
      </c>
      <c r="D356" s="209">
        <v>-1.5992074595944261</v>
      </c>
      <c r="E356" s="209">
        <v>1.5373883877552537</v>
      </c>
      <c r="F356" s="209">
        <v>-0.97837725946977316</v>
      </c>
      <c r="G356" s="530">
        <v>-9.023980919713031</v>
      </c>
      <c r="H356" s="209">
        <v>2.2651048125670368</v>
      </c>
      <c r="I356" s="209">
        <v>0</v>
      </c>
      <c r="J356" s="210">
        <v>-0.15653262260590661</v>
      </c>
      <c r="K356" s="210">
        <v>0</v>
      </c>
      <c r="L356" s="209">
        <v>0</v>
      </c>
      <c r="M356" s="209">
        <v>0</v>
      </c>
      <c r="N356" s="209">
        <v>0</v>
      </c>
      <c r="O356" s="210">
        <v>0</v>
      </c>
      <c r="P356" s="210">
        <v>0</v>
      </c>
      <c r="Q356" s="209">
        <v>0</v>
      </c>
      <c r="R356" s="210">
        <v>0</v>
      </c>
      <c r="S356" s="210">
        <v>0</v>
      </c>
      <c r="T356" s="15">
        <v>0</v>
      </c>
      <c r="U356" s="15">
        <v>-0.15653262260590661</v>
      </c>
      <c r="V356" s="15"/>
    </row>
    <row r="357" spans="1:22" x14ac:dyDescent="0.25">
      <c r="A357" s="166"/>
      <c r="B357" s="268" t="s">
        <v>85</v>
      </c>
      <c r="C357" s="524">
        <v>9.2126090408400701E-4</v>
      </c>
      <c r="D357" s="525">
        <v>1.5380934477219127E-4</v>
      </c>
      <c r="E357" s="525">
        <v>1.3102451327161443E-3</v>
      </c>
      <c r="F357" s="525">
        <v>0</v>
      </c>
      <c r="G357" s="525">
        <v>7.9468473163105784E-3</v>
      </c>
      <c r="H357" s="525">
        <v>0</v>
      </c>
      <c r="I357" s="525">
        <v>0</v>
      </c>
      <c r="J357" s="536">
        <v>1.0224724468204593E-3</v>
      </c>
      <c r="K357" s="536">
        <v>0</v>
      </c>
      <c r="L357" s="525">
        <v>0</v>
      </c>
      <c r="M357" s="525">
        <v>0</v>
      </c>
      <c r="N357" s="525">
        <v>0</v>
      </c>
      <c r="O357" s="536">
        <v>0</v>
      </c>
      <c r="P357" s="165">
        <v>0</v>
      </c>
      <c r="Q357" s="525">
        <v>0</v>
      </c>
      <c r="R357" s="536">
        <v>0</v>
      </c>
      <c r="S357" s="536">
        <v>0</v>
      </c>
      <c r="T357" s="15">
        <v>0</v>
      </c>
      <c r="U357" s="15">
        <v>1.0224724468204593E-3</v>
      </c>
      <c r="V357" s="15"/>
    </row>
    <row r="358" spans="1:22" x14ac:dyDescent="0.25">
      <c r="A358" s="166"/>
      <c r="B358" s="167" t="s">
        <v>86</v>
      </c>
      <c r="C358" s="168">
        <v>4.615006711609223E-4</v>
      </c>
      <c r="D358" s="169">
        <v>0</v>
      </c>
      <c r="E358" s="169">
        <v>1.3246286309016937E-4</v>
      </c>
      <c r="F358" s="169">
        <v>0</v>
      </c>
      <c r="G358" s="169">
        <v>1.8233493659816354E-2</v>
      </c>
      <c r="H358" s="169">
        <v>0</v>
      </c>
      <c r="I358" s="169">
        <v>0</v>
      </c>
      <c r="J358" s="170">
        <v>8.1931374595759269E-4</v>
      </c>
      <c r="K358" s="170">
        <v>0</v>
      </c>
      <c r="L358" s="169">
        <v>0</v>
      </c>
      <c r="M358" s="169">
        <v>0</v>
      </c>
      <c r="N358" s="169">
        <v>0</v>
      </c>
      <c r="O358" s="170">
        <v>0</v>
      </c>
      <c r="P358" s="170">
        <v>0</v>
      </c>
      <c r="Q358" s="169">
        <v>0</v>
      </c>
      <c r="R358" s="170">
        <v>0</v>
      </c>
      <c r="S358" s="170">
        <v>0</v>
      </c>
      <c r="T358" s="15">
        <v>0</v>
      </c>
      <c r="U358" s="15">
        <v>8.1931374595759269E-4</v>
      </c>
      <c r="V358" s="15"/>
    </row>
    <row r="359" spans="1:22" x14ac:dyDescent="0.25">
      <c r="A359" s="166"/>
      <c r="B359" s="207" t="s">
        <v>87</v>
      </c>
      <c r="C359" s="208">
        <v>-4.5976023292308474E-2</v>
      </c>
      <c r="D359" s="209">
        <v>-1.5380934477219128E-2</v>
      </c>
      <c r="E359" s="209">
        <v>-0.1177782269625975</v>
      </c>
      <c r="F359" s="209">
        <v>0</v>
      </c>
      <c r="G359" s="209">
        <v>1.0286646343505776</v>
      </c>
      <c r="H359" s="209">
        <v>0</v>
      </c>
      <c r="I359" s="209">
        <v>0</v>
      </c>
      <c r="J359" s="210">
        <v>-2.0315870086286658E-2</v>
      </c>
      <c r="K359" s="210">
        <v>0</v>
      </c>
      <c r="L359" s="209">
        <v>0</v>
      </c>
      <c r="M359" s="209">
        <v>0</v>
      </c>
      <c r="N359" s="209">
        <v>0</v>
      </c>
      <c r="O359" s="210">
        <v>0</v>
      </c>
      <c r="P359" s="210">
        <v>0</v>
      </c>
      <c r="Q359" s="209">
        <v>0</v>
      </c>
      <c r="R359" s="210">
        <v>0</v>
      </c>
      <c r="S359" s="210">
        <v>0</v>
      </c>
      <c r="T359" s="15">
        <v>0</v>
      </c>
      <c r="U359" s="15">
        <v>-2.0315870086286658E-2</v>
      </c>
      <c r="V359" s="15"/>
    </row>
    <row r="360" spans="1:22" x14ac:dyDescent="0.25">
      <c r="A360" s="166"/>
      <c r="B360" s="268" t="s">
        <v>88</v>
      </c>
      <c r="C360" s="524">
        <v>5.24294823462443E-4</v>
      </c>
      <c r="D360" s="525">
        <v>0</v>
      </c>
      <c r="E360" s="525">
        <v>2.152984959862209E-4</v>
      </c>
      <c r="F360" s="525">
        <v>0</v>
      </c>
      <c r="G360" s="525">
        <v>0</v>
      </c>
      <c r="H360" s="525">
        <v>0</v>
      </c>
      <c r="I360" s="525">
        <v>0</v>
      </c>
      <c r="J360" s="536">
        <v>3.1629513822097538E-4</v>
      </c>
      <c r="K360" s="536">
        <v>0</v>
      </c>
      <c r="L360" s="525">
        <v>0</v>
      </c>
      <c r="M360" s="525">
        <v>0</v>
      </c>
      <c r="N360" s="525">
        <v>0</v>
      </c>
      <c r="O360" s="536">
        <v>0</v>
      </c>
      <c r="P360" s="165">
        <v>0</v>
      </c>
      <c r="Q360" s="525">
        <v>0</v>
      </c>
      <c r="R360" s="536">
        <v>0</v>
      </c>
      <c r="S360" s="536">
        <v>0</v>
      </c>
      <c r="T360" s="15">
        <v>0</v>
      </c>
      <c r="U360" s="15">
        <v>3.1629513822097538E-4</v>
      </c>
      <c r="V360" s="15"/>
    </row>
    <row r="361" spans="1:22" x14ac:dyDescent="0.25">
      <c r="A361" s="166"/>
      <c r="B361" s="167" t="s">
        <v>89</v>
      </c>
      <c r="C361" s="168">
        <v>1.3993891319073128E-3</v>
      </c>
      <c r="D361" s="169">
        <v>0</v>
      </c>
      <c r="E361" s="169">
        <v>5.2354369697543127E-4</v>
      </c>
      <c r="F361" s="169">
        <v>0</v>
      </c>
      <c r="G361" s="169">
        <v>0</v>
      </c>
      <c r="H361" s="169">
        <v>0</v>
      </c>
      <c r="I361" s="169">
        <v>0</v>
      </c>
      <c r="J361" s="170">
        <v>8.4951281031179875E-4</v>
      </c>
      <c r="K361" s="170">
        <v>0</v>
      </c>
      <c r="L361" s="169">
        <v>0</v>
      </c>
      <c r="M361" s="169">
        <v>0</v>
      </c>
      <c r="N361" s="169">
        <v>0</v>
      </c>
      <c r="O361" s="170">
        <v>0</v>
      </c>
      <c r="P361" s="170">
        <v>0</v>
      </c>
      <c r="Q361" s="169">
        <v>0</v>
      </c>
      <c r="R361" s="170">
        <v>0</v>
      </c>
      <c r="S361" s="170">
        <v>0</v>
      </c>
      <c r="T361" s="15">
        <v>0</v>
      </c>
      <c r="U361" s="15">
        <v>8.4951281031179875E-4</v>
      </c>
      <c r="V361" s="15"/>
    </row>
    <row r="362" spans="1:22" x14ac:dyDescent="0.25">
      <c r="A362" s="166"/>
      <c r="B362" s="207" t="s">
        <v>90</v>
      </c>
      <c r="C362" s="208">
        <v>8.750943084448698E-2</v>
      </c>
      <c r="D362" s="209">
        <v>0</v>
      </c>
      <c r="E362" s="209">
        <v>3.0824520098921036E-2</v>
      </c>
      <c r="F362" s="209">
        <v>0</v>
      </c>
      <c r="G362" s="209">
        <v>0</v>
      </c>
      <c r="H362" s="209">
        <v>0</v>
      </c>
      <c r="I362" s="209">
        <v>0</v>
      </c>
      <c r="J362" s="210">
        <v>5.3321767209082341E-2</v>
      </c>
      <c r="K362" s="210">
        <v>0</v>
      </c>
      <c r="L362" s="209">
        <v>0</v>
      </c>
      <c r="M362" s="209">
        <v>0</v>
      </c>
      <c r="N362" s="209">
        <v>0</v>
      </c>
      <c r="O362" s="210">
        <v>0</v>
      </c>
      <c r="P362" s="210">
        <v>0</v>
      </c>
      <c r="Q362" s="209">
        <v>0</v>
      </c>
      <c r="R362" s="210">
        <v>0</v>
      </c>
      <c r="S362" s="210">
        <v>0</v>
      </c>
      <c r="T362" s="15">
        <v>0</v>
      </c>
      <c r="U362" s="15">
        <v>5.3321767209082341E-2</v>
      </c>
      <c r="V362" s="15"/>
    </row>
    <row r="363" spans="1:22" x14ac:dyDescent="0.25">
      <c r="A363" s="166"/>
      <c r="B363" s="268" t="s">
        <v>91</v>
      </c>
      <c r="C363" s="524">
        <v>0</v>
      </c>
      <c r="D363" s="525">
        <v>0</v>
      </c>
      <c r="E363" s="525">
        <v>0</v>
      </c>
      <c r="F363" s="525">
        <v>0</v>
      </c>
      <c r="G363" s="525">
        <v>0</v>
      </c>
      <c r="H363" s="525">
        <v>0</v>
      </c>
      <c r="I363" s="525">
        <v>0</v>
      </c>
      <c r="J363" s="536">
        <v>0</v>
      </c>
      <c r="K363" s="536">
        <v>0</v>
      </c>
      <c r="L363" s="525">
        <v>0</v>
      </c>
      <c r="M363" s="525">
        <v>0</v>
      </c>
      <c r="N363" s="525">
        <v>0</v>
      </c>
      <c r="O363" s="536">
        <v>0</v>
      </c>
      <c r="P363" s="165">
        <v>0</v>
      </c>
      <c r="Q363" s="525">
        <v>0</v>
      </c>
      <c r="R363" s="536">
        <v>0</v>
      </c>
      <c r="S363" s="536">
        <v>0</v>
      </c>
      <c r="T363" s="15">
        <v>0</v>
      </c>
      <c r="U363" s="15">
        <v>0</v>
      </c>
      <c r="V363" s="15"/>
    </row>
    <row r="364" spans="1:22" x14ac:dyDescent="0.25">
      <c r="A364" s="166"/>
      <c r="B364" s="167" t="s">
        <v>92</v>
      </c>
      <c r="C364" s="168">
        <v>0</v>
      </c>
      <c r="D364" s="169">
        <v>0</v>
      </c>
      <c r="E364" s="169">
        <v>0</v>
      </c>
      <c r="F364" s="169">
        <v>0</v>
      </c>
      <c r="G364" s="169">
        <v>0</v>
      </c>
      <c r="H364" s="169">
        <v>0</v>
      </c>
      <c r="I364" s="169">
        <v>0</v>
      </c>
      <c r="J364" s="170">
        <v>0</v>
      </c>
      <c r="K364" s="170">
        <v>0</v>
      </c>
      <c r="L364" s="169">
        <v>0</v>
      </c>
      <c r="M364" s="169">
        <v>0</v>
      </c>
      <c r="N364" s="169">
        <v>0</v>
      </c>
      <c r="O364" s="170">
        <v>0</v>
      </c>
      <c r="P364" s="170">
        <v>0</v>
      </c>
      <c r="Q364" s="169">
        <v>0</v>
      </c>
      <c r="R364" s="170">
        <v>0</v>
      </c>
      <c r="S364" s="170">
        <v>0</v>
      </c>
      <c r="T364" s="15">
        <v>0</v>
      </c>
      <c r="U364" s="15">
        <v>0</v>
      </c>
      <c r="V364" s="15"/>
    </row>
    <row r="365" spans="1:22" ht="15.75" thickBot="1" x14ac:dyDescent="0.3">
      <c r="A365" s="540"/>
      <c r="B365" s="541" t="s">
        <v>93</v>
      </c>
      <c r="C365" s="542">
        <v>0</v>
      </c>
      <c r="D365" s="543">
        <v>0</v>
      </c>
      <c r="E365" s="543">
        <v>0</v>
      </c>
      <c r="F365" s="543">
        <v>0</v>
      </c>
      <c r="G365" s="543">
        <v>0</v>
      </c>
      <c r="H365" s="543">
        <v>0</v>
      </c>
      <c r="I365" s="543">
        <v>0</v>
      </c>
      <c r="J365" s="544">
        <v>0</v>
      </c>
      <c r="K365" s="544">
        <v>0</v>
      </c>
      <c r="L365" s="543">
        <v>0</v>
      </c>
      <c r="M365" s="543">
        <v>0</v>
      </c>
      <c r="N365" s="543">
        <v>0</v>
      </c>
      <c r="O365" s="544">
        <v>0</v>
      </c>
      <c r="P365" s="544">
        <v>0</v>
      </c>
      <c r="Q365" s="543">
        <v>0</v>
      </c>
      <c r="R365" s="544">
        <v>0</v>
      </c>
      <c r="S365" s="544">
        <v>0</v>
      </c>
      <c r="T365" s="15">
        <v>0</v>
      </c>
      <c r="U365" s="15">
        <v>0</v>
      </c>
      <c r="V365" s="15"/>
    </row>
    <row r="366" spans="1:22" x14ac:dyDescent="0.25">
      <c r="A366" s="523" t="s">
        <v>49</v>
      </c>
      <c r="B366" s="268" t="s">
        <v>59</v>
      </c>
      <c r="C366" s="524">
        <v>0.87385512456649905</v>
      </c>
      <c r="D366" s="525">
        <v>0</v>
      </c>
      <c r="E366" s="525">
        <v>0.8767638563803678</v>
      </c>
      <c r="F366" s="525">
        <v>0.69318181818181823</v>
      </c>
      <c r="G366" s="525">
        <v>0.83991195074848046</v>
      </c>
      <c r="H366" s="525">
        <v>0.78631471802554986</v>
      </c>
      <c r="I366" s="525">
        <v>0</v>
      </c>
      <c r="J366" s="536">
        <v>0.84848840837558848</v>
      </c>
      <c r="K366" s="536">
        <v>0.70503485845355229</v>
      </c>
      <c r="L366" s="525">
        <v>0.68168706749266972</v>
      </c>
      <c r="M366" s="525">
        <v>0.57749454187106297</v>
      </c>
      <c r="N366" s="525">
        <v>0.61117223691842693</v>
      </c>
      <c r="O366" s="536">
        <v>0.65834110406564716</v>
      </c>
      <c r="P366" s="165">
        <v>0</v>
      </c>
      <c r="Q366" s="525">
        <v>0</v>
      </c>
      <c r="R366" s="536">
        <v>0</v>
      </c>
      <c r="S366" s="536">
        <v>0</v>
      </c>
      <c r="T366" s="15">
        <v>0</v>
      </c>
      <c r="U366" s="15">
        <v>0.75778613087488733</v>
      </c>
      <c r="V366" s="15"/>
    </row>
    <row r="367" spans="1:22" x14ac:dyDescent="0.25">
      <c r="A367" s="166"/>
      <c r="B367" s="167" t="s">
        <v>60</v>
      </c>
      <c r="C367" s="168">
        <v>0.88498873658127775</v>
      </c>
      <c r="D367" s="169">
        <v>0</v>
      </c>
      <c r="E367" s="169">
        <v>0.86413075284682894</v>
      </c>
      <c r="F367" s="169">
        <v>0.6728834561989373</v>
      </c>
      <c r="G367" s="169">
        <v>0.8300285662659932</v>
      </c>
      <c r="H367" s="169">
        <v>0.77845356283671607</v>
      </c>
      <c r="I367" s="169">
        <v>0</v>
      </c>
      <c r="J367" s="170">
        <v>0.85319807493629329</v>
      </c>
      <c r="K367" s="170">
        <v>0.6835170091381445</v>
      </c>
      <c r="L367" s="169">
        <v>0.71243978897469229</v>
      </c>
      <c r="M367" s="169">
        <v>0.74028623516426273</v>
      </c>
      <c r="N367" s="169">
        <v>0.63012350865168565</v>
      </c>
      <c r="O367" s="170">
        <v>0.69185761879536345</v>
      </c>
      <c r="P367" s="170">
        <v>0</v>
      </c>
      <c r="Q367" s="169">
        <v>0</v>
      </c>
      <c r="R367" s="170">
        <v>0</v>
      </c>
      <c r="S367" s="170">
        <v>0</v>
      </c>
      <c r="T367" s="15">
        <v>0</v>
      </c>
      <c r="U367" s="15">
        <v>0.78886456248257486</v>
      </c>
      <c r="V367" s="15"/>
    </row>
    <row r="368" spans="1:22" x14ac:dyDescent="0.25">
      <c r="A368" s="166"/>
      <c r="B368" s="207" t="s">
        <v>772</v>
      </c>
      <c r="C368" s="208">
        <v>1.1133612014778693</v>
      </c>
      <c r="D368" s="209">
        <v>0</v>
      </c>
      <c r="E368" s="209">
        <v>-1.2633103533538859</v>
      </c>
      <c r="F368" s="209">
        <v>-2.029836198288093</v>
      </c>
      <c r="G368" s="209">
        <v>-0.98833844824872674</v>
      </c>
      <c r="H368" s="209">
        <v>-0.78611551888337905</v>
      </c>
      <c r="I368" s="209">
        <v>0</v>
      </c>
      <c r="J368" s="210">
        <v>0.47096665607048172</v>
      </c>
      <c r="K368" s="210">
        <v>-2.1517849315407789</v>
      </c>
      <c r="L368" s="209">
        <v>3.0752721482022571</v>
      </c>
      <c r="M368" s="530">
        <v>16.279169329319977</v>
      </c>
      <c r="N368" s="209">
        <v>1.8951271733258723</v>
      </c>
      <c r="O368" s="210">
        <v>3.3516514729716285</v>
      </c>
      <c r="P368" s="210">
        <v>0</v>
      </c>
      <c r="Q368" s="209">
        <v>0</v>
      </c>
      <c r="R368" s="210">
        <v>0</v>
      </c>
      <c r="S368" s="210">
        <v>0</v>
      </c>
      <c r="T368" s="15">
        <v>0</v>
      </c>
      <c r="U368" s="15">
        <v>3.1078431607687529</v>
      </c>
      <c r="V368" s="15"/>
    </row>
    <row r="369" spans="1:22" x14ac:dyDescent="0.25">
      <c r="A369" s="166"/>
      <c r="B369" s="268" t="s">
        <v>61</v>
      </c>
      <c r="C369" s="524">
        <v>1.1159139757221026E-2</v>
      </c>
      <c r="D369" s="525">
        <v>0</v>
      </c>
      <c r="E369" s="525">
        <v>7.5006415588933844E-3</v>
      </c>
      <c r="F369" s="525">
        <v>0</v>
      </c>
      <c r="G369" s="525">
        <v>1.072378875599516E-2</v>
      </c>
      <c r="H369" s="525">
        <v>1.7561215503734118E-2</v>
      </c>
      <c r="I369" s="525">
        <v>0</v>
      </c>
      <c r="J369" s="536">
        <v>9.9339314884046553E-3</v>
      </c>
      <c r="K369" s="536">
        <v>5.7591899559365001E-2</v>
      </c>
      <c r="L369" s="525">
        <v>5.0636496707619383E-2</v>
      </c>
      <c r="M369" s="525">
        <v>5.3290938689286825E-2</v>
      </c>
      <c r="N369" s="525">
        <v>9.6029943842290216E-2</v>
      </c>
      <c r="O369" s="536">
        <v>6.2166052778813874E-2</v>
      </c>
      <c r="P369" s="165">
        <v>0</v>
      </c>
      <c r="Q369" s="525">
        <v>0</v>
      </c>
      <c r="R369" s="536">
        <v>0</v>
      </c>
      <c r="S369" s="536">
        <v>0</v>
      </c>
      <c r="T369" s="15">
        <v>0</v>
      </c>
      <c r="U369" s="15">
        <v>3.4849206395540372E-2</v>
      </c>
      <c r="V369" s="15"/>
    </row>
    <row r="370" spans="1:22" x14ac:dyDescent="0.25">
      <c r="A370" s="166"/>
      <c r="B370" s="167" t="s">
        <v>62</v>
      </c>
      <c r="C370" s="168">
        <v>9.6935315017074447E-3</v>
      </c>
      <c r="D370" s="169">
        <v>0</v>
      </c>
      <c r="E370" s="169">
        <v>9.8036259937964755E-3</v>
      </c>
      <c r="F370" s="169">
        <v>4.0955201310566443E-4</v>
      </c>
      <c r="G370" s="169">
        <v>7.3975443336402203E-3</v>
      </c>
      <c r="H370" s="169">
        <v>1.6856978280757631E-2</v>
      </c>
      <c r="I370" s="169">
        <v>0</v>
      </c>
      <c r="J370" s="170">
        <v>9.4350932020875675E-3</v>
      </c>
      <c r="K370" s="170">
        <v>5.5503909459464672E-2</v>
      </c>
      <c r="L370" s="169">
        <v>5.383414436834226E-2</v>
      </c>
      <c r="M370" s="169">
        <v>4.5762901045477656E-3</v>
      </c>
      <c r="N370" s="169">
        <v>4.2756821441698886E-2</v>
      </c>
      <c r="O370" s="170">
        <v>4.6604286600169215E-2</v>
      </c>
      <c r="P370" s="170">
        <v>0</v>
      </c>
      <c r="Q370" s="169">
        <v>0</v>
      </c>
      <c r="R370" s="170">
        <v>0</v>
      </c>
      <c r="S370" s="170">
        <v>0</v>
      </c>
      <c r="T370" s="15">
        <v>0</v>
      </c>
      <c r="U370" s="15">
        <v>2.4256079974812658E-2</v>
      </c>
      <c r="V370" s="15"/>
    </row>
    <row r="371" spans="1:22" x14ac:dyDescent="0.25">
      <c r="A371" s="166"/>
      <c r="B371" s="207" t="s">
        <v>63</v>
      </c>
      <c r="C371" s="208">
        <v>-0.1465608255513581</v>
      </c>
      <c r="D371" s="209">
        <v>0</v>
      </c>
      <c r="E371" s="209">
        <v>0.23029844349030912</v>
      </c>
      <c r="F371" s="209">
        <v>0</v>
      </c>
      <c r="G371" s="209">
        <v>-0.33262444223549398</v>
      </c>
      <c r="H371" s="209">
        <v>-7.0423722297648789E-2</v>
      </c>
      <c r="I371" s="209">
        <v>0</v>
      </c>
      <c r="J371" s="210">
        <v>-4.9883828631708781E-2</v>
      </c>
      <c r="K371" s="210">
        <v>-0.2087990099900329</v>
      </c>
      <c r="L371" s="209">
        <v>0.31976476607228771</v>
      </c>
      <c r="M371" s="209">
        <v>-4.8714648584739066</v>
      </c>
      <c r="N371" s="209">
        <v>-5.3273122400591326</v>
      </c>
      <c r="O371" s="210">
        <v>-1.556176617864466</v>
      </c>
      <c r="P371" s="210">
        <v>0</v>
      </c>
      <c r="Q371" s="209">
        <v>0</v>
      </c>
      <c r="R371" s="210">
        <v>0</v>
      </c>
      <c r="S371" s="210">
        <v>0</v>
      </c>
      <c r="T371" s="15">
        <v>0</v>
      </c>
      <c r="U371" s="15">
        <v>-1.0593126420727714</v>
      </c>
      <c r="V371" s="15"/>
    </row>
    <row r="372" spans="1:22" x14ac:dyDescent="0.25">
      <c r="A372" s="166"/>
      <c r="B372" s="268" t="s">
        <v>64</v>
      </c>
      <c r="C372" s="524">
        <v>0.11215865537799076</v>
      </c>
      <c r="D372" s="525">
        <v>0</v>
      </c>
      <c r="E372" s="525">
        <v>0.10736337379029549</v>
      </c>
      <c r="F372" s="525">
        <v>0.24775596360357408</v>
      </c>
      <c r="G372" s="525">
        <v>8.9250859984789238E-2</v>
      </c>
      <c r="H372" s="525">
        <v>0.18052426318377804</v>
      </c>
      <c r="I372" s="525">
        <v>0</v>
      </c>
      <c r="J372" s="536">
        <v>0.11815999009158375</v>
      </c>
      <c r="K372" s="536">
        <v>0.21759371038812098</v>
      </c>
      <c r="L372" s="525">
        <v>0.19492116867049455</v>
      </c>
      <c r="M372" s="525">
        <v>0.14485139189093543</v>
      </c>
      <c r="N372" s="525">
        <v>0.23431212657984202</v>
      </c>
      <c r="O372" s="536">
        <v>0.20189003636702724</v>
      </c>
      <c r="P372" s="165">
        <v>0</v>
      </c>
      <c r="Q372" s="525">
        <v>0</v>
      </c>
      <c r="R372" s="536">
        <v>0</v>
      </c>
      <c r="S372" s="536">
        <v>0</v>
      </c>
      <c r="T372" s="15">
        <v>0</v>
      </c>
      <c r="U372" s="15">
        <v>0.15810010872741112</v>
      </c>
      <c r="V372" s="15"/>
    </row>
    <row r="373" spans="1:22" x14ac:dyDescent="0.25">
      <c r="A373" s="166"/>
      <c r="B373" s="167" t="s">
        <v>65</v>
      </c>
      <c r="C373" s="168">
        <v>0.10089589804540415</v>
      </c>
      <c r="D373" s="169">
        <v>0</v>
      </c>
      <c r="E373" s="169">
        <v>0.11782617717110058</v>
      </c>
      <c r="F373" s="169">
        <v>0.28949026526368848</v>
      </c>
      <c r="G373" s="169">
        <v>9.8536409082695897E-2</v>
      </c>
      <c r="H373" s="169">
        <v>0.1914749432453495</v>
      </c>
      <c r="I373" s="169">
        <v>0</v>
      </c>
      <c r="J373" s="170">
        <v>0.11856491012789636</v>
      </c>
      <c r="K373" s="170">
        <v>0.24289566159934886</v>
      </c>
      <c r="L373" s="169">
        <v>0.23028913624154948</v>
      </c>
      <c r="M373" s="169">
        <v>0.14993861074249998</v>
      </c>
      <c r="N373" s="169">
        <v>0.2763371352293989</v>
      </c>
      <c r="O373" s="170">
        <v>0.23466524901396146</v>
      </c>
      <c r="P373" s="170">
        <v>0</v>
      </c>
      <c r="Q373" s="169">
        <v>0</v>
      </c>
      <c r="R373" s="170">
        <v>0</v>
      </c>
      <c r="S373" s="170">
        <v>0</v>
      </c>
      <c r="T373" s="15">
        <v>0</v>
      </c>
      <c r="U373" s="15">
        <v>0.16485920466666568</v>
      </c>
      <c r="V373" s="15"/>
    </row>
    <row r="374" spans="1:22" x14ac:dyDescent="0.25">
      <c r="A374" s="166"/>
      <c r="B374" s="207" t="s">
        <v>66</v>
      </c>
      <c r="C374" s="208">
        <v>-1.126275733258661</v>
      </c>
      <c r="D374" s="209">
        <v>0</v>
      </c>
      <c r="E374" s="209">
        <v>1.0462803380805088</v>
      </c>
      <c r="F374" s="209">
        <v>4.1734301660114408</v>
      </c>
      <c r="G374" s="209">
        <v>0.92855490979066591</v>
      </c>
      <c r="H374" s="209">
        <v>1.0950680061571461</v>
      </c>
      <c r="I374" s="209">
        <v>0</v>
      </c>
      <c r="J374" s="210">
        <v>4.0492003631260876E-2</v>
      </c>
      <c r="K374" s="210">
        <v>2.5301951211227887</v>
      </c>
      <c r="L374" s="209">
        <v>3.5367967571054928</v>
      </c>
      <c r="M374" s="209">
        <v>0.50872188515645456</v>
      </c>
      <c r="N374" s="209">
        <v>4.2025008649556881</v>
      </c>
      <c r="O374" s="210">
        <v>3.2775212646934229</v>
      </c>
      <c r="P374" s="210">
        <v>0</v>
      </c>
      <c r="Q374" s="209">
        <v>0</v>
      </c>
      <c r="R374" s="210">
        <v>0</v>
      </c>
      <c r="S374" s="210">
        <v>0</v>
      </c>
      <c r="T374" s="15">
        <v>0</v>
      </c>
      <c r="U374" s="15">
        <v>0.67590959392545558</v>
      </c>
      <c r="V374" s="15"/>
    </row>
    <row r="375" spans="1:22" x14ac:dyDescent="0.25">
      <c r="A375" s="166"/>
      <c r="B375" s="268" t="s">
        <v>67</v>
      </c>
      <c r="C375" s="524">
        <v>5.8199177476181614E-4</v>
      </c>
      <c r="D375" s="525">
        <v>0</v>
      </c>
      <c r="E375" s="525">
        <v>2.0615999875993984E-3</v>
      </c>
      <c r="F375" s="525">
        <v>5.9062218214607755E-2</v>
      </c>
      <c r="G375" s="525">
        <v>4.8445638037606431E-2</v>
      </c>
      <c r="H375" s="525">
        <v>1.5599803286938024E-2</v>
      </c>
      <c r="I375" s="525">
        <v>0</v>
      </c>
      <c r="J375" s="536">
        <v>1.7812823425537243E-2</v>
      </c>
      <c r="K375" s="536">
        <v>1.9504134725659445E-2</v>
      </c>
      <c r="L375" s="525">
        <v>1.9147017370536705E-4</v>
      </c>
      <c r="M375" s="525">
        <v>8.6301049158549803E-2</v>
      </c>
      <c r="N375" s="525">
        <v>5.745565777871417E-2</v>
      </c>
      <c r="O375" s="536">
        <v>2.5223214285714286E-2</v>
      </c>
      <c r="P375" s="165">
        <v>0</v>
      </c>
      <c r="Q375" s="525">
        <v>0</v>
      </c>
      <c r="R375" s="536">
        <v>0</v>
      </c>
      <c r="S375" s="536">
        <v>0</v>
      </c>
      <c r="T375" s="15">
        <v>0</v>
      </c>
      <c r="U375" s="15">
        <v>2.134765832960113E-2</v>
      </c>
      <c r="V375" s="15"/>
    </row>
    <row r="376" spans="1:22" x14ac:dyDescent="0.25">
      <c r="A376" s="166"/>
      <c r="B376" s="167" t="s">
        <v>68</v>
      </c>
      <c r="C376" s="168">
        <v>2.09742017318698E-4</v>
      </c>
      <c r="D376" s="169">
        <v>0</v>
      </c>
      <c r="E376" s="169">
        <v>1.7486207000512526E-3</v>
      </c>
      <c r="F376" s="169">
        <v>3.7216726524268585E-2</v>
      </c>
      <c r="G376" s="169">
        <v>5.3224030080622264E-2</v>
      </c>
      <c r="H376" s="169">
        <v>1.3214515637176837E-2</v>
      </c>
      <c r="I376" s="169">
        <v>0</v>
      </c>
      <c r="J376" s="170">
        <v>1.3255001011482618E-2</v>
      </c>
      <c r="K376" s="170">
        <v>1.769768132601459E-2</v>
      </c>
      <c r="L376" s="169">
        <v>5.7713793843368712E-4</v>
      </c>
      <c r="M376" s="169">
        <v>0.10306574231394094</v>
      </c>
      <c r="N376" s="169">
        <v>4.9884340186326995E-2</v>
      </c>
      <c r="O376" s="170">
        <v>2.4934661608642494E-2</v>
      </c>
      <c r="P376" s="170">
        <v>0</v>
      </c>
      <c r="Q376" s="169">
        <v>0</v>
      </c>
      <c r="R376" s="170">
        <v>0</v>
      </c>
      <c r="S376" s="170">
        <v>0</v>
      </c>
      <c r="T376" s="15">
        <v>0</v>
      </c>
      <c r="U376" s="15">
        <v>1.7912193686246421E-2</v>
      </c>
      <c r="V376" s="15"/>
    </row>
    <row r="377" spans="1:22" x14ac:dyDescent="0.25">
      <c r="A377" s="166"/>
      <c r="B377" s="207" t="s">
        <v>69</v>
      </c>
      <c r="C377" s="208">
        <v>-3.7224975744311814E-2</v>
      </c>
      <c r="D377" s="209">
        <v>0</v>
      </c>
      <c r="E377" s="209">
        <v>-3.1297928754814582E-2</v>
      </c>
      <c r="F377" s="209">
        <v>-2.1845491690339172</v>
      </c>
      <c r="G377" s="209">
        <v>0.47783920430158333</v>
      </c>
      <c r="H377" s="209">
        <v>-0.23852876497611875</v>
      </c>
      <c r="I377" s="209">
        <v>0</v>
      </c>
      <c r="J377" s="210">
        <v>-0.45578224140546253</v>
      </c>
      <c r="K377" s="210">
        <v>-0.18064533996448551</v>
      </c>
      <c r="L377" s="209">
        <v>3.8566776472832007E-2</v>
      </c>
      <c r="M377" s="209">
        <v>1.6764693155391142</v>
      </c>
      <c r="N377" s="209">
        <v>-0.75713175923871745</v>
      </c>
      <c r="O377" s="210">
        <v>-2.8855267707179194E-2</v>
      </c>
      <c r="P377" s="210">
        <v>0</v>
      </c>
      <c r="Q377" s="209">
        <v>0</v>
      </c>
      <c r="R377" s="210">
        <v>0</v>
      </c>
      <c r="S377" s="210">
        <v>0</v>
      </c>
      <c r="T377" s="15">
        <v>0</v>
      </c>
      <c r="U377" s="15">
        <v>-0.34354646433547087</v>
      </c>
      <c r="V377" s="15"/>
    </row>
    <row r="378" spans="1:22" x14ac:dyDescent="0.25">
      <c r="A378" s="166"/>
      <c r="B378" s="268" t="s">
        <v>70</v>
      </c>
      <c r="C378" s="524">
        <v>1.2081854564675678E-3</v>
      </c>
      <c r="D378" s="525">
        <v>0</v>
      </c>
      <c r="E378" s="525">
        <v>6.3105282828439403E-3</v>
      </c>
      <c r="F378" s="525">
        <v>0</v>
      </c>
      <c r="G378" s="525">
        <v>1.1667762473128696E-2</v>
      </c>
      <c r="H378" s="525">
        <v>0</v>
      </c>
      <c r="I378" s="525">
        <v>0</v>
      </c>
      <c r="J378" s="536">
        <v>5.3055741751801616E-3</v>
      </c>
      <c r="K378" s="536">
        <v>0</v>
      </c>
      <c r="L378" s="525">
        <v>7.2086820960659104E-2</v>
      </c>
      <c r="M378" s="525">
        <v>0.13806207839016502</v>
      </c>
      <c r="N378" s="525">
        <v>1.0300348807266429E-3</v>
      </c>
      <c r="O378" s="536">
        <v>5.2091686870570683E-2</v>
      </c>
      <c r="P378" s="165">
        <v>0</v>
      </c>
      <c r="Q378" s="525">
        <v>0</v>
      </c>
      <c r="R378" s="536">
        <v>0</v>
      </c>
      <c r="S378" s="536">
        <v>0</v>
      </c>
      <c r="T378" s="15">
        <v>0</v>
      </c>
      <c r="U378" s="15">
        <v>2.7623045318285525E-2</v>
      </c>
      <c r="V378" s="15"/>
    </row>
    <row r="379" spans="1:22" x14ac:dyDescent="0.25">
      <c r="A379" s="166"/>
      <c r="B379" s="167" t="s">
        <v>71</v>
      </c>
      <c r="C379" s="168">
        <v>2.2790149933763289E-3</v>
      </c>
      <c r="D379" s="169">
        <v>0</v>
      </c>
      <c r="E379" s="169">
        <v>6.4908232882227024E-3</v>
      </c>
      <c r="F379" s="169">
        <v>0</v>
      </c>
      <c r="G379" s="169">
        <v>1.0813450237048381E-2</v>
      </c>
      <c r="H379" s="169">
        <v>0</v>
      </c>
      <c r="I379" s="169">
        <v>0</v>
      </c>
      <c r="J379" s="170">
        <v>4.6607287503319574E-3</v>
      </c>
      <c r="K379" s="170">
        <v>0</v>
      </c>
      <c r="L379" s="169">
        <v>2.3406149725366198E-3</v>
      </c>
      <c r="M379" s="169">
        <v>2.1331216747485521E-3</v>
      </c>
      <c r="N379" s="169">
        <v>8.9819449088954424E-4</v>
      </c>
      <c r="O379" s="170">
        <v>1.6111781999492859E-3</v>
      </c>
      <c r="P379" s="170">
        <v>0</v>
      </c>
      <c r="Q379" s="169">
        <v>0</v>
      </c>
      <c r="R379" s="170">
        <v>0</v>
      </c>
      <c r="S379" s="170">
        <v>0</v>
      </c>
      <c r="T379" s="15">
        <v>0</v>
      </c>
      <c r="U379" s="15">
        <v>3.444739264471584E-3</v>
      </c>
      <c r="V379" s="15"/>
    </row>
    <row r="380" spans="1:22" x14ac:dyDescent="0.25">
      <c r="A380" s="166"/>
      <c r="B380" s="207" t="s">
        <v>72</v>
      </c>
      <c r="C380" s="208">
        <v>0.10708295369087611</v>
      </c>
      <c r="D380" s="209">
        <v>0</v>
      </c>
      <c r="E380" s="209">
        <v>1.8029500537876213E-2</v>
      </c>
      <c r="F380" s="209">
        <v>0</v>
      </c>
      <c r="G380" s="209">
        <v>-8.5431223608031445E-2</v>
      </c>
      <c r="H380" s="209">
        <v>0</v>
      </c>
      <c r="I380" s="209">
        <v>0</v>
      </c>
      <c r="J380" s="210">
        <v>-6.4484542484820412E-2</v>
      </c>
      <c r="K380" s="210">
        <v>0</v>
      </c>
      <c r="L380" s="530">
        <v>-6.9746205988122476</v>
      </c>
      <c r="M380" s="530">
        <v>-13.592895671541646</v>
      </c>
      <c r="N380" s="209">
        <v>-1.3184038983709862E-2</v>
      </c>
      <c r="O380" s="210">
        <v>-5.0480508670621402</v>
      </c>
      <c r="P380" s="210">
        <v>0</v>
      </c>
      <c r="Q380" s="209">
        <v>0</v>
      </c>
      <c r="R380" s="210">
        <v>0</v>
      </c>
      <c r="S380" s="210">
        <v>0</v>
      </c>
      <c r="T380" s="15">
        <v>0</v>
      </c>
      <c r="U380" s="15">
        <v>-2.4178306053813943</v>
      </c>
      <c r="V380" s="15"/>
    </row>
    <row r="381" spans="1:22" x14ac:dyDescent="0.25">
      <c r="A381" s="166"/>
      <c r="B381" s="268" t="s">
        <v>73</v>
      </c>
      <c r="C381" s="524">
        <v>1.036903067059818E-3</v>
      </c>
      <c r="D381" s="525">
        <v>0</v>
      </c>
      <c r="E381" s="525">
        <v>0</v>
      </c>
      <c r="F381" s="525">
        <v>0</v>
      </c>
      <c r="G381" s="525">
        <v>0</v>
      </c>
      <c r="H381" s="525">
        <v>0</v>
      </c>
      <c r="I381" s="525">
        <v>0</v>
      </c>
      <c r="J381" s="536">
        <v>2.9927244370568391E-4</v>
      </c>
      <c r="K381" s="536">
        <v>2.7539687330234804E-4</v>
      </c>
      <c r="L381" s="525">
        <v>4.7697599485183154E-4</v>
      </c>
      <c r="M381" s="525">
        <v>0</v>
      </c>
      <c r="N381" s="525">
        <v>0</v>
      </c>
      <c r="O381" s="536">
        <v>2.8790563222678105E-4</v>
      </c>
      <c r="P381" s="165">
        <v>0</v>
      </c>
      <c r="Q381" s="525">
        <v>0</v>
      </c>
      <c r="R381" s="536">
        <v>0</v>
      </c>
      <c r="S381" s="536">
        <v>0</v>
      </c>
      <c r="T381" s="15">
        <v>0</v>
      </c>
      <c r="U381" s="15">
        <v>2.9385035427454965E-4</v>
      </c>
      <c r="V381" s="15"/>
    </row>
    <row r="382" spans="1:22" x14ac:dyDescent="0.25">
      <c r="A382" s="166"/>
      <c r="B382" s="167" t="s">
        <v>74</v>
      </c>
      <c r="C382" s="168">
        <v>1.9330768609156193E-3</v>
      </c>
      <c r="D382" s="169">
        <v>0</v>
      </c>
      <c r="E382" s="169">
        <v>0</v>
      </c>
      <c r="F382" s="169">
        <v>0</v>
      </c>
      <c r="G382" s="169">
        <v>0</v>
      </c>
      <c r="H382" s="169">
        <v>0</v>
      </c>
      <c r="I382" s="169">
        <v>0</v>
      </c>
      <c r="J382" s="170">
        <v>8.8619197190825563E-4</v>
      </c>
      <c r="K382" s="170">
        <v>3.8573847702734498E-4</v>
      </c>
      <c r="L382" s="169">
        <v>5.1917750444568857E-4</v>
      </c>
      <c r="M382" s="169">
        <v>0</v>
      </c>
      <c r="N382" s="169">
        <v>0</v>
      </c>
      <c r="O382" s="170">
        <v>3.270057819141324E-4</v>
      </c>
      <c r="P382" s="170">
        <v>0</v>
      </c>
      <c r="Q382" s="169">
        <v>0</v>
      </c>
      <c r="R382" s="170">
        <v>0</v>
      </c>
      <c r="S382" s="170">
        <v>0</v>
      </c>
      <c r="T382" s="15">
        <v>0</v>
      </c>
      <c r="U382" s="15">
        <v>6.6321992522883587E-4</v>
      </c>
      <c r="V382" s="15"/>
    </row>
    <row r="383" spans="1:22" ht="15.75" thickBot="1" x14ac:dyDescent="0.3">
      <c r="A383" s="166"/>
      <c r="B383" s="531" t="s">
        <v>75</v>
      </c>
      <c r="C383" s="532">
        <v>8.9617379385580134E-2</v>
      </c>
      <c r="D383" s="533">
        <v>0</v>
      </c>
      <c r="E383" s="533">
        <v>0</v>
      </c>
      <c r="F383" s="533">
        <v>0</v>
      </c>
      <c r="G383" s="533">
        <v>0</v>
      </c>
      <c r="H383" s="533">
        <v>0</v>
      </c>
      <c r="I383" s="533">
        <v>0</v>
      </c>
      <c r="J383" s="537">
        <v>5.8691952820257173E-2</v>
      </c>
      <c r="K383" s="537">
        <v>1.1034160372499694E-2</v>
      </c>
      <c r="L383" s="533">
        <v>4.2201509593857035E-3</v>
      </c>
      <c r="M383" s="533">
        <v>0</v>
      </c>
      <c r="N383" s="533">
        <v>0</v>
      </c>
      <c r="O383" s="537">
        <v>3.9100149687351354E-3</v>
      </c>
      <c r="P383" s="537">
        <v>0</v>
      </c>
      <c r="Q383" s="533">
        <v>0</v>
      </c>
      <c r="R383" s="537">
        <v>0</v>
      </c>
      <c r="S383" s="537">
        <v>0</v>
      </c>
      <c r="T383" s="15">
        <v>0</v>
      </c>
      <c r="U383" s="15">
        <v>3.6936957095428623E-2</v>
      </c>
      <c r="V383" s="15"/>
    </row>
    <row r="384" spans="1:22" ht="15.75" thickTop="1" x14ac:dyDescent="0.25">
      <c r="A384" s="166"/>
      <c r="B384" s="167" t="s">
        <v>76</v>
      </c>
      <c r="C384" s="168">
        <v>0.61454221316694257</v>
      </c>
      <c r="D384" s="169">
        <v>0</v>
      </c>
      <c r="E384" s="169">
        <v>0.88183261510546607</v>
      </c>
      <c r="F384" s="169">
        <v>0.73660352922130479</v>
      </c>
      <c r="G384" s="169">
        <v>0.57693159176444542</v>
      </c>
      <c r="H384" s="169">
        <v>0</v>
      </c>
      <c r="I384" s="169">
        <v>0</v>
      </c>
      <c r="J384" s="170">
        <v>0.6742027905477872</v>
      </c>
      <c r="K384" s="170">
        <v>0</v>
      </c>
      <c r="L384" s="169">
        <v>0</v>
      </c>
      <c r="M384" s="169">
        <v>0</v>
      </c>
      <c r="N384" s="169">
        <v>0</v>
      </c>
      <c r="O384" s="170">
        <v>0</v>
      </c>
      <c r="P384" s="170">
        <v>0</v>
      </c>
      <c r="Q384" s="169">
        <v>0</v>
      </c>
      <c r="R384" s="170">
        <v>0</v>
      </c>
      <c r="S384" s="170">
        <v>0</v>
      </c>
      <c r="T384" s="15">
        <v>0</v>
      </c>
      <c r="U384" s="15">
        <v>0.6742027905477872</v>
      </c>
      <c r="V384" s="15"/>
    </row>
    <row r="385" spans="1:22" x14ac:dyDescent="0.25">
      <c r="A385" s="166"/>
      <c r="B385" s="167" t="s">
        <v>77</v>
      </c>
      <c r="C385" s="168">
        <v>0.65945243957619604</v>
      </c>
      <c r="D385" s="169">
        <v>0</v>
      </c>
      <c r="E385" s="169">
        <v>0.86854323853743476</v>
      </c>
      <c r="F385" s="169">
        <v>0.54497873732417401</v>
      </c>
      <c r="G385" s="169">
        <v>0.48545342328729224</v>
      </c>
      <c r="H385" s="169">
        <v>0</v>
      </c>
      <c r="I385" s="169">
        <v>0</v>
      </c>
      <c r="J385" s="170">
        <v>0.66391546785111855</v>
      </c>
      <c r="K385" s="170">
        <v>0</v>
      </c>
      <c r="L385" s="169">
        <v>0</v>
      </c>
      <c r="M385" s="169">
        <v>0</v>
      </c>
      <c r="N385" s="169">
        <v>0</v>
      </c>
      <c r="O385" s="170">
        <v>0</v>
      </c>
      <c r="P385" s="170">
        <v>0</v>
      </c>
      <c r="Q385" s="169">
        <v>0</v>
      </c>
      <c r="R385" s="170">
        <v>0</v>
      </c>
      <c r="S385" s="170">
        <v>0</v>
      </c>
      <c r="T385" s="15">
        <v>0</v>
      </c>
      <c r="U385" s="15">
        <v>0.66391546785111855</v>
      </c>
      <c r="V385" s="15"/>
    </row>
    <row r="386" spans="1:22" x14ac:dyDescent="0.25">
      <c r="A386" s="166"/>
      <c r="B386" s="207" t="s">
        <v>78</v>
      </c>
      <c r="C386" s="208">
        <v>4.4910226409253458</v>
      </c>
      <c r="D386" s="209">
        <v>0</v>
      </c>
      <c r="E386" s="209">
        <v>-1.3289376568031308</v>
      </c>
      <c r="F386" s="530">
        <v>-19.162479189713078</v>
      </c>
      <c r="G386" s="530">
        <v>-9.1478168477153172</v>
      </c>
      <c r="H386" s="209">
        <v>0</v>
      </c>
      <c r="I386" s="209">
        <v>0</v>
      </c>
      <c r="J386" s="210">
        <v>-1.0287322696668655</v>
      </c>
      <c r="K386" s="210">
        <v>0</v>
      </c>
      <c r="L386" s="209">
        <v>0</v>
      </c>
      <c r="M386" s="209">
        <v>0</v>
      </c>
      <c r="N386" s="209">
        <v>0</v>
      </c>
      <c r="O386" s="210">
        <v>0</v>
      </c>
      <c r="P386" s="210">
        <v>0</v>
      </c>
      <c r="Q386" s="209">
        <v>0</v>
      </c>
      <c r="R386" s="210">
        <v>0</v>
      </c>
      <c r="S386" s="210">
        <v>0</v>
      </c>
      <c r="T386" s="15">
        <v>0</v>
      </c>
      <c r="U386" s="15">
        <v>-1.0287322696668655</v>
      </c>
      <c r="V386" s="15"/>
    </row>
    <row r="387" spans="1:22" x14ac:dyDescent="0.25">
      <c r="A387" s="166"/>
      <c r="B387" s="268" t="s">
        <v>79</v>
      </c>
      <c r="C387" s="524">
        <v>0.20974998938834416</v>
      </c>
      <c r="D387" s="525">
        <v>0</v>
      </c>
      <c r="E387" s="525">
        <v>1.4639477102620672E-3</v>
      </c>
      <c r="F387" s="525">
        <v>0</v>
      </c>
      <c r="G387" s="525">
        <v>9.5397186386781251E-3</v>
      </c>
      <c r="H387" s="525">
        <v>0</v>
      </c>
      <c r="I387" s="525">
        <v>0</v>
      </c>
      <c r="J387" s="536">
        <v>0.10227141123570613</v>
      </c>
      <c r="K387" s="536">
        <v>0</v>
      </c>
      <c r="L387" s="525">
        <v>0</v>
      </c>
      <c r="M387" s="525">
        <v>0</v>
      </c>
      <c r="N387" s="525">
        <v>0</v>
      </c>
      <c r="O387" s="536">
        <v>0</v>
      </c>
      <c r="P387" s="165">
        <v>0</v>
      </c>
      <c r="Q387" s="525">
        <v>0</v>
      </c>
      <c r="R387" s="536">
        <v>0</v>
      </c>
      <c r="S387" s="536">
        <v>0</v>
      </c>
      <c r="T387" s="15">
        <v>0</v>
      </c>
      <c r="U387" s="15">
        <v>0.10227141123570613</v>
      </c>
      <c r="V387" s="15"/>
    </row>
    <row r="388" spans="1:22" x14ac:dyDescent="0.25">
      <c r="A388" s="166"/>
      <c r="B388" s="167" t="s">
        <v>80</v>
      </c>
      <c r="C388" s="168">
        <v>0.12472013774218002</v>
      </c>
      <c r="D388" s="169">
        <v>0</v>
      </c>
      <c r="E388" s="169">
        <v>9.9494237625404199E-4</v>
      </c>
      <c r="F388" s="169">
        <v>0</v>
      </c>
      <c r="G388" s="169">
        <v>5.4547002362355546E-2</v>
      </c>
      <c r="H388" s="169">
        <v>0</v>
      </c>
      <c r="I388" s="169">
        <v>0</v>
      </c>
      <c r="J388" s="170">
        <v>8.778423529931717E-2</v>
      </c>
      <c r="K388" s="170">
        <v>0</v>
      </c>
      <c r="L388" s="169">
        <v>0</v>
      </c>
      <c r="M388" s="169">
        <v>0</v>
      </c>
      <c r="N388" s="169">
        <v>0</v>
      </c>
      <c r="O388" s="170">
        <v>0</v>
      </c>
      <c r="P388" s="170">
        <v>0</v>
      </c>
      <c r="Q388" s="169">
        <v>0</v>
      </c>
      <c r="R388" s="170">
        <v>0</v>
      </c>
      <c r="S388" s="170">
        <v>0</v>
      </c>
      <c r="T388" s="15">
        <v>0</v>
      </c>
      <c r="U388" s="15">
        <v>8.778423529931717E-2</v>
      </c>
      <c r="V388" s="15"/>
    </row>
    <row r="389" spans="1:22" x14ac:dyDescent="0.25">
      <c r="A389" s="166"/>
      <c r="B389" s="207" t="s">
        <v>81</v>
      </c>
      <c r="C389" s="534">
        <v>-8.5029851646164136</v>
      </c>
      <c r="D389" s="209">
        <v>0</v>
      </c>
      <c r="E389" s="209">
        <v>-4.6900533400802524E-2</v>
      </c>
      <c r="F389" s="209">
        <v>0</v>
      </c>
      <c r="G389" s="209">
        <v>4.5007283723677416</v>
      </c>
      <c r="H389" s="209">
        <v>0</v>
      </c>
      <c r="I389" s="209">
        <v>0</v>
      </c>
      <c r="J389" s="210">
        <v>-1.4487175936388956</v>
      </c>
      <c r="K389" s="210">
        <v>0</v>
      </c>
      <c r="L389" s="209">
        <v>0</v>
      </c>
      <c r="M389" s="209">
        <v>0</v>
      </c>
      <c r="N389" s="209">
        <v>0</v>
      </c>
      <c r="O389" s="210">
        <v>0</v>
      </c>
      <c r="P389" s="210">
        <v>0</v>
      </c>
      <c r="Q389" s="209">
        <v>0</v>
      </c>
      <c r="R389" s="210">
        <v>0</v>
      </c>
      <c r="S389" s="210">
        <v>0</v>
      </c>
      <c r="T389" s="15">
        <v>0</v>
      </c>
      <c r="U389" s="15">
        <v>-1.4487175936388956</v>
      </c>
      <c r="V389" s="15"/>
    </row>
    <row r="390" spans="1:22" x14ac:dyDescent="0.25">
      <c r="A390" s="166"/>
      <c r="B390" s="268" t="s">
        <v>82</v>
      </c>
      <c r="C390" s="524">
        <v>0.14515684027335626</v>
      </c>
      <c r="D390" s="525">
        <v>0</v>
      </c>
      <c r="E390" s="525">
        <v>6.6434359471329307E-2</v>
      </c>
      <c r="F390" s="525">
        <v>0.22502833090497004</v>
      </c>
      <c r="G390" s="525">
        <v>0.24247791172741362</v>
      </c>
      <c r="H390" s="525">
        <v>0</v>
      </c>
      <c r="I390" s="525">
        <v>0</v>
      </c>
      <c r="J390" s="536">
        <v>0.15276511966324099</v>
      </c>
      <c r="K390" s="536">
        <v>0</v>
      </c>
      <c r="L390" s="525">
        <v>0</v>
      </c>
      <c r="M390" s="525">
        <v>0</v>
      </c>
      <c r="N390" s="525">
        <v>0</v>
      </c>
      <c r="O390" s="536">
        <v>0</v>
      </c>
      <c r="P390" s="165">
        <v>0</v>
      </c>
      <c r="Q390" s="525">
        <v>0</v>
      </c>
      <c r="R390" s="536">
        <v>0</v>
      </c>
      <c r="S390" s="536">
        <v>0</v>
      </c>
      <c r="T390" s="15">
        <v>0</v>
      </c>
      <c r="U390" s="15">
        <v>0.15276511966324099</v>
      </c>
      <c r="V390" s="15"/>
    </row>
    <row r="391" spans="1:22" x14ac:dyDescent="0.25">
      <c r="A391" s="166"/>
      <c r="B391" s="167" t="s">
        <v>83</v>
      </c>
      <c r="C391" s="168">
        <v>0.19795737279121836</v>
      </c>
      <c r="D391" s="169">
        <v>0</v>
      </c>
      <c r="E391" s="169">
        <v>8.3264240112760138E-2</v>
      </c>
      <c r="F391" s="169">
        <v>0.44275433431468758</v>
      </c>
      <c r="G391" s="169">
        <v>0.29056973205354675</v>
      </c>
      <c r="H391" s="169">
        <v>0</v>
      </c>
      <c r="I391" s="169">
        <v>0</v>
      </c>
      <c r="J391" s="170">
        <v>0.19911755390066221</v>
      </c>
      <c r="K391" s="170">
        <v>0</v>
      </c>
      <c r="L391" s="169">
        <v>0</v>
      </c>
      <c r="M391" s="169">
        <v>0</v>
      </c>
      <c r="N391" s="169">
        <v>0</v>
      </c>
      <c r="O391" s="170">
        <v>0</v>
      </c>
      <c r="P391" s="170">
        <v>0</v>
      </c>
      <c r="Q391" s="169">
        <v>0</v>
      </c>
      <c r="R391" s="170">
        <v>0</v>
      </c>
      <c r="S391" s="170">
        <v>0</v>
      </c>
      <c r="T391" s="15">
        <v>0</v>
      </c>
      <c r="U391" s="15">
        <v>0.19911755390066221</v>
      </c>
      <c r="V391" s="15"/>
    </row>
    <row r="392" spans="1:22" x14ac:dyDescent="0.25">
      <c r="A392" s="166"/>
      <c r="B392" s="207" t="s">
        <v>84</v>
      </c>
      <c r="C392" s="208">
        <v>5.2800532517862102</v>
      </c>
      <c r="D392" s="209">
        <v>0</v>
      </c>
      <c r="E392" s="209">
        <v>1.682988064143083</v>
      </c>
      <c r="F392" s="530">
        <v>21.772600340971753</v>
      </c>
      <c r="G392" s="209">
        <v>4.8091820326133128</v>
      </c>
      <c r="H392" s="209">
        <v>0</v>
      </c>
      <c r="I392" s="209">
        <v>0</v>
      </c>
      <c r="J392" s="210">
        <v>4.6352434237421223</v>
      </c>
      <c r="K392" s="210">
        <v>0</v>
      </c>
      <c r="L392" s="209">
        <v>0</v>
      </c>
      <c r="M392" s="209">
        <v>0</v>
      </c>
      <c r="N392" s="209">
        <v>0</v>
      </c>
      <c r="O392" s="210">
        <v>0</v>
      </c>
      <c r="P392" s="210">
        <v>0</v>
      </c>
      <c r="Q392" s="209">
        <v>0</v>
      </c>
      <c r="R392" s="210">
        <v>0</v>
      </c>
      <c r="S392" s="210">
        <v>0</v>
      </c>
      <c r="T392" s="15">
        <v>0</v>
      </c>
      <c r="U392" s="15">
        <v>4.6352434237421223</v>
      </c>
      <c r="V392" s="15"/>
    </row>
    <row r="393" spans="1:22" x14ac:dyDescent="0.25">
      <c r="A393" s="166"/>
      <c r="B393" s="268" t="s">
        <v>85</v>
      </c>
      <c r="C393" s="524">
        <v>6.0486438303832928E-3</v>
      </c>
      <c r="D393" s="525">
        <v>0</v>
      </c>
      <c r="E393" s="525">
        <v>1.0020825171653024E-2</v>
      </c>
      <c r="F393" s="525">
        <v>3.8368139873725109E-2</v>
      </c>
      <c r="G393" s="525">
        <v>0.15668082194537808</v>
      </c>
      <c r="H393" s="525">
        <v>0</v>
      </c>
      <c r="I393" s="525">
        <v>0</v>
      </c>
      <c r="J393" s="536">
        <v>4.5710199950654333E-2</v>
      </c>
      <c r="K393" s="536">
        <v>0</v>
      </c>
      <c r="L393" s="525">
        <v>0</v>
      </c>
      <c r="M393" s="525">
        <v>0</v>
      </c>
      <c r="N393" s="525">
        <v>0</v>
      </c>
      <c r="O393" s="536">
        <v>0</v>
      </c>
      <c r="P393" s="165">
        <v>0</v>
      </c>
      <c r="Q393" s="525">
        <v>0</v>
      </c>
      <c r="R393" s="536">
        <v>0</v>
      </c>
      <c r="S393" s="536">
        <v>0</v>
      </c>
      <c r="T393" s="15">
        <v>0</v>
      </c>
      <c r="U393" s="15">
        <v>4.5710199950654333E-2</v>
      </c>
      <c r="V393" s="15"/>
    </row>
    <row r="394" spans="1:22" x14ac:dyDescent="0.25">
      <c r="A394" s="166"/>
      <c r="B394" s="167" t="s">
        <v>86</v>
      </c>
      <c r="C394" s="168">
        <v>1.5748679285198005E-3</v>
      </c>
      <c r="D394" s="169">
        <v>0</v>
      </c>
      <c r="E394" s="169">
        <v>1.7204211922726143E-2</v>
      </c>
      <c r="F394" s="169">
        <v>1.2266928361138371E-2</v>
      </c>
      <c r="G394" s="169">
        <v>0.15212718411475515</v>
      </c>
      <c r="H394" s="169">
        <v>0</v>
      </c>
      <c r="I394" s="169">
        <v>0</v>
      </c>
      <c r="J394" s="170">
        <v>3.064621866690238E-2</v>
      </c>
      <c r="K394" s="170">
        <v>0</v>
      </c>
      <c r="L394" s="169">
        <v>0</v>
      </c>
      <c r="M394" s="169">
        <v>0</v>
      </c>
      <c r="N394" s="169">
        <v>0</v>
      </c>
      <c r="O394" s="170">
        <v>0</v>
      </c>
      <c r="P394" s="170">
        <v>0</v>
      </c>
      <c r="Q394" s="169">
        <v>0</v>
      </c>
      <c r="R394" s="170">
        <v>0</v>
      </c>
      <c r="S394" s="170">
        <v>0</v>
      </c>
      <c r="T394" s="15">
        <v>0</v>
      </c>
      <c r="U394" s="15">
        <v>3.064621866690238E-2</v>
      </c>
      <c r="V394" s="15"/>
    </row>
    <row r="395" spans="1:22" x14ac:dyDescent="0.25">
      <c r="A395" s="166"/>
      <c r="B395" s="207" t="s">
        <v>87</v>
      </c>
      <c r="C395" s="208">
        <v>-0.44737759018634921</v>
      </c>
      <c r="D395" s="209">
        <v>0</v>
      </c>
      <c r="E395" s="209">
        <v>0.71833867510731186</v>
      </c>
      <c r="F395" s="209">
        <v>-2.6101211512586735</v>
      </c>
      <c r="G395" s="209">
        <v>-0.45536378306229308</v>
      </c>
      <c r="H395" s="209">
        <v>0</v>
      </c>
      <c r="I395" s="209">
        <v>0</v>
      </c>
      <c r="J395" s="210">
        <v>-1.5063981283751953</v>
      </c>
      <c r="K395" s="210">
        <v>0</v>
      </c>
      <c r="L395" s="209">
        <v>0</v>
      </c>
      <c r="M395" s="209">
        <v>0</v>
      </c>
      <c r="N395" s="209">
        <v>0</v>
      </c>
      <c r="O395" s="210">
        <v>0</v>
      </c>
      <c r="P395" s="210">
        <v>0</v>
      </c>
      <c r="Q395" s="209">
        <v>0</v>
      </c>
      <c r="R395" s="210">
        <v>0</v>
      </c>
      <c r="S395" s="210">
        <v>0</v>
      </c>
      <c r="T395" s="15">
        <v>0</v>
      </c>
      <c r="U395" s="15">
        <v>-1.5063981283751953</v>
      </c>
      <c r="V395" s="15"/>
    </row>
    <row r="396" spans="1:22" x14ac:dyDescent="0.25">
      <c r="A396" s="166"/>
      <c r="B396" s="268" t="s">
        <v>88</v>
      </c>
      <c r="C396" s="524">
        <v>2.4502313340973726E-2</v>
      </c>
      <c r="D396" s="525">
        <v>0</v>
      </c>
      <c r="E396" s="525">
        <v>4.0248252541289511E-2</v>
      </c>
      <c r="F396" s="525">
        <v>0</v>
      </c>
      <c r="G396" s="525">
        <v>1.4369955924084771E-2</v>
      </c>
      <c r="H396" s="525">
        <v>0</v>
      </c>
      <c r="I396" s="525">
        <v>0</v>
      </c>
      <c r="J396" s="536">
        <v>2.5050478602611292E-2</v>
      </c>
      <c r="K396" s="536">
        <v>0</v>
      </c>
      <c r="L396" s="525">
        <v>0</v>
      </c>
      <c r="M396" s="525">
        <v>0</v>
      </c>
      <c r="N396" s="525">
        <v>0</v>
      </c>
      <c r="O396" s="536">
        <v>0</v>
      </c>
      <c r="P396" s="165">
        <v>0</v>
      </c>
      <c r="Q396" s="525">
        <v>0</v>
      </c>
      <c r="R396" s="536">
        <v>0</v>
      </c>
      <c r="S396" s="536">
        <v>0</v>
      </c>
      <c r="T396" s="15">
        <v>0</v>
      </c>
      <c r="U396" s="15">
        <v>2.5050478602611292E-2</v>
      </c>
      <c r="V396" s="15"/>
    </row>
    <row r="397" spans="1:22" x14ac:dyDescent="0.25">
      <c r="A397" s="166"/>
      <c r="B397" s="167" t="s">
        <v>89</v>
      </c>
      <c r="C397" s="168">
        <v>1.3903498204768088E-2</v>
      </c>
      <c r="D397" s="169">
        <v>0</v>
      </c>
      <c r="E397" s="169">
        <v>2.9993367050824973E-2</v>
      </c>
      <c r="F397" s="169">
        <v>0</v>
      </c>
      <c r="G397" s="169">
        <v>1.7302658182050356E-2</v>
      </c>
      <c r="H397" s="169">
        <v>0</v>
      </c>
      <c r="I397" s="169">
        <v>0</v>
      </c>
      <c r="J397" s="170">
        <v>1.7037544472189688E-2</v>
      </c>
      <c r="K397" s="170">
        <v>0</v>
      </c>
      <c r="L397" s="169">
        <v>0</v>
      </c>
      <c r="M397" s="169">
        <v>0</v>
      </c>
      <c r="N397" s="169">
        <v>0</v>
      </c>
      <c r="O397" s="170">
        <v>0</v>
      </c>
      <c r="P397" s="170">
        <v>0</v>
      </c>
      <c r="Q397" s="169">
        <v>0</v>
      </c>
      <c r="R397" s="170">
        <v>0</v>
      </c>
      <c r="S397" s="170">
        <v>0</v>
      </c>
      <c r="T397" s="15">
        <v>0</v>
      </c>
      <c r="U397" s="15">
        <v>1.7037544472189688E-2</v>
      </c>
      <c r="V397" s="15"/>
    </row>
    <row r="398" spans="1:22" x14ac:dyDescent="0.25">
      <c r="A398" s="166"/>
      <c r="B398" s="207" t="s">
        <v>90</v>
      </c>
      <c r="C398" s="208">
        <v>-1.0598815136205637</v>
      </c>
      <c r="D398" s="209">
        <v>0</v>
      </c>
      <c r="E398" s="209">
        <v>-1.0254885490464538</v>
      </c>
      <c r="F398" s="209">
        <v>0</v>
      </c>
      <c r="G398" s="209">
        <v>0.29327022579655854</v>
      </c>
      <c r="H398" s="209">
        <v>0</v>
      </c>
      <c r="I398" s="209">
        <v>0</v>
      </c>
      <c r="J398" s="210">
        <v>-0.80129341304216029</v>
      </c>
      <c r="K398" s="210">
        <v>0</v>
      </c>
      <c r="L398" s="209">
        <v>0</v>
      </c>
      <c r="M398" s="209">
        <v>0</v>
      </c>
      <c r="N398" s="209">
        <v>0</v>
      </c>
      <c r="O398" s="210">
        <v>0</v>
      </c>
      <c r="P398" s="210">
        <v>0</v>
      </c>
      <c r="Q398" s="209">
        <v>0</v>
      </c>
      <c r="R398" s="210">
        <v>0</v>
      </c>
      <c r="S398" s="210">
        <v>0</v>
      </c>
      <c r="T398" s="15">
        <v>0</v>
      </c>
      <c r="U398" s="15">
        <v>-0.80129341304216029</v>
      </c>
      <c r="V398" s="15"/>
    </row>
    <row r="399" spans="1:22" x14ac:dyDescent="0.25">
      <c r="A399" s="166"/>
      <c r="B399" s="268" t="s">
        <v>91</v>
      </c>
      <c r="C399" s="524">
        <v>0</v>
      </c>
      <c r="D399" s="525">
        <v>0</v>
      </c>
      <c r="E399" s="525">
        <v>0</v>
      </c>
      <c r="F399" s="525">
        <v>0</v>
      </c>
      <c r="G399" s="525">
        <v>0</v>
      </c>
      <c r="H399" s="525">
        <v>0</v>
      </c>
      <c r="I399" s="525">
        <v>0</v>
      </c>
      <c r="J399" s="536">
        <v>0</v>
      </c>
      <c r="K399" s="536">
        <v>0</v>
      </c>
      <c r="L399" s="525">
        <v>0</v>
      </c>
      <c r="M399" s="525">
        <v>0</v>
      </c>
      <c r="N399" s="525">
        <v>0</v>
      </c>
      <c r="O399" s="536">
        <v>0</v>
      </c>
      <c r="P399" s="165">
        <v>0</v>
      </c>
      <c r="Q399" s="525">
        <v>0</v>
      </c>
      <c r="R399" s="536">
        <v>0</v>
      </c>
      <c r="S399" s="536">
        <v>0</v>
      </c>
      <c r="T399" s="15">
        <v>0</v>
      </c>
      <c r="U399" s="15">
        <v>0</v>
      </c>
      <c r="V399" s="15"/>
    </row>
    <row r="400" spans="1:22" x14ac:dyDescent="0.25">
      <c r="A400" s="166"/>
      <c r="B400" s="167" t="s">
        <v>92</v>
      </c>
      <c r="C400" s="168">
        <v>2.3916837571177564E-3</v>
      </c>
      <c r="D400" s="169">
        <v>0</v>
      </c>
      <c r="E400" s="169">
        <v>0</v>
      </c>
      <c r="F400" s="169">
        <v>0</v>
      </c>
      <c r="G400" s="169">
        <v>0</v>
      </c>
      <c r="H400" s="169">
        <v>0</v>
      </c>
      <c r="I400" s="169">
        <v>0</v>
      </c>
      <c r="J400" s="170">
        <v>1.498979809810031E-3</v>
      </c>
      <c r="K400" s="170">
        <v>0</v>
      </c>
      <c r="L400" s="169">
        <v>0</v>
      </c>
      <c r="M400" s="169">
        <v>0</v>
      </c>
      <c r="N400" s="169">
        <v>0</v>
      </c>
      <c r="O400" s="170">
        <v>0</v>
      </c>
      <c r="P400" s="170">
        <v>0</v>
      </c>
      <c r="Q400" s="169">
        <v>0</v>
      </c>
      <c r="R400" s="170">
        <v>0</v>
      </c>
      <c r="S400" s="170">
        <v>0</v>
      </c>
      <c r="T400" s="15">
        <v>0</v>
      </c>
      <c r="U400" s="15">
        <v>1.498979809810031E-3</v>
      </c>
      <c r="V400" s="15"/>
    </row>
    <row r="401" spans="1:22" ht="15.75" thickBot="1" x14ac:dyDescent="0.3">
      <c r="A401" s="540"/>
      <c r="B401" s="541" t="s">
        <v>93</v>
      </c>
      <c r="C401" s="542">
        <v>0</v>
      </c>
      <c r="D401" s="543">
        <v>0</v>
      </c>
      <c r="E401" s="543">
        <v>0</v>
      </c>
      <c r="F401" s="543">
        <v>0</v>
      </c>
      <c r="G401" s="543">
        <v>0</v>
      </c>
      <c r="H401" s="543">
        <v>0</v>
      </c>
      <c r="I401" s="543">
        <v>0</v>
      </c>
      <c r="J401" s="544">
        <v>0</v>
      </c>
      <c r="K401" s="544">
        <v>0</v>
      </c>
      <c r="L401" s="543">
        <v>0</v>
      </c>
      <c r="M401" s="543">
        <v>0</v>
      </c>
      <c r="N401" s="543">
        <v>0</v>
      </c>
      <c r="O401" s="544">
        <v>0</v>
      </c>
      <c r="P401" s="544">
        <v>0</v>
      </c>
      <c r="Q401" s="543">
        <v>0</v>
      </c>
      <c r="R401" s="544">
        <v>0</v>
      </c>
      <c r="S401" s="544">
        <v>0</v>
      </c>
      <c r="T401" s="15">
        <v>0</v>
      </c>
      <c r="U401" s="15">
        <v>0</v>
      </c>
      <c r="V401" s="15"/>
    </row>
    <row r="402" spans="1:22" x14ac:dyDescent="0.25">
      <c r="A402" s="523" t="s">
        <v>50</v>
      </c>
      <c r="B402" s="268" t="s">
        <v>59</v>
      </c>
      <c r="C402" s="524">
        <v>0.93402853695991606</v>
      </c>
      <c r="D402" s="525">
        <v>0</v>
      </c>
      <c r="E402" s="525">
        <v>0.98377612214781351</v>
      </c>
      <c r="F402" s="525">
        <v>0.9902708388114646</v>
      </c>
      <c r="G402" s="525">
        <v>0.95519819517071181</v>
      </c>
      <c r="H402" s="525">
        <v>0.87677108728693398</v>
      </c>
      <c r="I402" s="525">
        <v>0</v>
      </c>
      <c r="J402" s="536">
        <v>0.93971015512191503</v>
      </c>
      <c r="K402" s="536">
        <v>0</v>
      </c>
      <c r="L402" s="525">
        <v>0.75340309623718282</v>
      </c>
      <c r="M402" s="525">
        <v>0.77230911877166653</v>
      </c>
      <c r="N402" s="525">
        <v>0.86163715731842472</v>
      </c>
      <c r="O402" s="536">
        <v>0.76839233971132204</v>
      </c>
      <c r="P402" s="165">
        <v>0</v>
      </c>
      <c r="Q402" s="525">
        <v>0</v>
      </c>
      <c r="R402" s="536">
        <v>0</v>
      </c>
      <c r="S402" s="536">
        <v>0</v>
      </c>
      <c r="T402" s="15">
        <v>0</v>
      </c>
      <c r="U402" s="15">
        <v>0.85351171133643422</v>
      </c>
      <c r="V402" s="15"/>
    </row>
    <row r="403" spans="1:22" x14ac:dyDescent="0.25">
      <c r="A403" s="166"/>
      <c r="B403" s="167" t="s">
        <v>60</v>
      </c>
      <c r="C403" s="168">
        <v>0.9321010119935369</v>
      </c>
      <c r="D403" s="169">
        <v>0</v>
      </c>
      <c r="E403" s="169">
        <v>0.97733185057588845</v>
      </c>
      <c r="F403" s="169">
        <v>0.9831529867159321</v>
      </c>
      <c r="G403" s="169">
        <v>0.95006142038722019</v>
      </c>
      <c r="H403" s="169">
        <v>0.87249627338687086</v>
      </c>
      <c r="I403" s="169">
        <v>0</v>
      </c>
      <c r="J403" s="170">
        <v>0.93615733510800692</v>
      </c>
      <c r="K403" s="170">
        <v>0</v>
      </c>
      <c r="L403" s="169">
        <v>0.74455512172506866</v>
      </c>
      <c r="M403" s="169">
        <v>0.76529336633683609</v>
      </c>
      <c r="N403" s="169">
        <v>0.88054657140685577</v>
      </c>
      <c r="O403" s="170">
        <v>0.76296777394358428</v>
      </c>
      <c r="P403" s="170">
        <v>0</v>
      </c>
      <c r="Q403" s="169">
        <v>0</v>
      </c>
      <c r="R403" s="170">
        <v>0</v>
      </c>
      <c r="S403" s="170">
        <v>0</v>
      </c>
      <c r="T403" s="15">
        <v>0</v>
      </c>
      <c r="U403" s="15">
        <v>0.8493840939388575</v>
      </c>
      <c r="V403" s="15"/>
    </row>
    <row r="404" spans="1:22" x14ac:dyDescent="0.25">
      <c r="A404" s="166"/>
      <c r="B404" s="207" t="s">
        <v>772</v>
      </c>
      <c r="C404" s="208">
        <v>-0.19275249663791572</v>
      </c>
      <c r="D404" s="209">
        <v>0</v>
      </c>
      <c r="E404" s="209">
        <v>-0.64442715719250643</v>
      </c>
      <c r="F404" s="209">
        <v>-0.71178520955325064</v>
      </c>
      <c r="G404" s="209">
        <v>-0.51367747834916155</v>
      </c>
      <c r="H404" s="209">
        <v>-0.42748139000631236</v>
      </c>
      <c r="I404" s="209">
        <v>0</v>
      </c>
      <c r="J404" s="210">
        <v>-0.3552820013908109</v>
      </c>
      <c r="K404" s="210">
        <v>0</v>
      </c>
      <c r="L404" s="209">
        <v>-0.88479745121141651</v>
      </c>
      <c r="M404" s="209">
        <v>-0.70157524348304356</v>
      </c>
      <c r="N404" s="209">
        <v>1.8909414088431054</v>
      </c>
      <c r="O404" s="210">
        <v>-0.54245657677377546</v>
      </c>
      <c r="P404" s="210">
        <v>0</v>
      </c>
      <c r="Q404" s="209">
        <v>0</v>
      </c>
      <c r="R404" s="210">
        <v>0</v>
      </c>
      <c r="S404" s="210">
        <v>0</v>
      </c>
      <c r="T404" s="15">
        <v>0</v>
      </c>
      <c r="U404" s="15">
        <v>-0.41276173975767216</v>
      </c>
      <c r="V404" s="15"/>
    </row>
    <row r="405" spans="1:22" x14ac:dyDescent="0.25">
      <c r="A405" s="166"/>
      <c r="B405" s="268" t="s">
        <v>61</v>
      </c>
      <c r="C405" s="524">
        <v>2.6395959107484757E-2</v>
      </c>
      <c r="D405" s="525">
        <v>0</v>
      </c>
      <c r="E405" s="525">
        <v>6.880682506290846E-3</v>
      </c>
      <c r="F405" s="525">
        <v>2.640935645771645E-3</v>
      </c>
      <c r="G405" s="525">
        <v>5.2334056092690146E-3</v>
      </c>
      <c r="H405" s="525">
        <v>6.211173788418186E-2</v>
      </c>
      <c r="I405" s="525">
        <v>0</v>
      </c>
      <c r="J405" s="536">
        <v>2.3792915467446673E-2</v>
      </c>
      <c r="K405" s="536">
        <v>0</v>
      </c>
      <c r="L405" s="525">
        <v>4.6288293928825906E-2</v>
      </c>
      <c r="M405" s="525">
        <v>6.6203213871148234E-2</v>
      </c>
      <c r="N405" s="525">
        <v>3.8073048815140002E-2</v>
      </c>
      <c r="O405" s="536">
        <v>4.9863870826129336E-2</v>
      </c>
      <c r="P405" s="165">
        <v>0</v>
      </c>
      <c r="Q405" s="525">
        <v>0</v>
      </c>
      <c r="R405" s="536">
        <v>0</v>
      </c>
      <c r="S405" s="536">
        <v>0</v>
      </c>
      <c r="T405" s="15">
        <v>0</v>
      </c>
      <c r="U405" s="15">
        <v>3.6910499149757831E-2</v>
      </c>
      <c r="V405" s="15"/>
    </row>
    <row r="406" spans="1:22" x14ac:dyDescent="0.25">
      <c r="A406" s="166"/>
      <c r="B406" s="167" t="s">
        <v>62</v>
      </c>
      <c r="C406" s="168">
        <v>1.887031775784612E-2</v>
      </c>
      <c r="D406" s="169">
        <v>0</v>
      </c>
      <c r="E406" s="169">
        <v>8.2783624109988036E-3</v>
      </c>
      <c r="F406" s="169">
        <v>2.3752969121140144E-3</v>
      </c>
      <c r="G406" s="169">
        <v>4.7614388676907021E-3</v>
      </c>
      <c r="H406" s="169">
        <v>5.4896210422580992E-2</v>
      </c>
      <c r="I406" s="169">
        <v>0</v>
      </c>
      <c r="J406" s="170">
        <v>1.927708701388833E-2</v>
      </c>
      <c r="K406" s="170">
        <v>0</v>
      </c>
      <c r="L406" s="169">
        <v>4.6933858905758241E-2</v>
      </c>
      <c r="M406" s="169">
        <v>6.826143871169052E-2</v>
      </c>
      <c r="N406" s="169">
        <v>3.3006771050456768E-2</v>
      </c>
      <c r="O406" s="170">
        <v>4.9928996617953039E-2</v>
      </c>
      <c r="P406" s="170">
        <v>0</v>
      </c>
      <c r="Q406" s="169">
        <v>0</v>
      </c>
      <c r="R406" s="170">
        <v>0</v>
      </c>
      <c r="S406" s="170">
        <v>0</v>
      </c>
      <c r="T406" s="15">
        <v>0</v>
      </c>
      <c r="U406" s="15">
        <v>3.4634626616655395E-2</v>
      </c>
      <c r="V406" s="15"/>
    </row>
    <row r="407" spans="1:22" x14ac:dyDescent="0.25">
      <c r="A407" s="166"/>
      <c r="B407" s="207" t="s">
        <v>63</v>
      </c>
      <c r="C407" s="208">
        <v>-0.75256413496386365</v>
      </c>
      <c r="D407" s="209">
        <v>0</v>
      </c>
      <c r="E407" s="209">
        <v>0.13976799047079577</v>
      </c>
      <c r="F407" s="209">
        <v>-2.6563873365763064E-2</v>
      </c>
      <c r="G407" s="209">
        <v>-4.7196674157831256E-2</v>
      </c>
      <c r="H407" s="209">
        <v>-0.7215527461600868</v>
      </c>
      <c r="I407" s="209">
        <v>0</v>
      </c>
      <c r="J407" s="210">
        <v>-0.45158284535583432</v>
      </c>
      <c r="K407" s="210">
        <v>0</v>
      </c>
      <c r="L407" s="209">
        <v>6.4556497693233489E-2</v>
      </c>
      <c r="M407" s="209">
        <v>0.20582248405422859</v>
      </c>
      <c r="N407" s="209">
        <v>-0.50662777646832347</v>
      </c>
      <c r="O407" s="210">
        <v>6.5125791823703039E-3</v>
      </c>
      <c r="P407" s="210">
        <v>0</v>
      </c>
      <c r="Q407" s="209">
        <v>0</v>
      </c>
      <c r="R407" s="210">
        <v>0</v>
      </c>
      <c r="S407" s="210">
        <v>0</v>
      </c>
      <c r="T407" s="15">
        <v>0</v>
      </c>
      <c r="U407" s="15">
        <v>-0.22758725331024354</v>
      </c>
      <c r="V407" s="15"/>
    </row>
    <row r="408" spans="1:22" x14ac:dyDescent="0.25">
      <c r="A408" s="166"/>
      <c r="B408" s="268" t="s">
        <v>64</v>
      </c>
      <c r="C408" s="524">
        <v>3.5269494296809423E-2</v>
      </c>
      <c r="D408" s="525">
        <v>0</v>
      </c>
      <c r="E408" s="525">
        <v>9.3431953458955868E-3</v>
      </c>
      <c r="F408" s="525">
        <v>7.0882255427637221E-3</v>
      </c>
      <c r="G408" s="525">
        <v>3.7828211587980075E-2</v>
      </c>
      <c r="H408" s="525">
        <v>6.0650495241398303E-2</v>
      </c>
      <c r="I408" s="525">
        <v>0</v>
      </c>
      <c r="J408" s="536">
        <v>3.4145188172515731E-2</v>
      </c>
      <c r="K408" s="536">
        <v>0</v>
      </c>
      <c r="L408" s="525">
        <v>0.18997548840444264</v>
      </c>
      <c r="M408" s="525">
        <v>0.14897558506089537</v>
      </c>
      <c r="N408" s="525">
        <v>8.089219530690106E-2</v>
      </c>
      <c r="O408" s="536">
        <v>0.17002384842645907</v>
      </c>
      <c r="P408" s="165">
        <v>0</v>
      </c>
      <c r="Q408" s="525">
        <v>0</v>
      </c>
      <c r="R408" s="536">
        <v>0</v>
      </c>
      <c r="S408" s="536">
        <v>0</v>
      </c>
      <c r="T408" s="15">
        <v>0</v>
      </c>
      <c r="U408" s="15">
        <v>0.10251244483799955</v>
      </c>
      <c r="V408" s="15"/>
    </row>
    <row r="409" spans="1:22" x14ac:dyDescent="0.25">
      <c r="A409" s="166"/>
      <c r="B409" s="167" t="s">
        <v>65</v>
      </c>
      <c r="C409" s="168">
        <v>4.5718364528246201E-2</v>
      </c>
      <c r="D409" s="169">
        <v>0</v>
      </c>
      <c r="E409" s="169">
        <v>1.4389787013112724E-2</v>
      </c>
      <c r="F409" s="169">
        <v>1.3778921439253982E-2</v>
      </c>
      <c r="G409" s="169">
        <v>4.5177140745089085E-2</v>
      </c>
      <c r="H409" s="169">
        <v>7.2342392447030029E-2</v>
      </c>
      <c r="I409" s="169">
        <v>0</v>
      </c>
      <c r="J409" s="170">
        <v>4.2964128800089325E-2</v>
      </c>
      <c r="K409" s="170">
        <v>0</v>
      </c>
      <c r="L409" s="169">
        <v>0.20016556262601504</v>
      </c>
      <c r="M409" s="169">
        <v>0.15821637333513108</v>
      </c>
      <c r="N409" s="169">
        <v>7.1256882300296628E-2</v>
      </c>
      <c r="O409" s="170">
        <v>0.17807258285532893</v>
      </c>
      <c r="P409" s="170">
        <v>0</v>
      </c>
      <c r="Q409" s="169">
        <v>0</v>
      </c>
      <c r="R409" s="170">
        <v>0</v>
      </c>
      <c r="S409" s="170">
        <v>0</v>
      </c>
      <c r="T409" s="15">
        <v>0</v>
      </c>
      <c r="U409" s="15">
        <v>0.11065757630871773</v>
      </c>
      <c r="V409" s="15"/>
    </row>
    <row r="410" spans="1:22" x14ac:dyDescent="0.25">
      <c r="A410" s="166"/>
      <c r="B410" s="207" t="s">
        <v>66</v>
      </c>
      <c r="C410" s="208">
        <v>1.0448870231436778</v>
      </c>
      <c r="D410" s="209">
        <v>0</v>
      </c>
      <c r="E410" s="209">
        <v>0.50465916672171374</v>
      </c>
      <c r="F410" s="209">
        <v>0.66906958964902596</v>
      </c>
      <c r="G410" s="209">
        <v>0.73489291571090098</v>
      </c>
      <c r="H410" s="209">
        <v>1.1691897205631727</v>
      </c>
      <c r="I410" s="209">
        <v>0</v>
      </c>
      <c r="J410" s="210">
        <v>0.88189406275735949</v>
      </c>
      <c r="K410" s="210">
        <v>0</v>
      </c>
      <c r="L410" s="209">
        <v>1.0190074221572392</v>
      </c>
      <c r="M410" s="209">
        <v>0.92407882742357172</v>
      </c>
      <c r="N410" s="209">
        <v>-0.96353130066044312</v>
      </c>
      <c r="O410" s="210">
        <v>0.80487344288698581</v>
      </c>
      <c r="P410" s="210">
        <v>0</v>
      </c>
      <c r="Q410" s="209">
        <v>0</v>
      </c>
      <c r="R410" s="210">
        <v>0</v>
      </c>
      <c r="S410" s="210">
        <v>0</v>
      </c>
      <c r="T410" s="15">
        <v>0</v>
      </c>
      <c r="U410" s="15">
        <v>0.81451314707181721</v>
      </c>
      <c r="V410" s="15"/>
    </row>
    <row r="411" spans="1:22" x14ac:dyDescent="0.25">
      <c r="A411" s="166"/>
      <c r="B411" s="268" t="s">
        <v>67</v>
      </c>
      <c r="C411" s="524">
        <v>3.2865262712031534E-3</v>
      </c>
      <c r="D411" s="525">
        <v>0</v>
      </c>
      <c r="E411" s="525">
        <v>0</v>
      </c>
      <c r="F411" s="525">
        <v>0</v>
      </c>
      <c r="G411" s="525">
        <v>0</v>
      </c>
      <c r="H411" s="525">
        <v>2.371650362632991E-4</v>
      </c>
      <c r="I411" s="525">
        <v>0</v>
      </c>
      <c r="J411" s="536">
        <v>1.5342200234079928E-3</v>
      </c>
      <c r="K411" s="536">
        <v>0</v>
      </c>
      <c r="L411" s="525">
        <v>1.0333121429548663E-2</v>
      </c>
      <c r="M411" s="525">
        <v>1.2501594381540165E-2</v>
      </c>
      <c r="N411" s="525">
        <v>1.9397598559534254E-2</v>
      </c>
      <c r="O411" s="536">
        <v>1.1717625681105561E-2</v>
      </c>
      <c r="P411" s="165">
        <v>0</v>
      </c>
      <c r="Q411" s="525">
        <v>0</v>
      </c>
      <c r="R411" s="536">
        <v>0</v>
      </c>
      <c r="S411" s="536">
        <v>0</v>
      </c>
      <c r="T411" s="15">
        <v>0</v>
      </c>
      <c r="U411" s="15">
        <v>6.6579937420140015E-3</v>
      </c>
      <c r="V411" s="15"/>
    </row>
    <row r="412" spans="1:22" x14ac:dyDescent="0.25">
      <c r="A412" s="166"/>
      <c r="B412" s="167" t="s">
        <v>68</v>
      </c>
      <c r="C412" s="168">
        <v>2.3635566262902772E-3</v>
      </c>
      <c r="D412" s="169">
        <v>0</v>
      </c>
      <c r="E412" s="169">
        <v>0</v>
      </c>
      <c r="F412" s="169">
        <v>6.9279493269992082E-4</v>
      </c>
      <c r="G412" s="169">
        <v>0</v>
      </c>
      <c r="H412" s="169">
        <v>1.0137084310987968E-4</v>
      </c>
      <c r="I412" s="169">
        <v>0</v>
      </c>
      <c r="J412" s="170">
        <v>1.1373446674794157E-3</v>
      </c>
      <c r="K412" s="170">
        <v>0</v>
      </c>
      <c r="L412" s="169">
        <v>8.3454567431580293E-3</v>
      </c>
      <c r="M412" s="169">
        <v>8.2288216163421846E-3</v>
      </c>
      <c r="N412" s="169">
        <v>1.5189775242390699E-2</v>
      </c>
      <c r="O412" s="170">
        <v>9.0306465831336193E-3</v>
      </c>
      <c r="P412" s="170">
        <v>0</v>
      </c>
      <c r="Q412" s="169">
        <v>0</v>
      </c>
      <c r="R412" s="170">
        <v>0</v>
      </c>
      <c r="S412" s="170">
        <v>0</v>
      </c>
      <c r="T412" s="15">
        <v>0</v>
      </c>
      <c r="U412" s="15">
        <v>5.0921291599334041E-3</v>
      </c>
      <c r="V412" s="15"/>
    </row>
    <row r="413" spans="1:22" x14ac:dyDescent="0.25">
      <c r="A413" s="166"/>
      <c r="B413" s="207" t="s">
        <v>69</v>
      </c>
      <c r="C413" s="208">
        <v>-9.2296964491287617E-2</v>
      </c>
      <c r="D413" s="209">
        <v>0</v>
      </c>
      <c r="E413" s="209">
        <v>0</v>
      </c>
      <c r="F413" s="209">
        <v>0</v>
      </c>
      <c r="G413" s="209">
        <v>0</v>
      </c>
      <c r="H413" s="209">
        <v>-1.3579419315341942E-2</v>
      </c>
      <c r="I413" s="209">
        <v>0</v>
      </c>
      <c r="J413" s="210">
        <v>-3.9687535592857703E-2</v>
      </c>
      <c r="K413" s="210">
        <v>0</v>
      </c>
      <c r="L413" s="209">
        <v>-0.19876646863906336</v>
      </c>
      <c r="M413" s="209">
        <v>-0.42727727651979808</v>
      </c>
      <c r="N413" s="209">
        <v>-0.42078233171435558</v>
      </c>
      <c r="O413" s="210">
        <v>-0.26869790979719421</v>
      </c>
      <c r="P413" s="210">
        <v>0</v>
      </c>
      <c r="Q413" s="209">
        <v>0</v>
      </c>
      <c r="R413" s="210">
        <v>0</v>
      </c>
      <c r="S413" s="210">
        <v>0</v>
      </c>
      <c r="T413" s="15">
        <v>0</v>
      </c>
      <c r="U413" s="15">
        <v>-0.15658645820805975</v>
      </c>
      <c r="V413" s="15"/>
    </row>
    <row r="414" spans="1:22" x14ac:dyDescent="0.25">
      <c r="A414" s="166"/>
      <c r="B414" s="268" t="s">
        <v>70</v>
      </c>
      <c r="C414" s="524">
        <v>1.0194833645866292E-3</v>
      </c>
      <c r="D414" s="525">
        <v>0</v>
      </c>
      <c r="E414" s="525">
        <v>0</v>
      </c>
      <c r="F414" s="525">
        <v>0</v>
      </c>
      <c r="G414" s="525">
        <v>1.7401876320391446E-3</v>
      </c>
      <c r="H414" s="525">
        <v>2.295145512225475E-4</v>
      </c>
      <c r="I414" s="525">
        <v>0</v>
      </c>
      <c r="J414" s="536">
        <v>8.1752121471460025E-4</v>
      </c>
      <c r="K414" s="536">
        <v>0</v>
      </c>
      <c r="L414" s="525">
        <v>0</v>
      </c>
      <c r="M414" s="525">
        <v>1.0487914749614233E-5</v>
      </c>
      <c r="N414" s="525">
        <v>0</v>
      </c>
      <c r="O414" s="536">
        <v>2.3153549839167914E-6</v>
      </c>
      <c r="P414" s="165">
        <v>0</v>
      </c>
      <c r="Q414" s="525">
        <v>0</v>
      </c>
      <c r="R414" s="536">
        <v>0</v>
      </c>
      <c r="S414" s="536">
        <v>0</v>
      </c>
      <c r="T414" s="15">
        <v>0</v>
      </c>
      <c r="U414" s="15">
        <v>4.0735093379444683E-4</v>
      </c>
      <c r="V414" s="15"/>
    </row>
    <row r="415" spans="1:22" x14ac:dyDescent="0.25">
      <c r="A415" s="166"/>
      <c r="B415" s="167" t="s">
        <v>71</v>
      </c>
      <c r="C415" s="168">
        <v>9.4674909408049685E-4</v>
      </c>
      <c r="D415" s="169">
        <v>0</v>
      </c>
      <c r="E415" s="169">
        <v>0</v>
      </c>
      <c r="F415" s="169">
        <v>0</v>
      </c>
      <c r="G415" s="169">
        <v>0</v>
      </c>
      <c r="H415" s="169">
        <v>1.6375290040826718E-4</v>
      </c>
      <c r="I415" s="169">
        <v>0</v>
      </c>
      <c r="J415" s="170">
        <v>4.6410441053596201E-4</v>
      </c>
      <c r="K415" s="170">
        <v>0</v>
      </c>
      <c r="L415" s="169">
        <v>0</v>
      </c>
      <c r="M415" s="169">
        <v>0</v>
      </c>
      <c r="N415" s="169">
        <v>0</v>
      </c>
      <c r="O415" s="170">
        <v>0</v>
      </c>
      <c r="P415" s="170">
        <v>0</v>
      </c>
      <c r="Q415" s="169">
        <v>0</v>
      </c>
      <c r="R415" s="170">
        <v>0</v>
      </c>
      <c r="S415" s="170">
        <v>0</v>
      </c>
      <c r="T415" s="15">
        <v>0</v>
      </c>
      <c r="U415" s="15">
        <v>2.3157397583574565E-4</v>
      </c>
      <c r="V415" s="15"/>
    </row>
    <row r="416" spans="1:22" x14ac:dyDescent="0.25">
      <c r="A416" s="166"/>
      <c r="B416" s="207" t="s">
        <v>72</v>
      </c>
      <c r="C416" s="208">
        <v>-7.2734270506132331E-3</v>
      </c>
      <c r="D416" s="209">
        <v>0</v>
      </c>
      <c r="E416" s="209">
        <v>0</v>
      </c>
      <c r="F416" s="209">
        <v>0</v>
      </c>
      <c r="G416" s="209">
        <v>-0.17401876320391446</v>
      </c>
      <c r="H416" s="209">
        <v>-6.5761650814280329E-3</v>
      </c>
      <c r="I416" s="209">
        <v>0</v>
      </c>
      <c r="J416" s="210">
        <v>-3.5341680417863827E-2</v>
      </c>
      <c r="K416" s="210">
        <v>0</v>
      </c>
      <c r="L416" s="209">
        <v>0</v>
      </c>
      <c r="M416" s="209">
        <v>-1.0487914749614234E-3</v>
      </c>
      <c r="N416" s="209">
        <v>0</v>
      </c>
      <c r="O416" s="210">
        <v>-2.3153549839167913E-4</v>
      </c>
      <c r="P416" s="210">
        <v>0</v>
      </c>
      <c r="Q416" s="209">
        <v>0</v>
      </c>
      <c r="R416" s="210">
        <v>0</v>
      </c>
      <c r="S416" s="210">
        <v>0</v>
      </c>
      <c r="T416" s="15">
        <v>0</v>
      </c>
      <c r="U416" s="15">
        <v>-1.7577695795870117E-2</v>
      </c>
      <c r="V416" s="15"/>
    </row>
    <row r="417" spans="1:22" x14ac:dyDescent="0.25">
      <c r="A417" s="166"/>
      <c r="B417" s="268" t="s">
        <v>73</v>
      </c>
      <c r="C417" s="524">
        <v>0</v>
      </c>
      <c r="D417" s="525">
        <v>0</v>
      </c>
      <c r="E417" s="525">
        <v>0</v>
      </c>
      <c r="F417" s="525">
        <v>0</v>
      </c>
      <c r="G417" s="525">
        <v>0</v>
      </c>
      <c r="H417" s="525">
        <v>0</v>
      </c>
      <c r="I417" s="525">
        <v>0</v>
      </c>
      <c r="J417" s="536">
        <v>0</v>
      </c>
      <c r="K417" s="536">
        <v>0</v>
      </c>
      <c r="L417" s="525">
        <v>0</v>
      </c>
      <c r="M417" s="525">
        <v>0</v>
      </c>
      <c r="N417" s="525">
        <v>0</v>
      </c>
      <c r="O417" s="536">
        <v>0</v>
      </c>
      <c r="P417" s="165">
        <v>0</v>
      </c>
      <c r="Q417" s="525">
        <v>0</v>
      </c>
      <c r="R417" s="536">
        <v>0</v>
      </c>
      <c r="S417" s="536">
        <v>0</v>
      </c>
      <c r="T417" s="15">
        <v>0</v>
      </c>
      <c r="U417" s="15">
        <v>0</v>
      </c>
      <c r="V417" s="15"/>
    </row>
    <row r="418" spans="1:22" x14ac:dyDescent="0.25">
      <c r="A418" s="166"/>
      <c r="B418" s="167" t="s">
        <v>74</v>
      </c>
      <c r="C418" s="168">
        <v>0</v>
      </c>
      <c r="D418" s="169">
        <v>0</v>
      </c>
      <c r="E418" s="169">
        <v>0</v>
      </c>
      <c r="F418" s="169">
        <v>0</v>
      </c>
      <c r="G418" s="169">
        <v>0</v>
      </c>
      <c r="H418" s="169">
        <v>0</v>
      </c>
      <c r="I418" s="169">
        <v>0</v>
      </c>
      <c r="J418" s="170">
        <v>0</v>
      </c>
      <c r="K418" s="170">
        <v>0</v>
      </c>
      <c r="L418" s="169">
        <v>0</v>
      </c>
      <c r="M418" s="169">
        <v>0</v>
      </c>
      <c r="N418" s="169">
        <v>0</v>
      </c>
      <c r="O418" s="170">
        <v>0</v>
      </c>
      <c r="P418" s="170">
        <v>0</v>
      </c>
      <c r="Q418" s="169">
        <v>0</v>
      </c>
      <c r="R418" s="170">
        <v>0</v>
      </c>
      <c r="S418" s="170">
        <v>0</v>
      </c>
      <c r="T418" s="15">
        <v>0</v>
      </c>
      <c r="U418" s="15">
        <v>0</v>
      </c>
      <c r="V418" s="15"/>
    </row>
    <row r="419" spans="1:22" ht="15.75" thickBot="1" x14ac:dyDescent="0.3">
      <c r="A419" s="166"/>
      <c r="B419" s="531" t="s">
        <v>75</v>
      </c>
      <c r="C419" s="532">
        <v>0</v>
      </c>
      <c r="D419" s="533">
        <v>0</v>
      </c>
      <c r="E419" s="533">
        <v>0</v>
      </c>
      <c r="F419" s="533">
        <v>0</v>
      </c>
      <c r="G419" s="533">
        <v>0</v>
      </c>
      <c r="H419" s="533">
        <v>0</v>
      </c>
      <c r="I419" s="533">
        <v>0</v>
      </c>
      <c r="J419" s="537">
        <v>0</v>
      </c>
      <c r="K419" s="537">
        <v>0</v>
      </c>
      <c r="L419" s="533">
        <v>0</v>
      </c>
      <c r="M419" s="533">
        <v>0</v>
      </c>
      <c r="N419" s="533">
        <v>0</v>
      </c>
      <c r="O419" s="537">
        <v>0</v>
      </c>
      <c r="P419" s="537">
        <v>0</v>
      </c>
      <c r="Q419" s="533">
        <v>0</v>
      </c>
      <c r="R419" s="537">
        <v>0</v>
      </c>
      <c r="S419" s="537">
        <v>0</v>
      </c>
      <c r="T419" s="15">
        <v>0</v>
      </c>
      <c r="U419" s="15">
        <v>0</v>
      </c>
      <c r="V419" s="15"/>
    </row>
    <row r="420" spans="1:22" ht="15.75" thickTop="1" x14ac:dyDescent="0.25">
      <c r="A420" s="166"/>
      <c r="B420" s="167" t="s">
        <v>76</v>
      </c>
      <c r="C420" s="168">
        <v>0.67156368770237296</v>
      </c>
      <c r="D420" s="169">
        <v>0</v>
      </c>
      <c r="E420" s="169">
        <v>0.66890742905728562</v>
      </c>
      <c r="F420" s="169">
        <v>0.79566679118416139</v>
      </c>
      <c r="G420" s="169">
        <v>0.71406041489748873</v>
      </c>
      <c r="H420" s="169">
        <v>0.51422525276275566</v>
      </c>
      <c r="I420" s="169">
        <v>0</v>
      </c>
      <c r="J420" s="170">
        <v>0.67974246242446246</v>
      </c>
      <c r="K420" s="170">
        <v>0</v>
      </c>
      <c r="L420" s="169">
        <v>0</v>
      </c>
      <c r="M420" s="169">
        <v>0</v>
      </c>
      <c r="N420" s="169">
        <v>0</v>
      </c>
      <c r="O420" s="170">
        <v>0</v>
      </c>
      <c r="P420" s="170">
        <v>0</v>
      </c>
      <c r="Q420" s="169">
        <v>0</v>
      </c>
      <c r="R420" s="170">
        <v>0</v>
      </c>
      <c r="S420" s="170">
        <v>0</v>
      </c>
      <c r="T420" s="15">
        <v>0</v>
      </c>
      <c r="U420" s="15">
        <v>0.67974246242446246</v>
      </c>
      <c r="V420" s="15"/>
    </row>
    <row r="421" spans="1:22" x14ac:dyDescent="0.25">
      <c r="A421" s="166"/>
      <c r="B421" s="167" t="s">
        <v>77</v>
      </c>
      <c r="C421" s="168">
        <v>0.6758884448901753</v>
      </c>
      <c r="D421" s="169">
        <v>0</v>
      </c>
      <c r="E421" s="169">
        <v>0.63054636550531662</v>
      </c>
      <c r="F421" s="169">
        <v>0.81044251595782835</v>
      </c>
      <c r="G421" s="169">
        <v>0.70390099983609244</v>
      </c>
      <c r="H421" s="169">
        <v>0.50154862688416268</v>
      </c>
      <c r="I421" s="169">
        <v>0</v>
      </c>
      <c r="J421" s="170">
        <v>0.67607280871648479</v>
      </c>
      <c r="K421" s="170">
        <v>0</v>
      </c>
      <c r="L421" s="169">
        <v>0</v>
      </c>
      <c r="M421" s="169">
        <v>0</v>
      </c>
      <c r="N421" s="169">
        <v>0</v>
      </c>
      <c r="O421" s="170">
        <v>0</v>
      </c>
      <c r="P421" s="170">
        <v>0</v>
      </c>
      <c r="Q421" s="169">
        <v>0</v>
      </c>
      <c r="R421" s="170">
        <v>0</v>
      </c>
      <c r="S421" s="170">
        <v>0</v>
      </c>
      <c r="T421" s="15">
        <v>0</v>
      </c>
      <c r="U421" s="15">
        <v>0.67607280871648479</v>
      </c>
      <c r="V421" s="15"/>
    </row>
    <row r="422" spans="1:22" x14ac:dyDescent="0.25">
      <c r="A422" s="166"/>
      <c r="B422" s="207" t="s">
        <v>78</v>
      </c>
      <c r="C422" s="208">
        <v>0.43247571878023416</v>
      </c>
      <c r="D422" s="209">
        <v>0</v>
      </c>
      <c r="E422" s="209">
        <v>-3.8361063551968999</v>
      </c>
      <c r="F422" s="209">
        <v>1.4775724773666954</v>
      </c>
      <c r="G422" s="209">
        <v>-1.0159415061396282</v>
      </c>
      <c r="H422" s="209">
        <v>-1.2676625878592973</v>
      </c>
      <c r="I422" s="209">
        <v>0</v>
      </c>
      <c r="J422" s="210">
        <v>-0.36696537079776714</v>
      </c>
      <c r="K422" s="210">
        <v>0</v>
      </c>
      <c r="L422" s="209">
        <v>0</v>
      </c>
      <c r="M422" s="209">
        <v>0</v>
      </c>
      <c r="N422" s="209">
        <v>0</v>
      </c>
      <c r="O422" s="210">
        <v>0</v>
      </c>
      <c r="P422" s="210">
        <v>0</v>
      </c>
      <c r="Q422" s="209">
        <v>0</v>
      </c>
      <c r="R422" s="210">
        <v>0</v>
      </c>
      <c r="S422" s="210">
        <v>0</v>
      </c>
      <c r="T422" s="15">
        <v>0</v>
      </c>
      <c r="U422" s="15">
        <v>-0.36696537079776714</v>
      </c>
      <c r="V422" s="15"/>
    </row>
    <row r="423" spans="1:22" x14ac:dyDescent="0.25">
      <c r="A423" s="166"/>
      <c r="B423" s="268" t="s">
        <v>79</v>
      </c>
      <c r="C423" s="524">
        <v>0.13084355961594532</v>
      </c>
      <c r="D423" s="525">
        <v>0</v>
      </c>
      <c r="E423" s="525">
        <v>0.2628334573280901</v>
      </c>
      <c r="F423" s="525">
        <v>0.10907732536421368</v>
      </c>
      <c r="G423" s="525">
        <v>0.13081806785555422</v>
      </c>
      <c r="H423" s="525">
        <v>0.2007994356924524</v>
      </c>
      <c r="I423" s="525">
        <v>0</v>
      </c>
      <c r="J423" s="536">
        <v>0.14851189727256059</v>
      </c>
      <c r="K423" s="536">
        <v>0</v>
      </c>
      <c r="L423" s="525">
        <v>0</v>
      </c>
      <c r="M423" s="525">
        <v>0</v>
      </c>
      <c r="N423" s="525">
        <v>0</v>
      </c>
      <c r="O423" s="536">
        <v>0</v>
      </c>
      <c r="P423" s="165">
        <v>0</v>
      </c>
      <c r="Q423" s="525">
        <v>0</v>
      </c>
      <c r="R423" s="536">
        <v>0</v>
      </c>
      <c r="S423" s="536">
        <v>0</v>
      </c>
      <c r="T423" s="15">
        <v>0</v>
      </c>
      <c r="U423" s="15">
        <v>0.14851189727256059</v>
      </c>
      <c r="V423" s="15"/>
    </row>
    <row r="424" spans="1:22" x14ac:dyDescent="0.25">
      <c r="A424" s="166"/>
      <c r="B424" s="167" t="s">
        <v>80</v>
      </c>
      <c r="C424" s="168">
        <v>0.1351724926341826</v>
      </c>
      <c r="D424" s="169">
        <v>0</v>
      </c>
      <c r="E424" s="169">
        <v>0.26374763441299404</v>
      </c>
      <c r="F424" s="169">
        <v>9.1228573477730765E-2</v>
      </c>
      <c r="G424" s="169">
        <v>0.14682019341091623</v>
      </c>
      <c r="H424" s="169">
        <v>0.11934751187280611</v>
      </c>
      <c r="I424" s="169">
        <v>0</v>
      </c>
      <c r="J424" s="170">
        <v>0.15102209412261458</v>
      </c>
      <c r="K424" s="170">
        <v>0</v>
      </c>
      <c r="L424" s="169">
        <v>0</v>
      </c>
      <c r="M424" s="169">
        <v>0</v>
      </c>
      <c r="N424" s="169">
        <v>0</v>
      </c>
      <c r="O424" s="170">
        <v>0</v>
      </c>
      <c r="P424" s="170">
        <v>0</v>
      </c>
      <c r="Q424" s="169">
        <v>0</v>
      </c>
      <c r="R424" s="170">
        <v>0</v>
      </c>
      <c r="S424" s="170">
        <v>0</v>
      </c>
      <c r="T424" s="15">
        <v>0</v>
      </c>
      <c r="U424" s="15">
        <v>0.15102209412261458</v>
      </c>
      <c r="V424" s="15"/>
    </row>
    <row r="425" spans="1:22" x14ac:dyDescent="0.25">
      <c r="A425" s="166"/>
      <c r="B425" s="207" t="s">
        <v>81</v>
      </c>
      <c r="C425" s="208">
        <v>0.43289330182372798</v>
      </c>
      <c r="D425" s="209">
        <v>0</v>
      </c>
      <c r="E425" s="209">
        <v>9.1417708490393323E-2</v>
      </c>
      <c r="F425" s="209">
        <v>-1.7848751886482912</v>
      </c>
      <c r="G425" s="209">
        <v>1.6002125555362012</v>
      </c>
      <c r="H425" s="530">
        <v>-8.1451923819646286</v>
      </c>
      <c r="I425" s="209">
        <v>0</v>
      </c>
      <c r="J425" s="210">
        <v>0.25101968500539917</v>
      </c>
      <c r="K425" s="210">
        <v>0</v>
      </c>
      <c r="L425" s="209">
        <v>0</v>
      </c>
      <c r="M425" s="209">
        <v>0</v>
      </c>
      <c r="N425" s="209">
        <v>0</v>
      </c>
      <c r="O425" s="210">
        <v>0</v>
      </c>
      <c r="P425" s="210">
        <v>0</v>
      </c>
      <c r="Q425" s="209">
        <v>0</v>
      </c>
      <c r="R425" s="210">
        <v>0</v>
      </c>
      <c r="S425" s="210">
        <v>0</v>
      </c>
      <c r="T425" s="15">
        <v>0</v>
      </c>
      <c r="U425" s="15">
        <v>0.25101968500539917</v>
      </c>
      <c r="V425" s="15"/>
    </row>
    <row r="426" spans="1:22" x14ac:dyDescent="0.25">
      <c r="A426" s="166"/>
      <c r="B426" s="268" t="s">
        <v>82</v>
      </c>
      <c r="C426" s="524">
        <v>0.18691206334753674</v>
      </c>
      <c r="D426" s="525">
        <v>0</v>
      </c>
      <c r="E426" s="525">
        <v>6.602720799234775E-2</v>
      </c>
      <c r="F426" s="525">
        <v>9.5255883451624959E-2</v>
      </c>
      <c r="G426" s="525">
        <v>0.1485705042662461</v>
      </c>
      <c r="H426" s="525">
        <v>0.28356454267575831</v>
      </c>
      <c r="I426" s="525">
        <v>0</v>
      </c>
      <c r="J426" s="536">
        <v>0.16333360894119847</v>
      </c>
      <c r="K426" s="536">
        <v>0</v>
      </c>
      <c r="L426" s="525">
        <v>0</v>
      </c>
      <c r="M426" s="525">
        <v>0</v>
      </c>
      <c r="N426" s="525">
        <v>0</v>
      </c>
      <c r="O426" s="536">
        <v>0</v>
      </c>
      <c r="P426" s="165">
        <v>0</v>
      </c>
      <c r="Q426" s="525">
        <v>0</v>
      </c>
      <c r="R426" s="536">
        <v>0</v>
      </c>
      <c r="S426" s="536">
        <v>0</v>
      </c>
      <c r="T426" s="15">
        <v>0</v>
      </c>
      <c r="U426" s="15">
        <v>0.16333360894119847</v>
      </c>
      <c r="V426" s="15"/>
    </row>
    <row r="427" spans="1:22" x14ac:dyDescent="0.25">
      <c r="A427" s="166"/>
      <c r="B427" s="167" t="s">
        <v>83</v>
      </c>
      <c r="C427" s="168">
        <v>0.17596379187603603</v>
      </c>
      <c r="D427" s="169">
        <v>0</v>
      </c>
      <c r="E427" s="169">
        <v>0.10431728137891598</v>
      </c>
      <c r="F427" s="169">
        <v>9.8328910564440944E-2</v>
      </c>
      <c r="G427" s="169">
        <v>0.14927880675299132</v>
      </c>
      <c r="H427" s="169">
        <v>0.37910386124303119</v>
      </c>
      <c r="I427" s="169">
        <v>0</v>
      </c>
      <c r="J427" s="170">
        <v>0.16354974619755286</v>
      </c>
      <c r="K427" s="170">
        <v>0</v>
      </c>
      <c r="L427" s="169">
        <v>0</v>
      </c>
      <c r="M427" s="169">
        <v>0</v>
      </c>
      <c r="N427" s="169">
        <v>0</v>
      </c>
      <c r="O427" s="170">
        <v>0</v>
      </c>
      <c r="P427" s="170">
        <v>0</v>
      </c>
      <c r="Q427" s="169">
        <v>0</v>
      </c>
      <c r="R427" s="170">
        <v>0</v>
      </c>
      <c r="S427" s="170">
        <v>0</v>
      </c>
      <c r="T427" s="15">
        <v>0</v>
      </c>
      <c r="U427" s="15">
        <v>0.16354974619755286</v>
      </c>
      <c r="V427" s="15"/>
    </row>
    <row r="428" spans="1:22" x14ac:dyDescent="0.25">
      <c r="A428" s="166"/>
      <c r="B428" s="207" t="s">
        <v>84</v>
      </c>
      <c r="C428" s="208">
        <v>-1.0948271471500708</v>
      </c>
      <c r="D428" s="209">
        <v>0</v>
      </c>
      <c r="E428" s="209">
        <v>3.8290073386568229</v>
      </c>
      <c r="F428" s="209">
        <v>0.30730271128159847</v>
      </c>
      <c r="G428" s="209">
        <v>7.0830248674522145E-2</v>
      </c>
      <c r="H428" s="530">
        <v>9.5539318567272886</v>
      </c>
      <c r="I428" s="209">
        <v>0</v>
      </c>
      <c r="J428" s="210">
        <v>2.161372563543873E-2</v>
      </c>
      <c r="K428" s="210">
        <v>0</v>
      </c>
      <c r="L428" s="209">
        <v>0</v>
      </c>
      <c r="M428" s="209">
        <v>0</v>
      </c>
      <c r="N428" s="209">
        <v>0</v>
      </c>
      <c r="O428" s="210">
        <v>0</v>
      </c>
      <c r="P428" s="210">
        <v>0</v>
      </c>
      <c r="Q428" s="209">
        <v>0</v>
      </c>
      <c r="R428" s="210">
        <v>0</v>
      </c>
      <c r="S428" s="210">
        <v>0</v>
      </c>
      <c r="T428" s="15">
        <v>0</v>
      </c>
      <c r="U428" s="15">
        <v>2.161372563543873E-2</v>
      </c>
      <c r="V428" s="15"/>
    </row>
    <row r="429" spans="1:22" x14ac:dyDescent="0.25">
      <c r="A429" s="166"/>
      <c r="B429" s="268" t="s">
        <v>85</v>
      </c>
      <c r="C429" s="524">
        <v>8.9005744451207968E-4</v>
      </c>
      <c r="D429" s="525">
        <v>0</v>
      </c>
      <c r="E429" s="525">
        <v>0</v>
      </c>
      <c r="F429" s="525">
        <v>0</v>
      </c>
      <c r="G429" s="525">
        <v>0</v>
      </c>
      <c r="H429" s="525">
        <v>0</v>
      </c>
      <c r="I429" s="525">
        <v>0</v>
      </c>
      <c r="J429" s="536">
        <v>6.2551002433737274E-4</v>
      </c>
      <c r="K429" s="536">
        <v>0</v>
      </c>
      <c r="L429" s="525">
        <v>0</v>
      </c>
      <c r="M429" s="525">
        <v>0</v>
      </c>
      <c r="N429" s="525">
        <v>0</v>
      </c>
      <c r="O429" s="536">
        <v>0</v>
      </c>
      <c r="P429" s="165">
        <v>0</v>
      </c>
      <c r="Q429" s="525">
        <v>0</v>
      </c>
      <c r="R429" s="536">
        <v>0</v>
      </c>
      <c r="S429" s="536">
        <v>0</v>
      </c>
      <c r="T429" s="15">
        <v>0</v>
      </c>
      <c r="U429" s="15">
        <v>6.2551002433737274E-4</v>
      </c>
      <c r="V429" s="15"/>
    </row>
    <row r="430" spans="1:22" x14ac:dyDescent="0.25">
      <c r="A430" s="166"/>
      <c r="B430" s="167" t="s">
        <v>86</v>
      </c>
      <c r="C430" s="168">
        <v>2.5877792385277719E-3</v>
      </c>
      <c r="D430" s="169">
        <v>0</v>
      </c>
      <c r="E430" s="169">
        <v>1.2253400318588408E-3</v>
      </c>
      <c r="F430" s="169">
        <v>0</v>
      </c>
      <c r="G430" s="169">
        <v>0</v>
      </c>
      <c r="H430" s="169">
        <v>0</v>
      </c>
      <c r="I430" s="169">
        <v>0</v>
      </c>
      <c r="J430" s="170">
        <v>1.9937031291592851E-3</v>
      </c>
      <c r="K430" s="170">
        <v>0</v>
      </c>
      <c r="L430" s="169">
        <v>0</v>
      </c>
      <c r="M430" s="169">
        <v>0</v>
      </c>
      <c r="N430" s="169">
        <v>0</v>
      </c>
      <c r="O430" s="170">
        <v>0</v>
      </c>
      <c r="P430" s="170">
        <v>0</v>
      </c>
      <c r="Q430" s="169">
        <v>0</v>
      </c>
      <c r="R430" s="170">
        <v>0</v>
      </c>
      <c r="S430" s="170">
        <v>0</v>
      </c>
      <c r="T430" s="15">
        <v>0</v>
      </c>
      <c r="U430" s="15">
        <v>1.9937031291592851E-3</v>
      </c>
      <c r="V430" s="15"/>
    </row>
    <row r="431" spans="1:22" x14ac:dyDescent="0.25">
      <c r="A431" s="166"/>
      <c r="B431" s="207" t="s">
        <v>87</v>
      </c>
      <c r="C431" s="208">
        <v>0.16977217940156922</v>
      </c>
      <c r="D431" s="209">
        <v>0</v>
      </c>
      <c r="E431" s="209">
        <v>0</v>
      </c>
      <c r="F431" s="209">
        <v>0</v>
      </c>
      <c r="G431" s="209">
        <v>0</v>
      </c>
      <c r="H431" s="209">
        <v>0</v>
      </c>
      <c r="I431" s="209">
        <v>0</v>
      </c>
      <c r="J431" s="210">
        <v>0.13681931048219123</v>
      </c>
      <c r="K431" s="210">
        <v>0</v>
      </c>
      <c r="L431" s="209">
        <v>0</v>
      </c>
      <c r="M431" s="209">
        <v>0</v>
      </c>
      <c r="N431" s="209">
        <v>0</v>
      </c>
      <c r="O431" s="210">
        <v>0</v>
      </c>
      <c r="P431" s="210">
        <v>0</v>
      </c>
      <c r="Q431" s="209">
        <v>0</v>
      </c>
      <c r="R431" s="210">
        <v>0</v>
      </c>
      <c r="S431" s="210">
        <v>0</v>
      </c>
      <c r="T431" s="15">
        <v>0</v>
      </c>
      <c r="U431" s="15">
        <v>0.13681931048219123</v>
      </c>
      <c r="V431" s="15"/>
    </row>
    <row r="432" spans="1:22" x14ac:dyDescent="0.25">
      <c r="A432" s="166"/>
      <c r="B432" s="268" t="s">
        <v>88</v>
      </c>
      <c r="C432" s="524">
        <v>9.7906318896328771E-3</v>
      </c>
      <c r="D432" s="525">
        <v>0</v>
      </c>
      <c r="E432" s="525">
        <v>2.2319056222765438E-3</v>
      </c>
      <c r="F432" s="525">
        <v>0</v>
      </c>
      <c r="G432" s="525">
        <v>6.5510129807109059E-3</v>
      </c>
      <c r="H432" s="525">
        <v>1.4107688690336232E-3</v>
      </c>
      <c r="I432" s="525">
        <v>0</v>
      </c>
      <c r="J432" s="536">
        <v>7.7865213374410892E-3</v>
      </c>
      <c r="K432" s="536">
        <v>0</v>
      </c>
      <c r="L432" s="525">
        <v>0</v>
      </c>
      <c r="M432" s="525">
        <v>0</v>
      </c>
      <c r="N432" s="525">
        <v>0</v>
      </c>
      <c r="O432" s="536">
        <v>0</v>
      </c>
      <c r="P432" s="165">
        <v>0</v>
      </c>
      <c r="Q432" s="525">
        <v>0</v>
      </c>
      <c r="R432" s="536">
        <v>0</v>
      </c>
      <c r="S432" s="536">
        <v>0</v>
      </c>
      <c r="T432" s="15">
        <v>0</v>
      </c>
      <c r="U432" s="15">
        <v>7.7865213374410892E-3</v>
      </c>
      <c r="V432" s="15"/>
    </row>
    <row r="433" spans="1:22" x14ac:dyDescent="0.25">
      <c r="A433" s="166"/>
      <c r="B433" s="167" t="s">
        <v>89</v>
      </c>
      <c r="C433" s="168">
        <v>1.0387491361078345E-2</v>
      </c>
      <c r="D433" s="169">
        <v>0</v>
      </c>
      <c r="E433" s="169">
        <v>1.6337867091451212E-4</v>
      </c>
      <c r="F433" s="169">
        <v>0</v>
      </c>
      <c r="G433" s="169">
        <v>0</v>
      </c>
      <c r="H433" s="169">
        <v>0</v>
      </c>
      <c r="I433" s="169">
        <v>0</v>
      </c>
      <c r="J433" s="170">
        <v>7.361647834188521E-3</v>
      </c>
      <c r="K433" s="170">
        <v>0</v>
      </c>
      <c r="L433" s="169">
        <v>0</v>
      </c>
      <c r="M433" s="169">
        <v>0</v>
      </c>
      <c r="N433" s="169">
        <v>0</v>
      </c>
      <c r="O433" s="170">
        <v>0</v>
      </c>
      <c r="P433" s="170">
        <v>0</v>
      </c>
      <c r="Q433" s="169">
        <v>0</v>
      </c>
      <c r="R433" s="170">
        <v>0</v>
      </c>
      <c r="S433" s="170">
        <v>0</v>
      </c>
      <c r="T433" s="15">
        <v>0</v>
      </c>
      <c r="U433" s="15">
        <v>7.361647834188521E-3</v>
      </c>
      <c r="V433" s="15"/>
    </row>
    <row r="434" spans="1:22" x14ac:dyDescent="0.25">
      <c r="A434" s="166"/>
      <c r="B434" s="207" t="s">
        <v>90</v>
      </c>
      <c r="C434" s="208">
        <v>5.9685947144546767E-2</v>
      </c>
      <c r="D434" s="209">
        <v>0</v>
      </c>
      <c r="E434" s="209">
        <v>-0.20685269513620319</v>
      </c>
      <c r="F434" s="209">
        <v>0</v>
      </c>
      <c r="G434" s="209">
        <v>-0.65510129807109063</v>
      </c>
      <c r="H434" s="209">
        <v>-0.14107688690336231</v>
      </c>
      <c r="I434" s="209">
        <v>0</v>
      </c>
      <c r="J434" s="210">
        <v>-4.2487350325256815E-2</v>
      </c>
      <c r="K434" s="210">
        <v>0</v>
      </c>
      <c r="L434" s="209">
        <v>0</v>
      </c>
      <c r="M434" s="209">
        <v>0</v>
      </c>
      <c r="N434" s="209">
        <v>0</v>
      </c>
      <c r="O434" s="210">
        <v>0</v>
      </c>
      <c r="P434" s="210">
        <v>0</v>
      </c>
      <c r="Q434" s="209">
        <v>0</v>
      </c>
      <c r="R434" s="210">
        <v>0</v>
      </c>
      <c r="S434" s="210">
        <v>0</v>
      </c>
      <c r="T434" s="15">
        <v>0</v>
      </c>
      <c r="U434" s="15">
        <v>-4.2487350325256815E-2</v>
      </c>
      <c r="V434" s="15"/>
    </row>
    <row r="435" spans="1:22" x14ac:dyDescent="0.25">
      <c r="A435" s="166"/>
      <c r="B435" s="268" t="s">
        <v>91</v>
      </c>
      <c r="C435" s="524">
        <v>0</v>
      </c>
      <c r="D435" s="525">
        <v>0</v>
      </c>
      <c r="E435" s="525">
        <v>0</v>
      </c>
      <c r="F435" s="525">
        <v>0</v>
      </c>
      <c r="G435" s="525">
        <v>0</v>
      </c>
      <c r="H435" s="525">
        <v>0</v>
      </c>
      <c r="I435" s="525">
        <v>0</v>
      </c>
      <c r="J435" s="536">
        <v>0</v>
      </c>
      <c r="K435" s="536">
        <v>0</v>
      </c>
      <c r="L435" s="525">
        <v>0</v>
      </c>
      <c r="M435" s="525">
        <v>0</v>
      </c>
      <c r="N435" s="525">
        <v>0</v>
      </c>
      <c r="O435" s="536">
        <v>0</v>
      </c>
      <c r="P435" s="165">
        <v>0</v>
      </c>
      <c r="Q435" s="525">
        <v>0</v>
      </c>
      <c r="R435" s="536">
        <v>0</v>
      </c>
      <c r="S435" s="536">
        <v>0</v>
      </c>
      <c r="T435" s="15">
        <v>0</v>
      </c>
      <c r="U435" s="15">
        <v>0</v>
      </c>
      <c r="V435" s="15"/>
    </row>
    <row r="436" spans="1:22" x14ac:dyDescent="0.25">
      <c r="A436" s="166"/>
      <c r="B436" s="167" t="s">
        <v>92</v>
      </c>
      <c r="C436" s="168">
        <v>0</v>
      </c>
      <c r="D436" s="169">
        <v>0</v>
      </c>
      <c r="E436" s="169">
        <v>0</v>
      </c>
      <c r="F436" s="169">
        <v>0</v>
      </c>
      <c r="G436" s="169">
        <v>0</v>
      </c>
      <c r="H436" s="169">
        <v>0</v>
      </c>
      <c r="I436" s="169">
        <v>0</v>
      </c>
      <c r="J436" s="170">
        <v>0</v>
      </c>
      <c r="K436" s="170">
        <v>0</v>
      </c>
      <c r="L436" s="169">
        <v>0</v>
      </c>
      <c r="M436" s="169">
        <v>0</v>
      </c>
      <c r="N436" s="169">
        <v>0</v>
      </c>
      <c r="O436" s="170">
        <v>0</v>
      </c>
      <c r="P436" s="170">
        <v>0</v>
      </c>
      <c r="Q436" s="169">
        <v>0</v>
      </c>
      <c r="R436" s="170">
        <v>0</v>
      </c>
      <c r="S436" s="170">
        <v>0</v>
      </c>
      <c r="T436" s="15">
        <v>0</v>
      </c>
      <c r="U436" s="15">
        <v>0</v>
      </c>
      <c r="V436" s="15"/>
    </row>
    <row r="437" spans="1:22" ht="15.75" thickBot="1" x14ac:dyDescent="0.3">
      <c r="A437" s="540"/>
      <c r="B437" s="541" t="s">
        <v>93</v>
      </c>
      <c r="C437" s="542">
        <v>0</v>
      </c>
      <c r="D437" s="543">
        <v>0</v>
      </c>
      <c r="E437" s="543">
        <v>0</v>
      </c>
      <c r="F437" s="543">
        <v>0</v>
      </c>
      <c r="G437" s="543">
        <v>0</v>
      </c>
      <c r="H437" s="543">
        <v>0</v>
      </c>
      <c r="I437" s="543">
        <v>0</v>
      </c>
      <c r="J437" s="544">
        <v>0</v>
      </c>
      <c r="K437" s="544">
        <v>0</v>
      </c>
      <c r="L437" s="543">
        <v>0</v>
      </c>
      <c r="M437" s="543">
        <v>0</v>
      </c>
      <c r="N437" s="543">
        <v>0</v>
      </c>
      <c r="O437" s="544">
        <v>0</v>
      </c>
      <c r="P437" s="544">
        <v>0</v>
      </c>
      <c r="Q437" s="543">
        <v>0</v>
      </c>
      <c r="R437" s="544">
        <v>0</v>
      </c>
      <c r="S437" s="544">
        <v>0</v>
      </c>
      <c r="T437" s="15">
        <v>0</v>
      </c>
      <c r="U437" s="15">
        <v>0</v>
      </c>
      <c r="V437" s="15"/>
    </row>
    <row r="438" spans="1:22" x14ac:dyDescent="0.25">
      <c r="A438" s="523" t="s">
        <v>51</v>
      </c>
      <c r="B438" s="268" t="s">
        <v>59</v>
      </c>
      <c r="C438" s="524">
        <v>0.83239063037609207</v>
      </c>
      <c r="D438" s="525">
        <v>0.78482449295843815</v>
      </c>
      <c r="E438" s="525">
        <v>0.8155437169851566</v>
      </c>
      <c r="F438" s="525">
        <v>0</v>
      </c>
      <c r="G438" s="525">
        <v>0.81983120304419943</v>
      </c>
      <c r="H438" s="525">
        <v>0</v>
      </c>
      <c r="I438" s="525">
        <v>0</v>
      </c>
      <c r="J438" s="536">
        <v>0.81993622363496932</v>
      </c>
      <c r="K438" s="536">
        <v>0</v>
      </c>
      <c r="L438" s="525">
        <v>0.43373632668624074</v>
      </c>
      <c r="M438" s="525">
        <v>0.42135097794874571</v>
      </c>
      <c r="N438" s="525">
        <v>0</v>
      </c>
      <c r="O438" s="536">
        <v>0.42820810267843085</v>
      </c>
      <c r="P438" s="165">
        <v>0</v>
      </c>
      <c r="Q438" s="525">
        <v>0</v>
      </c>
      <c r="R438" s="536">
        <v>0</v>
      </c>
      <c r="S438" s="536">
        <v>0</v>
      </c>
      <c r="T438" s="15">
        <v>0</v>
      </c>
      <c r="U438" s="15">
        <v>0.66798290920472991</v>
      </c>
      <c r="V438" s="15"/>
    </row>
    <row r="439" spans="1:22" x14ac:dyDescent="0.25">
      <c r="A439" s="166"/>
      <c r="B439" s="167" t="s">
        <v>60</v>
      </c>
      <c r="C439" s="168">
        <v>0.88713598672974237</v>
      </c>
      <c r="D439" s="169">
        <v>0.78294534526452708</v>
      </c>
      <c r="E439" s="169">
        <v>0.77035853251806563</v>
      </c>
      <c r="F439" s="169">
        <v>0</v>
      </c>
      <c r="G439" s="169">
        <v>0.84095876988015372</v>
      </c>
      <c r="H439" s="169">
        <v>0</v>
      </c>
      <c r="I439" s="169">
        <v>0</v>
      </c>
      <c r="J439" s="170">
        <v>0.8142481630250884</v>
      </c>
      <c r="K439" s="170">
        <v>0</v>
      </c>
      <c r="L439" s="169">
        <v>0.46758362276885268</v>
      </c>
      <c r="M439" s="169">
        <v>0.41117682220510565</v>
      </c>
      <c r="N439" s="169">
        <v>0</v>
      </c>
      <c r="O439" s="170">
        <v>0.44245690247431413</v>
      </c>
      <c r="P439" s="170">
        <v>0</v>
      </c>
      <c r="Q439" s="169">
        <v>0</v>
      </c>
      <c r="R439" s="170">
        <v>0</v>
      </c>
      <c r="S439" s="170">
        <v>0</v>
      </c>
      <c r="T439" s="15">
        <v>0</v>
      </c>
      <c r="U439" s="15">
        <v>0.6735723211989969</v>
      </c>
      <c r="V439" s="15"/>
    </row>
    <row r="440" spans="1:22" x14ac:dyDescent="0.25">
      <c r="A440" s="166"/>
      <c r="B440" s="207" t="s">
        <v>772</v>
      </c>
      <c r="C440" s="208">
        <v>5.4745356353650294</v>
      </c>
      <c r="D440" s="209">
        <v>-0.18791476939110652</v>
      </c>
      <c r="E440" s="209">
        <v>-4.5185184467090966</v>
      </c>
      <c r="F440" s="209">
        <v>0</v>
      </c>
      <c r="G440" s="209">
        <v>2.1127566835954292</v>
      </c>
      <c r="H440" s="209">
        <v>0</v>
      </c>
      <c r="I440" s="209">
        <v>0</v>
      </c>
      <c r="J440" s="210">
        <v>-0.56880606098809183</v>
      </c>
      <c r="K440" s="210">
        <v>0</v>
      </c>
      <c r="L440" s="209">
        <v>3.3847296082611944</v>
      </c>
      <c r="M440" s="209">
        <v>-1.0174155743640056</v>
      </c>
      <c r="N440" s="209">
        <v>0</v>
      </c>
      <c r="O440" s="210">
        <v>1.4248799795883282</v>
      </c>
      <c r="P440" s="210">
        <v>0</v>
      </c>
      <c r="Q440" s="209">
        <v>0</v>
      </c>
      <c r="R440" s="210">
        <v>0</v>
      </c>
      <c r="S440" s="210">
        <v>0</v>
      </c>
      <c r="T440" s="15">
        <v>0</v>
      </c>
      <c r="U440" s="15">
        <v>0.55894119942669906</v>
      </c>
      <c r="V440" s="15"/>
    </row>
    <row r="441" spans="1:22" x14ac:dyDescent="0.25">
      <c r="A441" s="166"/>
      <c r="B441" s="268" t="s">
        <v>61</v>
      </c>
      <c r="C441" s="524">
        <v>1.7127944846870694E-2</v>
      </c>
      <c r="D441" s="525">
        <v>0.13307760723308362</v>
      </c>
      <c r="E441" s="525">
        <v>2.0921975964801914E-2</v>
      </c>
      <c r="F441" s="525">
        <v>0</v>
      </c>
      <c r="G441" s="525">
        <v>0.10237584154551664</v>
      </c>
      <c r="H441" s="525">
        <v>0</v>
      </c>
      <c r="I441" s="525">
        <v>0</v>
      </c>
      <c r="J441" s="536">
        <v>3.1484922630136962E-2</v>
      </c>
      <c r="K441" s="536">
        <v>0</v>
      </c>
      <c r="L441" s="525">
        <v>0.34105786551387907</v>
      </c>
      <c r="M441" s="525">
        <v>0.3264885951129653</v>
      </c>
      <c r="N441" s="525">
        <v>0</v>
      </c>
      <c r="O441" s="536">
        <v>0.33455484391039569</v>
      </c>
      <c r="P441" s="165">
        <v>0</v>
      </c>
      <c r="Q441" s="525">
        <v>0</v>
      </c>
      <c r="R441" s="536">
        <v>0</v>
      </c>
      <c r="S441" s="536">
        <v>0</v>
      </c>
      <c r="T441" s="15">
        <v>0</v>
      </c>
      <c r="U441" s="15">
        <v>0.14904727411563698</v>
      </c>
      <c r="V441" s="15"/>
    </row>
    <row r="442" spans="1:22" x14ac:dyDescent="0.25">
      <c r="A442" s="166"/>
      <c r="B442" s="167" t="s">
        <v>62</v>
      </c>
      <c r="C442" s="168">
        <v>2.119172888737773E-2</v>
      </c>
      <c r="D442" s="169">
        <v>0.1265502702460248</v>
      </c>
      <c r="E442" s="169">
        <v>1.8459329256994627E-2</v>
      </c>
      <c r="F442" s="169">
        <v>0</v>
      </c>
      <c r="G442" s="169">
        <v>8.7389764076279491E-2</v>
      </c>
      <c r="H442" s="169">
        <v>0</v>
      </c>
      <c r="I442" s="169">
        <v>0</v>
      </c>
      <c r="J442" s="170">
        <v>3.0079520234737835E-2</v>
      </c>
      <c r="K442" s="170">
        <v>0</v>
      </c>
      <c r="L442" s="169">
        <v>0.29652278044774261</v>
      </c>
      <c r="M442" s="169">
        <v>0.31017167006668672</v>
      </c>
      <c r="N442" s="169">
        <v>0</v>
      </c>
      <c r="O442" s="170">
        <v>0.30260275357790906</v>
      </c>
      <c r="P442" s="170">
        <v>0</v>
      </c>
      <c r="Q442" s="169">
        <v>0</v>
      </c>
      <c r="R442" s="170">
        <v>0</v>
      </c>
      <c r="S442" s="170">
        <v>0</v>
      </c>
      <c r="T442" s="15">
        <v>0</v>
      </c>
      <c r="U442" s="15">
        <v>0.13319500286046071</v>
      </c>
      <c r="V442" s="15"/>
    </row>
    <row r="443" spans="1:22" x14ac:dyDescent="0.25">
      <c r="A443" s="166"/>
      <c r="B443" s="207" t="s">
        <v>63</v>
      </c>
      <c r="C443" s="208">
        <v>0.40637840405070358</v>
      </c>
      <c r="D443" s="209">
        <v>-0.65273369870588183</v>
      </c>
      <c r="E443" s="209">
        <v>-0.24626467078072872</v>
      </c>
      <c r="F443" s="209">
        <v>0</v>
      </c>
      <c r="G443" s="209">
        <v>-1.4986077469237149</v>
      </c>
      <c r="H443" s="209">
        <v>0</v>
      </c>
      <c r="I443" s="209">
        <v>0</v>
      </c>
      <c r="J443" s="210">
        <v>-0.14054023953991268</v>
      </c>
      <c r="K443" s="210">
        <v>0</v>
      </c>
      <c r="L443" s="209">
        <v>-4.4535085066136464</v>
      </c>
      <c r="M443" s="209">
        <v>-1.6316925046278574</v>
      </c>
      <c r="N443" s="209">
        <v>0</v>
      </c>
      <c r="O443" s="210">
        <v>-3.1952090332486636</v>
      </c>
      <c r="P443" s="210">
        <v>0</v>
      </c>
      <c r="Q443" s="209">
        <v>0</v>
      </c>
      <c r="R443" s="210">
        <v>0</v>
      </c>
      <c r="S443" s="210">
        <v>0</v>
      </c>
      <c r="T443" s="15">
        <v>0</v>
      </c>
      <c r="U443" s="15">
        <v>-1.5852271255176271</v>
      </c>
      <c r="V443" s="15"/>
    </row>
    <row r="444" spans="1:22" x14ac:dyDescent="0.25">
      <c r="A444" s="166"/>
      <c r="B444" s="268" t="s">
        <v>64</v>
      </c>
      <c r="C444" s="524">
        <v>5.0797641391790022E-2</v>
      </c>
      <c r="D444" s="525">
        <v>7.4868090075244587E-2</v>
      </c>
      <c r="E444" s="525">
        <v>0.11817308763663124</v>
      </c>
      <c r="F444" s="525">
        <v>0</v>
      </c>
      <c r="G444" s="525">
        <v>6.7660259537515852E-2</v>
      </c>
      <c r="H444" s="525">
        <v>0</v>
      </c>
      <c r="I444" s="525">
        <v>0</v>
      </c>
      <c r="J444" s="536">
        <v>8.8699613946508465E-2</v>
      </c>
      <c r="K444" s="536">
        <v>0</v>
      </c>
      <c r="L444" s="525">
        <v>0.1671023290076499</v>
      </c>
      <c r="M444" s="525">
        <v>0.14715058424084809</v>
      </c>
      <c r="N444" s="525">
        <v>0</v>
      </c>
      <c r="O444" s="536">
        <v>0.15819682971527896</v>
      </c>
      <c r="P444" s="165">
        <v>0</v>
      </c>
      <c r="Q444" s="525">
        <v>0</v>
      </c>
      <c r="R444" s="536">
        <v>0</v>
      </c>
      <c r="S444" s="536">
        <v>0</v>
      </c>
      <c r="T444" s="15">
        <v>0</v>
      </c>
      <c r="U444" s="15">
        <v>0.11565793456426626</v>
      </c>
      <c r="V444" s="15"/>
    </row>
    <row r="445" spans="1:22" x14ac:dyDescent="0.25">
      <c r="A445" s="166"/>
      <c r="B445" s="167" t="s">
        <v>65</v>
      </c>
      <c r="C445" s="168">
        <v>6.497159040657853E-2</v>
      </c>
      <c r="D445" s="169">
        <v>8.3064208661329034E-2</v>
      </c>
      <c r="E445" s="169">
        <v>0.12950095732196901</v>
      </c>
      <c r="F445" s="169">
        <v>0</v>
      </c>
      <c r="G445" s="169">
        <v>6.2385367201829099E-2</v>
      </c>
      <c r="H445" s="169">
        <v>0</v>
      </c>
      <c r="I445" s="169">
        <v>0</v>
      </c>
      <c r="J445" s="170">
        <v>0.1011446197738823</v>
      </c>
      <c r="K445" s="170">
        <v>0</v>
      </c>
      <c r="L445" s="169">
        <v>0.18420848787401892</v>
      </c>
      <c r="M445" s="169">
        <v>0.16477619163415386</v>
      </c>
      <c r="N445" s="169">
        <v>0</v>
      </c>
      <c r="O445" s="170">
        <v>0.17555226437933774</v>
      </c>
      <c r="P445" s="170">
        <v>0</v>
      </c>
      <c r="Q445" s="169">
        <v>0</v>
      </c>
      <c r="R445" s="170">
        <v>0</v>
      </c>
      <c r="S445" s="170">
        <v>0</v>
      </c>
      <c r="T445" s="15">
        <v>0</v>
      </c>
      <c r="U445" s="15">
        <v>0.12929847693465218</v>
      </c>
      <c r="V445" s="15"/>
    </row>
    <row r="446" spans="1:22" x14ac:dyDescent="0.25">
      <c r="A446" s="166"/>
      <c r="B446" s="207" t="s">
        <v>66</v>
      </c>
      <c r="C446" s="208">
        <v>1.4173949014788509</v>
      </c>
      <c r="D446" s="209">
        <v>0.81961185860844465</v>
      </c>
      <c r="E446" s="209">
        <v>1.1327869685337764</v>
      </c>
      <c r="F446" s="209">
        <v>0</v>
      </c>
      <c r="G446" s="209">
        <v>-0.52748923356867528</v>
      </c>
      <c r="H446" s="209">
        <v>0</v>
      </c>
      <c r="I446" s="209">
        <v>0</v>
      </c>
      <c r="J446" s="210">
        <v>1.2445005827373832</v>
      </c>
      <c r="K446" s="210">
        <v>0</v>
      </c>
      <c r="L446" s="209">
        <v>1.7106158866369015</v>
      </c>
      <c r="M446" s="209">
        <v>1.7625607393305764</v>
      </c>
      <c r="N446" s="209">
        <v>0</v>
      </c>
      <c r="O446" s="210">
        <v>1.7355434664058782</v>
      </c>
      <c r="P446" s="210">
        <v>0</v>
      </c>
      <c r="Q446" s="209">
        <v>0</v>
      </c>
      <c r="R446" s="210">
        <v>0</v>
      </c>
      <c r="S446" s="210">
        <v>0</v>
      </c>
      <c r="T446" s="15">
        <v>0</v>
      </c>
      <c r="U446" s="15">
        <v>1.3640542370385922</v>
      </c>
      <c r="V446" s="15"/>
    </row>
    <row r="447" spans="1:22" x14ac:dyDescent="0.25">
      <c r="A447" s="166"/>
      <c r="B447" s="268" t="s">
        <v>67</v>
      </c>
      <c r="C447" s="524">
        <v>1.3653567130948632E-4</v>
      </c>
      <c r="D447" s="525">
        <v>0</v>
      </c>
      <c r="E447" s="525">
        <v>5.346747453046214E-3</v>
      </c>
      <c r="F447" s="525">
        <v>0</v>
      </c>
      <c r="G447" s="525">
        <v>8.5764464825836672E-3</v>
      </c>
      <c r="H447" s="525">
        <v>0</v>
      </c>
      <c r="I447" s="525">
        <v>0</v>
      </c>
      <c r="J447" s="536">
        <v>3.4176514738159017E-3</v>
      </c>
      <c r="K447" s="536">
        <v>0</v>
      </c>
      <c r="L447" s="525">
        <v>3.0439488889586557E-3</v>
      </c>
      <c r="M447" s="525">
        <v>3.7212620324718719E-2</v>
      </c>
      <c r="N447" s="525">
        <v>0</v>
      </c>
      <c r="O447" s="536">
        <v>1.8295200488704994E-2</v>
      </c>
      <c r="P447" s="165">
        <v>0</v>
      </c>
      <c r="Q447" s="525">
        <v>0</v>
      </c>
      <c r="R447" s="536">
        <v>0</v>
      </c>
      <c r="S447" s="536">
        <v>0</v>
      </c>
      <c r="T447" s="15">
        <v>0</v>
      </c>
      <c r="U447" s="15">
        <v>9.188727795552732E-3</v>
      </c>
      <c r="V447" s="15"/>
    </row>
    <row r="448" spans="1:22" x14ac:dyDescent="0.25">
      <c r="A448" s="166"/>
      <c r="B448" s="167" t="s">
        <v>68</v>
      </c>
      <c r="C448" s="168">
        <v>0</v>
      </c>
      <c r="D448" s="169">
        <v>0</v>
      </c>
      <c r="E448" s="169">
        <v>4.7052493550548023E-3</v>
      </c>
      <c r="F448" s="169">
        <v>0</v>
      </c>
      <c r="G448" s="169">
        <v>7.6480490439938698E-3</v>
      </c>
      <c r="H448" s="169">
        <v>0</v>
      </c>
      <c r="I448" s="169">
        <v>0</v>
      </c>
      <c r="J448" s="170">
        <v>3.0677148106802595E-3</v>
      </c>
      <c r="K448" s="170">
        <v>0</v>
      </c>
      <c r="L448" s="169">
        <v>2.1294499658643302E-3</v>
      </c>
      <c r="M448" s="169">
        <v>3.9250166806620516E-2</v>
      </c>
      <c r="N448" s="169">
        <v>0</v>
      </c>
      <c r="O448" s="170">
        <v>1.8665077937465933E-2</v>
      </c>
      <c r="P448" s="170">
        <v>0</v>
      </c>
      <c r="Q448" s="169">
        <v>0</v>
      </c>
      <c r="R448" s="170">
        <v>0</v>
      </c>
      <c r="S448" s="170">
        <v>0</v>
      </c>
      <c r="T448" s="15">
        <v>0</v>
      </c>
      <c r="U448" s="15">
        <v>8.9693387081256973E-3</v>
      </c>
      <c r="V448" s="15"/>
    </row>
    <row r="449" spans="1:22" x14ac:dyDescent="0.25">
      <c r="A449" s="166"/>
      <c r="B449" s="207" t="s">
        <v>69</v>
      </c>
      <c r="C449" s="208">
        <v>-1.3653567130948632E-2</v>
      </c>
      <c r="D449" s="209">
        <v>0</v>
      </c>
      <c r="E449" s="209">
        <v>-6.4149809799141172E-2</v>
      </c>
      <c r="F449" s="209">
        <v>0</v>
      </c>
      <c r="G449" s="209">
        <v>-9.2839743858979737E-2</v>
      </c>
      <c r="H449" s="209">
        <v>0</v>
      </c>
      <c r="I449" s="209">
        <v>0</v>
      </c>
      <c r="J449" s="210">
        <v>-3.4993666313564223E-2</v>
      </c>
      <c r="K449" s="210">
        <v>0</v>
      </c>
      <c r="L449" s="209">
        <v>-9.1449892309432554E-2</v>
      </c>
      <c r="M449" s="209">
        <v>0.20375464819017974</v>
      </c>
      <c r="N449" s="209">
        <v>0</v>
      </c>
      <c r="O449" s="210">
        <v>3.6987744876093923E-2</v>
      </c>
      <c r="P449" s="210">
        <v>0</v>
      </c>
      <c r="Q449" s="209">
        <v>0</v>
      </c>
      <c r="R449" s="210">
        <v>0</v>
      </c>
      <c r="S449" s="210">
        <v>0</v>
      </c>
      <c r="T449" s="15">
        <v>0</v>
      </c>
      <c r="U449" s="15">
        <v>-2.1938908742703475E-2</v>
      </c>
      <c r="V449" s="15"/>
    </row>
    <row r="450" spans="1:22" x14ac:dyDescent="0.25">
      <c r="A450" s="166"/>
      <c r="B450" s="268" t="s">
        <v>70</v>
      </c>
      <c r="C450" s="524">
        <v>9.3076367131676815E-2</v>
      </c>
      <c r="D450" s="525">
        <v>5.0526821229995257E-3</v>
      </c>
      <c r="E450" s="525">
        <v>3.2295059735435692E-2</v>
      </c>
      <c r="F450" s="525">
        <v>0</v>
      </c>
      <c r="G450" s="525">
        <v>4.5370280027319737E-4</v>
      </c>
      <c r="H450" s="525">
        <v>0</v>
      </c>
      <c r="I450" s="525">
        <v>0</v>
      </c>
      <c r="J450" s="536">
        <v>4.9937494717790402E-2</v>
      </c>
      <c r="K450" s="536">
        <v>0</v>
      </c>
      <c r="L450" s="525">
        <v>5.3563490449325984E-2</v>
      </c>
      <c r="M450" s="525">
        <v>6.4991150602300846E-2</v>
      </c>
      <c r="N450" s="525">
        <v>0</v>
      </c>
      <c r="O450" s="536">
        <v>5.8664248332672073E-2</v>
      </c>
      <c r="P450" s="165">
        <v>0</v>
      </c>
      <c r="Q450" s="525">
        <v>0</v>
      </c>
      <c r="R450" s="536">
        <v>0</v>
      </c>
      <c r="S450" s="536">
        <v>0</v>
      </c>
      <c r="T450" s="15">
        <v>0</v>
      </c>
      <c r="U450" s="15">
        <v>5.332264647242909E-2</v>
      </c>
      <c r="V450" s="15"/>
    </row>
    <row r="451" spans="1:22" x14ac:dyDescent="0.25">
      <c r="A451" s="166"/>
      <c r="B451" s="167" t="s">
        <v>71</v>
      </c>
      <c r="C451" s="168">
        <v>2.0016430591560257E-2</v>
      </c>
      <c r="D451" s="169">
        <v>5.2030769920832489E-3</v>
      </c>
      <c r="E451" s="169">
        <v>6.8972909926217324E-2</v>
      </c>
      <c r="F451" s="169">
        <v>0</v>
      </c>
      <c r="G451" s="169">
        <v>1.3567498304062711E-4</v>
      </c>
      <c r="H451" s="169">
        <v>0</v>
      </c>
      <c r="I451" s="169">
        <v>0</v>
      </c>
      <c r="J451" s="170">
        <v>4.4648323605099197E-2</v>
      </c>
      <c r="K451" s="170">
        <v>0</v>
      </c>
      <c r="L451" s="169">
        <v>4.8252778123918975E-2</v>
      </c>
      <c r="M451" s="169">
        <v>7.1810100395424528E-2</v>
      </c>
      <c r="N451" s="169">
        <v>0</v>
      </c>
      <c r="O451" s="170">
        <v>5.8746517206593581E-2</v>
      </c>
      <c r="P451" s="170">
        <v>0</v>
      </c>
      <c r="Q451" s="169">
        <v>0</v>
      </c>
      <c r="R451" s="170">
        <v>0</v>
      </c>
      <c r="S451" s="170">
        <v>0</v>
      </c>
      <c r="T451" s="15">
        <v>0</v>
      </c>
      <c r="U451" s="15">
        <v>4.9982701960791041E-2</v>
      </c>
      <c r="V451" s="15"/>
    </row>
    <row r="452" spans="1:22" x14ac:dyDescent="0.25">
      <c r="A452" s="166"/>
      <c r="B452" s="207" t="s">
        <v>72</v>
      </c>
      <c r="C452" s="534">
        <v>-7.3059936540116555</v>
      </c>
      <c r="D452" s="209">
        <v>1.5039486908372326E-2</v>
      </c>
      <c r="E452" s="209">
        <v>3.6677850190781633</v>
      </c>
      <c r="F452" s="209">
        <v>0</v>
      </c>
      <c r="G452" s="209">
        <v>-3.1802781723257026E-2</v>
      </c>
      <c r="H452" s="209">
        <v>0</v>
      </c>
      <c r="I452" s="209">
        <v>0</v>
      </c>
      <c r="J452" s="210">
        <v>-0.52891711126912055</v>
      </c>
      <c r="K452" s="210">
        <v>0</v>
      </c>
      <c r="L452" s="209">
        <v>-0.53107123254070088</v>
      </c>
      <c r="M452" s="209">
        <v>0.68189497931236831</v>
      </c>
      <c r="N452" s="209">
        <v>0</v>
      </c>
      <c r="O452" s="210">
        <v>8.2268873921508001E-3</v>
      </c>
      <c r="P452" s="210">
        <v>0</v>
      </c>
      <c r="Q452" s="209">
        <v>0</v>
      </c>
      <c r="R452" s="210">
        <v>0</v>
      </c>
      <c r="S452" s="210">
        <v>0</v>
      </c>
      <c r="T452" s="15">
        <v>0</v>
      </c>
      <c r="U452" s="15">
        <v>-0.33399445116380488</v>
      </c>
      <c r="V452" s="15"/>
    </row>
    <row r="453" spans="1:22" x14ac:dyDescent="0.25">
      <c r="A453" s="166"/>
      <c r="B453" s="268" t="s">
        <v>73</v>
      </c>
      <c r="C453" s="524">
        <v>6.4708805822609218E-3</v>
      </c>
      <c r="D453" s="525">
        <v>2.1771276102341367E-3</v>
      </c>
      <c r="E453" s="525">
        <v>7.7194122249283521E-3</v>
      </c>
      <c r="F453" s="525">
        <v>0</v>
      </c>
      <c r="G453" s="525">
        <v>1.1025465899112108E-3</v>
      </c>
      <c r="H453" s="525">
        <v>0</v>
      </c>
      <c r="I453" s="525">
        <v>0</v>
      </c>
      <c r="J453" s="536">
        <v>6.5240935967790037E-3</v>
      </c>
      <c r="K453" s="536">
        <v>0</v>
      </c>
      <c r="L453" s="525">
        <v>1.4960394539455992E-3</v>
      </c>
      <c r="M453" s="525">
        <v>2.8060717704213398E-3</v>
      </c>
      <c r="N453" s="525">
        <v>0</v>
      </c>
      <c r="O453" s="536">
        <v>2.0807748745174351E-3</v>
      </c>
      <c r="P453" s="165">
        <v>0</v>
      </c>
      <c r="Q453" s="525">
        <v>0</v>
      </c>
      <c r="R453" s="536">
        <v>0</v>
      </c>
      <c r="S453" s="536">
        <v>0</v>
      </c>
      <c r="T453" s="15">
        <v>0</v>
      </c>
      <c r="U453" s="15">
        <v>4.8005078473849971E-3</v>
      </c>
      <c r="V453" s="15"/>
    </row>
    <row r="454" spans="1:22" x14ac:dyDescent="0.25">
      <c r="A454" s="166"/>
      <c r="B454" s="167" t="s">
        <v>74</v>
      </c>
      <c r="C454" s="168">
        <v>6.6842633847411688E-3</v>
      </c>
      <c r="D454" s="169">
        <v>2.2370988360357934E-3</v>
      </c>
      <c r="E454" s="169">
        <v>8.0030216216986638E-3</v>
      </c>
      <c r="F454" s="169">
        <v>0</v>
      </c>
      <c r="G454" s="169">
        <v>1.4823748147031481E-3</v>
      </c>
      <c r="H454" s="169">
        <v>0</v>
      </c>
      <c r="I454" s="169">
        <v>0</v>
      </c>
      <c r="J454" s="170">
        <v>6.8116585505120595E-3</v>
      </c>
      <c r="K454" s="170">
        <v>0</v>
      </c>
      <c r="L454" s="169">
        <v>1.3028808196024865E-3</v>
      </c>
      <c r="M454" s="169">
        <v>2.8150488920087352E-3</v>
      </c>
      <c r="N454" s="169">
        <v>0</v>
      </c>
      <c r="O454" s="170">
        <v>1.9764844243795937E-3</v>
      </c>
      <c r="P454" s="170">
        <v>0</v>
      </c>
      <c r="Q454" s="169">
        <v>0</v>
      </c>
      <c r="R454" s="170">
        <v>0</v>
      </c>
      <c r="S454" s="170">
        <v>0</v>
      </c>
      <c r="T454" s="15">
        <v>0</v>
      </c>
      <c r="U454" s="15">
        <v>4.9821583369734765E-3</v>
      </c>
      <c r="V454" s="15"/>
    </row>
    <row r="455" spans="1:22" ht="15.75" thickBot="1" x14ac:dyDescent="0.3">
      <c r="A455" s="166"/>
      <c r="B455" s="531" t="s">
        <v>75</v>
      </c>
      <c r="C455" s="532">
        <v>2.1338280248024699E-2</v>
      </c>
      <c r="D455" s="533">
        <v>5.9971225801656695E-3</v>
      </c>
      <c r="E455" s="533">
        <v>2.8360939677031169E-2</v>
      </c>
      <c r="F455" s="533">
        <v>0</v>
      </c>
      <c r="G455" s="533">
        <v>3.7982822479193726E-2</v>
      </c>
      <c r="H455" s="533">
        <v>0</v>
      </c>
      <c r="I455" s="533">
        <v>0</v>
      </c>
      <c r="J455" s="537">
        <v>2.8756495373305577E-2</v>
      </c>
      <c r="K455" s="537">
        <v>0</v>
      </c>
      <c r="L455" s="533">
        <v>-1.9315863434311267E-2</v>
      </c>
      <c r="M455" s="533">
        <v>8.9771215873953904E-4</v>
      </c>
      <c r="N455" s="533">
        <v>0</v>
      </c>
      <c r="O455" s="537">
        <v>-1.0429045013784144E-2</v>
      </c>
      <c r="P455" s="537">
        <v>0</v>
      </c>
      <c r="Q455" s="533">
        <v>0</v>
      </c>
      <c r="R455" s="537">
        <v>0</v>
      </c>
      <c r="S455" s="537">
        <v>0</v>
      </c>
      <c r="T455" s="15">
        <v>0</v>
      </c>
      <c r="U455" s="15">
        <v>1.8165048958847935E-2</v>
      </c>
      <c r="V455" s="15"/>
    </row>
    <row r="456" spans="1:22" ht="15.75" thickTop="1" x14ac:dyDescent="0.25">
      <c r="A456" s="166"/>
      <c r="B456" s="167" t="s">
        <v>76</v>
      </c>
      <c r="C456" s="168">
        <v>0.74088803361442268</v>
      </c>
      <c r="D456" s="169">
        <v>0.5097361707624245</v>
      </c>
      <c r="E456" s="169">
        <v>0.56933602816720352</v>
      </c>
      <c r="F456" s="169">
        <v>0</v>
      </c>
      <c r="G456" s="169">
        <v>0.29943268299432685</v>
      </c>
      <c r="H456" s="169">
        <v>0</v>
      </c>
      <c r="I456" s="169">
        <v>0</v>
      </c>
      <c r="J456" s="170">
        <v>0.6417660140411533</v>
      </c>
      <c r="K456" s="170">
        <v>0</v>
      </c>
      <c r="L456" s="169">
        <v>0</v>
      </c>
      <c r="M456" s="169">
        <v>0</v>
      </c>
      <c r="N456" s="169">
        <v>0</v>
      </c>
      <c r="O456" s="170">
        <v>0</v>
      </c>
      <c r="P456" s="170">
        <v>0</v>
      </c>
      <c r="Q456" s="169">
        <v>0</v>
      </c>
      <c r="R456" s="170">
        <v>0</v>
      </c>
      <c r="S456" s="170">
        <v>0</v>
      </c>
      <c r="T456" s="15">
        <v>0</v>
      </c>
      <c r="U456" s="15">
        <v>0.6417660140411533</v>
      </c>
      <c r="V456" s="15"/>
    </row>
    <row r="457" spans="1:22" x14ac:dyDescent="0.25">
      <c r="A457" s="166"/>
      <c r="B457" s="167" t="s">
        <v>77</v>
      </c>
      <c r="C457" s="168">
        <v>0.42485949636199072</v>
      </c>
      <c r="D457" s="169">
        <v>0.33040895274937826</v>
      </c>
      <c r="E457" s="169">
        <v>0.36657502765788735</v>
      </c>
      <c r="F457" s="169">
        <v>0</v>
      </c>
      <c r="G457" s="169">
        <v>0.21351224105461394</v>
      </c>
      <c r="H457" s="169">
        <v>0</v>
      </c>
      <c r="I457" s="169">
        <v>0</v>
      </c>
      <c r="J457" s="170">
        <v>0.39167225185772281</v>
      </c>
      <c r="K457" s="170">
        <v>0</v>
      </c>
      <c r="L457" s="169">
        <v>0</v>
      </c>
      <c r="M457" s="169">
        <v>0</v>
      </c>
      <c r="N457" s="169">
        <v>0</v>
      </c>
      <c r="O457" s="170">
        <v>0</v>
      </c>
      <c r="P457" s="170">
        <v>0</v>
      </c>
      <c r="Q457" s="169">
        <v>0</v>
      </c>
      <c r="R457" s="170">
        <v>0</v>
      </c>
      <c r="S457" s="170">
        <v>0</v>
      </c>
      <c r="T457" s="15">
        <v>0</v>
      </c>
      <c r="U457" s="15">
        <v>0.39167225185772281</v>
      </c>
      <c r="V457" s="15"/>
    </row>
    <row r="458" spans="1:22" x14ac:dyDescent="0.25">
      <c r="A458" s="166"/>
      <c r="B458" s="207" t="s">
        <v>78</v>
      </c>
      <c r="C458" s="534">
        <v>-31.602853725243197</v>
      </c>
      <c r="D458" s="530">
        <v>-17.932721801304623</v>
      </c>
      <c r="E458" s="530">
        <v>-20.276100050931618</v>
      </c>
      <c r="F458" s="209">
        <v>0</v>
      </c>
      <c r="G458" s="209">
        <v>-8.5920441939712902</v>
      </c>
      <c r="H458" s="209">
        <v>0</v>
      </c>
      <c r="I458" s="209">
        <v>0</v>
      </c>
      <c r="J458" s="210">
        <v>-25.00937621834305</v>
      </c>
      <c r="K458" s="210">
        <v>0</v>
      </c>
      <c r="L458" s="209">
        <v>0</v>
      </c>
      <c r="M458" s="209">
        <v>0</v>
      </c>
      <c r="N458" s="209">
        <v>0</v>
      </c>
      <c r="O458" s="210">
        <v>0</v>
      </c>
      <c r="P458" s="210">
        <v>0</v>
      </c>
      <c r="Q458" s="209">
        <v>0</v>
      </c>
      <c r="R458" s="210">
        <v>0</v>
      </c>
      <c r="S458" s="210">
        <v>0</v>
      </c>
      <c r="T458" s="15">
        <v>0</v>
      </c>
      <c r="U458" s="15">
        <v>-25.00937621834305</v>
      </c>
      <c r="V458" s="15"/>
    </row>
    <row r="459" spans="1:22" x14ac:dyDescent="0.25">
      <c r="A459" s="166"/>
      <c r="B459" s="268" t="s">
        <v>79</v>
      </c>
      <c r="C459" s="524">
        <v>7.0910244245737516E-3</v>
      </c>
      <c r="D459" s="525">
        <v>0.29857590338101853</v>
      </c>
      <c r="E459" s="525">
        <v>5.1677962591325587E-2</v>
      </c>
      <c r="F459" s="525">
        <v>0</v>
      </c>
      <c r="G459" s="525">
        <v>2.0755500207555004E-3</v>
      </c>
      <c r="H459" s="525">
        <v>0</v>
      </c>
      <c r="I459" s="525">
        <v>0</v>
      </c>
      <c r="J459" s="536">
        <v>5.1024130906947289E-2</v>
      </c>
      <c r="K459" s="536">
        <v>0</v>
      </c>
      <c r="L459" s="525">
        <v>0</v>
      </c>
      <c r="M459" s="525">
        <v>0</v>
      </c>
      <c r="N459" s="525">
        <v>0</v>
      </c>
      <c r="O459" s="536">
        <v>0</v>
      </c>
      <c r="P459" s="165">
        <v>0</v>
      </c>
      <c r="Q459" s="525">
        <v>0</v>
      </c>
      <c r="R459" s="536">
        <v>0</v>
      </c>
      <c r="S459" s="536">
        <v>0</v>
      </c>
      <c r="T459" s="15">
        <v>0</v>
      </c>
      <c r="U459" s="15">
        <v>5.1024130906947289E-2</v>
      </c>
      <c r="V459" s="15"/>
    </row>
    <row r="460" spans="1:22" x14ac:dyDescent="0.25">
      <c r="A460" s="166"/>
      <c r="B460" s="167" t="s">
        <v>80</v>
      </c>
      <c r="C460" s="168">
        <v>1.2962820036064355E-2</v>
      </c>
      <c r="D460" s="169">
        <v>0.16906143501888182</v>
      </c>
      <c r="E460" s="169">
        <v>1.8921318652099388E-2</v>
      </c>
      <c r="F460" s="169">
        <v>0</v>
      </c>
      <c r="G460" s="169">
        <v>7.0621468926553672E-4</v>
      </c>
      <c r="H460" s="169">
        <v>0</v>
      </c>
      <c r="I460" s="169">
        <v>0</v>
      </c>
      <c r="J460" s="170">
        <v>2.7444441806570376E-2</v>
      </c>
      <c r="K460" s="170">
        <v>0</v>
      </c>
      <c r="L460" s="169">
        <v>0</v>
      </c>
      <c r="M460" s="169">
        <v>0</v>
      </c>
      <c r="N460" s="169">
        <v>0</v>
      </c>
      <c r="O460" s="170">
        <v>0</v>
      </c>
      <c r="P460" s="170">
        <v>0</v>
      </c>
      <c r="Q460" s="169">
        <v>0</v>
      </c>
      <c r="R460" s="170">
        <v>0</v>
      </c>
      <c r="S460" s="170">
        <v>0</v>
      </c>
      <c r="T460" s="15">
        <v>0</v>
      </c>
      <c r="U460" s="15">
        <v>2.7444441806570376E-2</v>
      </c>
      <c r="V460" s="15"/>
    </row>
    <row r="461" spans="1:22" x14ac:dyDescent="0.25">
      <c r="A461" s="166"/>
      <c r="B461" s="207" t="s">
        <v>81</v>
      </c>
      <c r="C461" s="208">
        <v>0.58717956114906034</v>
      </c>
      <c r="D461" s="530">
        <v>-12.95144683621367</v>
      </c>
      <c r="E461" s="209">
        <v>-3.2756643939226198</v>
      </c>
      <c r="F461" s="209">
        <v>0</v>
      </c>
      <c r="G461" s="209">
        <v>-0.13693353314899637</v>
      </c>
      <c r="H461" s="209">
        <v>0</v>
      </c>
      <c r="I461" s="209">
        <v>0</v>
      </c>
      <c r="J461" s="210">
        <v>-2.357968910037691</v>
      </c>
      <c r="K461" s="210">
        <v>0</v>
      </c>
      <c r="L461" s="209">
        <v>0</v>
      </c>
      <c r="M461" s="209">
        <v>0</v>
      </c>
      <c r="N461" s="209">
        <v>0</v>
      </c>
      <c r="O461" s="210">
        <v>0</v>
      </c>
      <c r="P461" s="210">
        <v>0</v>
      </c>
      <c r="Q461" s="209">
        <v>0</v>
      </c>
      <c r="R461" s="210">
        <v>0</v>
      </c>
      <c r="S461" s="210">
        <v>0</v>
      </c>
      <c r="T461" s="15">
        <v>0</v>
      </c>
      <c r="U461" s="15">
        <v>-2.357968910037691</v>
      </c>
      <c r="V461" s="15"/>
    </row>
    <row r="462" spans="1:22" x14ac:dyDescent="0.25">
      <c r="A462" s="166"/>
      <c r="B462" s="268" t="s">
        <v>82</v>
      </c>
      <c r="C462" s="524">
        <v>0.16237555845526036</v>
      </c>
      <c r="D462" s="525">
        <v>0.16062259824974973</v>
      </c>
      <c r="E462" s="525">
        <v>0.27792259732468699</v>
      </c>
      <c r="F462" s="525">
        <v>0</v>
      </c>
      <c r="G462" s="525">
        <v>0.69392555693925562</v>
      </c>
      <c r="H462" s="525">
        <v>0</v>
      </c>
      <c r="I462" s="525">
        <v>0</v>
      </c>
      <c r="J462" s="536">
        <v>0.21995864888147501</v>
      </c>
      <c r="K462" s="536">
        <v>0</v>
      </c>
      <c r="L462" s="525">
        <v>0</v>
      </c>
      <c r="M462" s="525">
        <v>0</v>
      </c>
      <c r="N462" s="525">
        <v>0</v>
      </c>
      <c r="O462" s="536">
        <v>0</v>
      </c>
      <c r="P462" s="165">
        <v>0</v>
      </c>
      <c r="Q462" s="525">
        <v>0</v>
      </c>
      <c r="R462" s="536">
        <v>0</v>
      </c>
      <c r="S462" s="536">
        <v>0</v>
      </c>
      <c r="T462" s="15">
        <v>0</v>
      </c>
      <c r="U462" s="15">
        <v>0.21995864888147501</v>
      </c>
      <c r="V462" s="15"/>
    </row>
    <row r="463" spans="1:22" x14ac:dyDescent="0.25">
      <c r="A463" s="166"/>
      <c r="B463" s="167" t="s">
        <v>83</v>
      </c>
      <c r="C463" s="168">
        <v>0.10436911937020692</v>
      </c>
      <c r="D463" s="169">
        <v>0.1465874550980934</v>
      </c>
      <c r="E463" s="169">
        <v>0.2090556433960562</v>
      </c>
      <c r="F463" s="169">
        <v>0</v>
      </c>
      <c r="G463" s="169">
        <v>0.57191619585687381</v>
      </c>
      <c r="H463" s="169">
        <v>0</v>
      </c>
      <c r="I463" s="169">
        <v>0</v>
      </c>
      <c r="J463" s="170">
        <v>0.15523604813186773</v>
      </c>
      <c r="K463" s="170">
        <v>0</v>
      </c>
      <c r="L463" s="169">
        <v>0</v>
      </c>
      <c r="M463" s="169">
        <v>0</v>
      </c>
      <c r="N463" s="169">
        <v>0</v>
      </c>
      <c r="O463" s="170">
        <v>0</v>
      </c>
      <c r="P463" s="170">
        <v>0</v>
      </c>
      <c r="Q463" s="169">
        <v>0</v>
      </c>
      <c r="R463" s="170">
        <v>0</v>
      </c>
      <c r="S463" s="170">
        <v>0</v>
      </c>
      <c r="T463" s="15">
        <v>0</v>
      </c>
      <c r="U463" s="15">
        <v>0.15523604813186773</v>
      </c>
      <c r="V463" s="15"/>
    </row>
    <row r="464" spans="1:22" x14ac:dyDescent="0.25">
      <c r="A464" s="166"/>
      <c r="B464" s="207" t="s">
        <v>84</v>
      </c>
      <c r="C464" s="208">
        <v>-5.8006439085053447</v>
      </c>
      <c r="D464" s="209">
        <v>-1.4035143151656326</v>
      </c>
      <c r="E464" s="209">
        <v>-6.8866953928630794</v>
      </c>
      <c r="F464" s="209">
        <v>0</v>
      </c>
      <c r="G464" s="530">
        <v>-12.200936108238182</v>
      </c>
      <c r="H464" s="209">
        <v>0</v>
      </c>
      <c r="I464" s="209">
        <v>0</v>
      </c>
      <c r="J464" s="210">
        <v>-6.4722600749607286</v>
      </c>
      <c r="K464" s="210">
        <v>0</v>
      </c>
      <c r="L464" s="209">
        <v>0</v>
      </c>
      <c r="M464" s="209">
        <v>0</v>
      </c>
      <c r="N464" s="209">
        <v>0</v>
      </c>
      <c r="O464" s="210">
        <v>0</v>
      </c>
      <c r="P464" s="210">
        <v>0</v>
      </c>
      <c r="Q464" s="209">
        <v>0</v>
      </c>
      <c r="R464" s="210">
        <v>0</v>
      </c>
      <c r="S464" s="210">
        <v>0</v>
      </c>
      <c r="T464" s="15">
        <v>0</v>
      </c>
      <c r="U464" s="15">
        <v>-6.4722600749607286</v>
      </c>
      <c r="V464" s="15"/>
    </row>
    <row r="465" spans="1:22" x14ac:dyDescent="0.25">
      <c r="A465" s="166"/>
      <c r="B465" s="268" t="s">
        <v>85</v>
      </c>
      <c r="C465" s="524">
        <v>7.8327633811191223E-4</v>
      </c>
      <c r="D465" s="525">
        <v>0</v>
      </c>
      <c r="E465" s="525">
        <v>1.2662386356332265E-2</v>
      </c>
      <c r="F465" s="525">
        <v>0</v>
      </c>
      <c r="G465" s="525">
        <v>4.5662100456621002E-3</v>
      </c>
      <c r="H465" s="525">
        <v>0</v>
      </c>
      <c r="I465" s="525">
        <v>0</v>
      </c>
      <c r="J465" s="536">
        <v>5.5892361348442148E-3</v>
      </c>
      <c r="K465" s="536">
        <v>0</v>
      </c>
      <c r="L465" s="525">
        <v>0</v>
      </c>
      <c r="M465" s="525">
        <v>0</v>
      </c>
      <c r="N465" s="525">
        <v>0</v>
      </c>
      <c r="O465" s="536">
        <v>0</v>
      </c>
      <c r="P465" s="165">
        <v>0</v>
      </c>
      <c r="Q465" s="525">
        <v>0</v>
      </c>
      <c r="R465" s="536">
        <v>0</v>
      </c>
      <c r="S465" s="536">
        <v>0</v>
      </c>
      <c r="T465" s="15">
        <v>0</v>
      </c>
      <c r="U465" s="15">
        <v>5.5892361348442148E-3</v>
      </c>
      <c r="V465" s="15"/>
    </row>
    <row r="466" spans="1:22" x14ac:dyDescent="0.25">
      <c r="A466" s="166"/>
      <c r="B466" s="167" t="s">
        <v>86</v>
      </c>
      <c r="C466" s="168">
        <v>8.9459245174463068E-4</v>
      </c>
      <c r="D466" s="169">
        <v>0</v>
      </c>
      <c r="E466" s="169">
        <v>8.0053558964716613E-3</v>
      </c>
      <c r="F466" s="169">
        <v>0</v>
      </c>
      <c r="G466" s="169">
        <v>0</v>
      </c>
      <c r="H466" s="169">
        <v>0</v>
      </c>
      <c r="I466" s="169">
        <v>0</v>
      </c>
      <c r="J466" s="170">
        <v>3.5446940076226444E-3</v>
      </c>
      <c r="K466" s="170">
        <v>0</v>
      </c>
      <c r="L466" s="169">
        <v>0</v>
      </c>
      <c r="M466" s="169">
        <v>0</v>
      </c>
      <c r="N466" s="169">
        <v>0</v>
      </c>
      <c r="O466" s="170">
        <v>0</v>
      </c>
      <c r="P466" s="170">
        <v>0</v>
      </c>
      <c r="Q466" s="169">
        <v>0</v>
      </c>
      <c r="R466" s="170">
        <v>0</v>
      </c>
      <c r="S466" s="170">
        <v>0</v>
      </c>
      <c r="T466" s="15">
        <v>0</v>
      </c>
      <c r="U466" s="15">
        <v>3.5446940076226444E-3</v>
      </c>
      <c r="V466" s="15"/>
    </row>
    <row r="467" spans="1:22" x14ac:dyDescent="0.25">
      <c r="A467" s="166"/>
      <c r="B467" s="207" t="s">
        <v>87</v>
      </c>
      <c r="C467" s="208">
        <v>1.1131611363271844E-2</v>
      </c>
      <c r="D467" s="209">
        <v>0</v>
      </c>
      <c r="E467" s="209">
        <v>-0.46570304598606038</v>
      </c>
      <c r="F467" s="209">
        <v>0</v>
      </c>
      <c r="G467" s="209">
        <v>-0.45662100456621002</v>
      </c>
      <c r="H467" s="209">
        <v>0</v>
      </c>
      <c r="I467" s="209">
        <v>0</v>
      </c>
      <c r="J467" s="210">
        <v>-0.20445421272215705</v>
      </c>
      <c r="K467" s="210">
        <v>0</v>
      </c>
      <c r="L467" s="209">
        <v>0</v>
      </c>
      <c r="M467" s="209">
        <v>0</v>
      </c>
      <c r="N467" s="209">
        <v>0</v>
      </c>
      <c r="O467" s="210">
        <v>0</v>
      </c>
      <c r="P467" s="210">
        <v>0</v>
      </c>
      <c r="Q467" s="209">
        <v>0</v>
      </c>
      <c r="R467" s="210">
        <v>0</v>
      </c>
      <c r="S467" s="210">
        <v>0</v>
      </c>
      <c r="T467" s="15">
        <v>0</v>
      </c>
      <c r="U467" s="15">
        <v>-0.20445421272215705</v>
      </c>
      <c r="V467" s="15"/>
    </row>
    <row r="468" spans="1:22" x14ac:dyDescent="0.25">
      <c r="A468" s="166"/>
      <c r="B468" s="268" t="s">
        <v>88</v>
      </c>
      <c r="C468" s="524">
        <v>3.5528109236192824E-2</v>
      </c>
      <c r="D468" s="525">
        <v>9.009590854780895E-3</v>
      </c>
      <c r="E468" s="525">
        <v>4.1693745938109282E-2</v>
      </c>
      <c r="F468" s="525">
        <v>0</v>
      </c>
      <c r="G468" s="525">
        <v>0</v>
      </c>
      <c r="H468" s="525">
        <v>0</v>
      </c>
      <c r="I468" s="525">
        <v>0</v>
      </c>
      <c r="J468" s="536">
        <v>3.4909076856034484E-2</v>
      </c>
      <c r="K468" s="536">
        <v>0</v>
      </c>
      <c r="L468" s="525">
        <v>0</v>
      </c>
      <c r="M468" s="525">
        <v>0</v>
      </c>
      <c r="N468" s="525">
        <v>0</v>
      </c>
      <c r="O468" s="536">
        <v>0</v>
      </c>
      <c r="P468" s="165">
        <v>0</v>
      </c>
      <c r="Q468" s="525">
        <v>0</v>
      </c>
      <c r="R468" s="536">
        <v>0</v>
      </c>
      <c r="S468" s="536">
        <v>0</v>
      </c>
      <c r="T468" s="15">
        <v>0</v>
      </c>
      <c r="U468" s="15">
        <v>3.4909076856034484E-2</v>
      </c>
      <c r="V468" s="15"/>
    </row>
    <row r="469" spans="1:22" x14ac:dyDescent="0.25">
      <c r="A469" s="166"/>
      <c r="B469" s="167" t="s">
        <v>89</v>
      </c>
      <c r="C469" s="168">
        <v>0.42485949636199072</v>
      </c>
      <c r="D469" s="169">
        <v>0.33040895274937826</v>
      </c>
      <c r="E469" s="169">
        <v>0.36657502765788735</v>
      </c>
      <c r="F469" s="169">
        <v>0</v>
      </c>
      <c r="G469" s="169">
        <v>0.21351224105461394</v>
      </c>
      <c r="H469" s="169">
        <v>0</v>
      </c>
      <c r="I469" s="169">
        <v>0</v>
      </c>
      <c r="J469" s="170">
        <v>0.39167225185772281</v>
      </c>
      <c r="K469" s="170">
        <v>0</v>
      </c>
      <c r="L469" s="169">
        <v>0</v>
      </c>
      <c r="M469" s="169">
        <v>0</v>
      </c>
      <c r="N469" s="169">
        <v>0</v>
      </c>
      <c r="O469" s="170">
        <v>0</v>
      </c>
      <c r="P469" s="170">
        <v>0</v>
      </c>
      <c r="Q469" s="169">
        <v>0</v>
      </c>
      <c r="R469" s="170">
        <v>0</v>
      </c>
      <c r="S469" s="170">
        <v>0</v>
      </c>
      <c r="T469" s="15">
        <v>0</v>
      </c>
      <c r="U469" s="15">
        <v>0.39167225185772281</v>
      </c>
      <c r="V469" s="15"/>
    </row>
    <row r="470" spans="1:22" x14ac:dyDescent="0.25">
      <c r="A470" s="166"/>
      <c r="B470" s="207" t="s">
        <v>90</v>
      </c>
      <c r="C470" s="534">
        <v>38.93313871257979</v>
      </c>
      <c r="D470" s="530">
        <v>32.139936189459739</v>
      </c>
      <c r="E470" s="530">
        <v>32.488128171977806</v>
      </c>
      <c r="F470" s="209">
        <v>0</v>
      </c>
      <c r="G470" s="209">
        <v>0</v>
      </c>
      <c r="H470" s="209">
        <v>0</v>
      </c>
      <c r="I470" s="209">
        <v>0</v>
      </c>
      <c r="J470" s="210">
        <v>35.676317500168828</v>
      </c>
      <c r="K470" s="210">
        <v>0</v>
      </c>
      <c r="L470" s="209">
        <v>0</v>
      </c>
      <c r="M470" s="209">
        <v>0</v>
      </c>
      <c r="N470" s="209">
        <v>0</v>
      </c>
      <c r="O470" s="210">
        <v>0</v>
      </c>
      <c r="P470" s="210">
        <v>0</v>
      </c>
      <c r="Q470" s="209">
        <v>0</v>
      </c>
      <c r="R470" s="210">
        <v>0</v>
      </c>
      <c r="S470" s="210">
        <v>0</v>
      </c>
      <c r="T470" s="15">
        <v>0</v>
      </c>
      <c r="U470" s="15">
        <v>35.676317500168828</v>
      </c>
      <c r="V470" s="15"/>
    </row>
    <row r="471" spans="1:22" x14ac:dyDescent="0.25">
      <c r="A471" s="166"/>
      <c r="B471" s="268" t="s">
        <v>91</v>
      </c>
      <c r="C471" s="524">
        <v>5.3333997931438393E-2</v>
      </c>
      <c r="D471" s="525">
        <v>2.205573675202635E-2</v>
      </c>
      <c r="E471" s="525">
        <v>4.6707279622342363E-2</v>
      </c>
      <c r="F471" s="525">
        <v>0</v>
      </c>
      <c r="G471" s="525">
        <v>0</v>
      </c>
      <c r="H471" s="525">
        <v>0</v>
      </c>
      <c r="I471" s="525">
        <v>0</v>
      </c>
      <c r="J471" s="536">
        <v>4.6752893179545701E-2</v>
      </c>
      <c r="K471" s="536">
        <v>0</v>
      </c>
      <c r="L471" s="525">
        <v>0</v>
      </c>
      <c r="M471" s="525">
        <v>0</v>
      </c>
      <c r="N471" s="525">
        <v>0</v>
      </c>
      <c r="O471" s="536">
        <v>0</v>
      </c>
      <c r="P471" s="165">
        <v>0</v>
      </c>
      <c r="Q471" s="525">
        <v>0</v>
      </c>
      <c r="R471" s="536">
        <v>0</v>
      </c>
      <c r="S471" s="536">
        <v>0</v>
      </c>
      <c r="T471" s="15">
        <v>0</v>
      </c>
      <c r="U471" s="15">
        <v>4.6752893179545701E-2</v>
      </c>
      <c r="V471" s="15"/>
    </row>
    <row r="472" spans="1:22" x14ac:dyDescent="0.25">
      <c r="A472" s="166"/>
      <c r="B472" s="167" t="s">
        <v>92</v>
      </c>
      <c r="C472" s="168">
        <v>3.2054475418002708E-2</v>
      </c>
      <c r="D472" s="169">
        <v>2.3533204384268213E-2</v>
      </c>
      <c r="E472" s="169">
        <v>3.0867626739598024E-2</v>
      </c>
      <c r="F472" s="169">
        <v>0</v>
      </c>
      <c r="G472" s="169">
        <v>3.5310734463276836E-4</v>
      </c>
      <c r="H472" s="169">
        <v>0</v>
      </c>
      <c r="I472" s="169">
        <v>0</v>
      </c>
      <c r="J472" s="170">
        <v>3.0430312338493623E-2</v>
      </c>
      <c r="K472" s="170">
        <v>0</v>
      </c>
      <c r="L472" s="169">
        <v>0</v>
      </c>
      <c r="M472" s="169">
        <v>0</v>
      </c>
      <c r="N472" s="169">
        <v>0</v>
      </c>
      <c r="O472" s="170">
        <v>0</v>
      </c>
      <c r="P472" s="170">
        <v>0</v>
      </c>
      <c r="Q472" s="169">
        <v>0</v>
      </c>
      <c r="R472" s="170">
        <v>0</v>
      </c>
      <c r="S472" s="170">
        <v>0</v>
      </c>
      <c r="T472" s="15">
        <v>0</v>
      </c>
      <c r="U472" s="15">
        <v>3.0430312338493623E-2</v>
      </c>
      <c r="V472" s="15"/>
    </row>
    <row r="473" spans="1:22" ht="15.75" thickBot="1" x14ac:dyDescent="0.3">
      <c r="A473" s="540"/>
      <c r="B473" s="541" t="s">
        <v>93</v>
      </c>
      <c r="C473" s="542">
        <v>-2.1279522513435687</v>
      </c>
      <c r="D473" s="543">
        <v>0.14774676322418628</v>
      </c>
      <c r="E473" s="543">
        <v>-1.5839652882744339</v>
      </c>
      <c r="F473" s="543">
        <v>0</v>
      </c>
      <c r="G473" s="543">
        <v>0</v>
      </c>
      <c r="H473" s="543">
        <v>0</v>
      </c>
      <c r="I473" s="543">
        <v>0</v>
      </c>
      <c r="J473" s="544">
        <v>-1.6322580841052079</v>
      </c>
      <c r="K473" s="544">
        <v>0</v>
      </c>
      <c r="L473" s="543">
        <v>0</v>
      </c>
      <c r="M473" s="543">
        <v>0</v>
      </c>
      <c r="N473" s="543">
        <v>0</v>
      </c>
      <c r="O473" s="544">
        <v>0</v>
      </c>
      <c r="P473" s="544">
        <v>0</v>
      </c>
      <c r="Q473" s="543">
        <v>0</v>
      </c>
      <c r="R473" s="544">
        <v>0</v>
      </c>
      <c r="S473" s="544">
        <v>0</v>
      </c>
      <c r="T473" s="15">
        <v>0</v>
      </c>
      <c r="U473" s="15">
        <v>-1.6322580841052079</v>
      </c>
      <c r="V473" s="15"/>
    </row>
    <row r="474" spans="1:22" x14ac:dyDescent="0.25">
      <c r="A474" s="523" t="s">
        <v>52</v>
      </c>
      <c r="B474" s="268" t="s">
        <v>59</v>
      </c>
      <c r="C474" s="524">
        <v>0.90706985405528229</v>
      </c>
      <c r="D474" s="525">
        <v>0.90130712529237544</v>
      </c>
      <c r="E474" s="525">
        <v>0.880259763137624</v>
      </c>
      <c r="F474" s="525">
        <v>0.38267712666644832</v>
      </c>
      <c r="G474" s="525">
        <v>0.67977954084778813</v>
      </c>
      <c r="H474" s="525">
        <v>1</v>
      </c>
      <c r="I474" s="525">
        <v>0</v>
      </c>
      <c r="J474" s="536">
        <v>0.8844061847194612</v>
      </c>
      <c r="K474" s="536">
        <v>0.79600203688003113</v>
      </c>
      <c r="L474" s="525">
        <v>0.73671171509986844</v>
      </c>
      <c r="M474" s="525">
        <v>0.57643367881662766</v>
      </c>
      <c r="N474" s="525">
        <v>0.60148605735138727</v>
      </c>
      <c r="O474" s="536">
        <v>0.71005035314294818</v>
      </c>
      <c r="P474" s="165">
        <v>0</v>
      </c>
      <c r="Q474" s="525">
        <v>0</v>
      </c>
      <c r="R474" s="536">
        <v>0</v>
      </c>
      <c r="S474" s="536">
        <v>0</v>
      </c>
      <c r="T474" s="15">
        <v>0</v>
      </c>
      <c r="U474" s="15">
        <v>0.78546078553621634</v>
      </c>
      <c r="V474" s="15"/>
    </row>
    <row r="475" spans="1:22" x14ac:dyDescent="0.25">
      <c r="A475" s="166"/>
      <c r="B475" s="167" t="s">
        <v>60</v>
      </c>
      <c r="C475" s="168">
        <v>0.89629587772752461</v>
      </c>
      <c r="D475" s="169">
        <v>0.88666723805571346</v>
      </c>
      <c r="E475" s="169">
        <v>0.86557394698134882</v>
      </c>
      <c r="F475" s="169">
        <v>0.37902060768864354</v>
      </c>
      <c r="G475" s="169">
        <v>0.63052163350595591</v>
      </c>
      <c r="H475" s="169">
        <v>0.99894473757289637</v>
      </c>
      <c r="I475" s="169">
        <v>0</v>
      </c>
      <c r="J475" s="170">
        <v>0.87029754012382454</v>
      </c>
      <c r="K475" s="170">
        <v>0.79240002797172704</v>
      </c>
      <c r="L475" s="169">
        <v>0.68889840056327767</v>
      </c>
      <c r="M475" s="169">
        <v>0.55498477987221362</v>
      </c>
      <c r="N475" s="169">
        <v>0.5593608881985791</v>
      </c>
      <c r="O475" s="170">
        <v>0.66944374378887972</v>
      </c>
      <c r="P475" s="170">
        <v>0</v>
      </c>
      <c r="Q475" s="169">
        <v>0</v>
      </c>
      <c r="R475" s="170">
        <v>0</v>
      </c>
      <c r="S475" s="170">
        <v>0</v>
      </c>
      <c r="T475" s="15">
        <v>0</v>
      </c>
      <c r="U475" s="15">
        <v>0.75903144323554428</v>
      </c>
      <c r="V475" s="15"/>
    </row>
    <row r="476" spans="1:22" x14ac:dyDescent="0.25">
      <c r="A476" s="166"/>
      <c r="B476" s="207" t="s">
        <v>772</v>
      </c>
      <c r="C476" s="208">
        <v>-1.0773976327757673</v>
      </c>
      <c r="D476" s="209">
        <v>-1.4639887236661986</v>
      </c>
      <c r="E476" s="209">
        <v>-1.4685816156275178</v>
      </c>
      <c r="F476" s="209">
        <v>-0.36565189778047791</v>
      </c>
      <c r="G476" s="209">
        <v>-4.9257907341832219</v>
      </c>
      <c r="H476" s="209">
        <v>-0.10552624271036315</v>
      </c>
      <c r="I476" s="209">
        <v>0</v>
      </c>
      <c r="J476" s="210">
        <v>-1.4108644595636655</v>
      </c>
      <c r="K476" s="210">
        <v>-0.36020089083040885</v>
      </c>
      <c r="L476" s="209">
        <v>-4.7813314536590763</v>
      </c>
      <c r="M476" s="209">
        <v>-2.1448898944414041</v>
      </c>
      <c r="N476" s="209">
        <v>-4.2125169152808173</v>
      </c>
      <c r="O476" s="210">
        <v>-4.0606609354068457</v>
      </c>
      <c r="P476" s="210">
        <v>0</v>
      </c>
      <c r="Q476" s="209">
        <v>0</v>
      </c>
      <c r="R476" s="210">
        <v>0</v>
      </c>
      <c r="S476" s="210">
        <v>0</v>
      </c>
      <c r="T476" s="15">
        <v>0</v>
      </c>
      <c r="U476" s="15">
        <v>-2.6429342300672065</v>
      </c>
      <c r="V476" s="15"/>
    </row>
    <row r="477" spans="1:22" x14ac:dyDescent="0.25">
      <c r="A477" s="166"/>
      <c r="B477" s="268" t="s">
        <v>61</v>
      </c>
      <c r="C477" s="524">
        <v>5.4571259793499095E-3</v>
      </c>
      <c r="D477" s="525">
        <v>7.4499913328565778E-3</v>
      </c>
      <c r="E477" s="525">
        <v>2.3255183686209571E-2</v>
      </c>
      <c r="F477" s="525">
        <v>0.16814340463166169</v>
      </c>
      <c r="G477" s="525">
        <v>4.3401420356475838E-2</v>
      </c>
      <c r="H477" s="525">
        <v>0</v>
      </c>
      <c r="I477" s="525">
        <v>0</v>
      </c>
      <c r="J477" s="536">
        <v>1.5213390638744426E-2</v>
      </c>
      <c r="K477" s="536">
        <v>1.0819948400775681E-2</v>
      </c>
      <c r="L477" s="525">
        <v>8.73976728803013E-2</v>
      </c>
      <c r="M477" s="525">
        <v>0.20211521044709768</v>
      </c>
      <c r="N477" s="525">
        <v>0.15069103628816397</v>
      </c>
      <c r="O477" s="536">
        <v>0.10392984134095416</v>
      </c>
      <c r="P477" s="165">
        <v>0</v>
      </c>
      <c r="Q477" s="525">
        <v>0</v>
      </c>
      <c r="R477" s="536">
        <v>0</v>
      </c>
      <c r="S477" s="536">
        <v>0</v>
      </c>
      <c r="T477" s="15">
        <v>0</v>
      </c>
      <c r="U477" s="15">
        <v>6.5559195246941274E-2</v>
      </c>
      <c r="V477" s="15"/>
    </row>
    <row r="478" spans="1:22" x14ac:dyDescent="0.25">
      <c r="A478" s="166"/>
      <c r="B478" s="167" t="s">
        <v>62</v>
      </c>
      <c r="C478" s="168">
        <v>5.8604808335701768E-3</v>
      </c>
      <c r="D478" s="169">
        <v>4.8598142083404756E-3</v>
      </c>
      <c r="E478" s="169">
        <v>2.5187516936679706E-2</v>
      </c>
      <c r="F478" s="169">
        <v>0.15590470017726205</v>
      </c>
      <c r="G478" s="169">
        <v>4.1106634312912151E-2</v>
      </c>
      <c r="H478" s="169">
        <v>0</v>
      </c>
      <c r="I478" s="169">
        <v>0</v>
      </c>
      <c r="J478" s="170">
        <v>1.5712326129085852E-2</v>
      </c>
      <c r="K478" s="170">
        <v>9.6905896655226954E-3</v>
      </c>
      <c r="L478" s="169">
        <v>0.11149686122350452</v>
      </c>
      <c r="M478" s="169">
        <v>0.2019719337663359</v>
      </c>
      <c r="N478" s="169">
        <v>0.1575890931055311</v>
      </c>
      <c r="O478" s="170">
        <v>0.12198998485331844</v>
      </c>
      <c r="P478" s="170">
        <v>0</v>
      </c>
      <c r="Q478" s="169">
        <v>0</v>
      </c>
      <c r="R478" s="170">
        <v>0</v>
      </c>
      <c r="S478" s="170">
        <v>0</v>
      </c>
      <c r="T478" s="15">
        <v>0</v>
      </c>
      <c r="U478" s="15">
        <v>7.4586494745498014E-2</v>
      </c>
      <c r="V478" s="15"/>
    </row>
    <row r="479" spans="1:22" x14ac:dyDescent="0.25">
      <c r="A479" s="166"/>
      <c r="B479" s="207" t="s">
        <v>63</v>
      </c>
      <c r="C479" s="208">
        <v>4.033548542202673E-2</v>
      </c>
      <c r="D479" s="209">
        <v>-0.2590177124516102</v>
      </c>
      <c r="E479" s="209">
        <v>0.19323332504701357</v>
      </c>
      <c r="F479" s="209">
        <v>-1.2238704454399647</v>
      </c>
      <c r="G479" s="209">
        <v>-0.22947860435636874</v>
      </c>
      <c r="H479" s="209">
        <v>0</v>
      </c>
      <c r="I479" s="209">
        <v>0</v>
      </c>
      <c r="J479" s="210">
        <v>4.9893549034142615E-2</v>
      </c>
      <c r="K479" s="210">
        <v>-0.11293587352529857</v>
      </c>
      <c r="L479" s="209">
        <v>2.4099188343203224</v>
      </c>
      <c r="M479" s="209">
        <v>-1.4327668076177802E-2</v>
      </c>
      <c r="N479" s="209">
        <v>0.68980568173671319</v>
      </c>
      <c r="O479" s="210">
        <v>1.8060143512364277</v>
      </c>
      <c r="P479" s="210">
        <v>0</v>
      </c>
      <c r="Q479" s="209">
        <v>0</v>
      </c>
      <c r="R479" s="210">
        <v>0</v>
      </c>
      <c r="S479" s="210">
        <v>0</v>
      </c>
      <c r="T479" s="15">
        <v>0</v>
      </c>
      <c r="U479" s="15">
        <v>0.90272994985567401</v>
      </c>
      <c r="V479" s="15"/>
    </row>
    <row r="480" spans="1:22" x14ac:dyDescent="0.25">
      <c r="A480" s="166"/>
      <c r="B480" s="268" t="s">
        <v>64</v>
      </c>
      <c r="C480" s="524">
        <v>8.5224596884311776E-2</v>
      </c>
      <c r="D480" s="525">
        <v>8.6711205528361826E-2</v>
      </c>
      <c r="E480" s="525">
        <v>9.2237595050893573E-2</v>
      </c>
      <c r="F480" s="525">
        <v>0.41500704248419534</v>
      </c>
      <c r="G480" s="525">
        <v>0.26276889850086599</v>
      </c>
      <c r="H480" s="525">
        <v>0</v>
      </c>
      <c r="I480" s="525">
        <v>0</v>
      </c>
      <c r="J480" s="536">
        <v>9.6433078372421571E-2</v>
      </c>
      <c r="K480" s="536">
        <v>0.1916620758724788</v>
      </c>
      <c r="L480" s="525">
        <v>0.16988635358942505</v>
      </c>
      <c r="M480" s="525">
        <v>0.19545067144947251</v>
      </c>
      <c r="N480" s="525">
        <v>0.21593797910774898</v>
      </c>
      <c r="O480" s="536">
        <v>0.17632521495715825</v>
      </c>
      <c r="P480" s="165">
        <v>0</v>
      </c>
      <c r="Q480" s="525">
        <v>0</v>
      </c>
      <c r="R480" s="536">
        <v>0</v>
      </c>
      <c r="S480" s="536">
        <v>0</v>
      </c>
      <c r="T480" s="15">
        <v>0</v>
      </c>
      <c r="U480" s="15">
        <v>0.14177116241872512</v>
      </c>
      <c r="V480" s="15"/>
    </row>
    <row r="481" spans="1:22" x14ac:dyDescent="0.25">
      <c r="A481" s="166"/>
      <c r="B481" s="167" t="s">
        <v>65</v>
      </c>
      <c r="C481" s="168">
        <v>9.5792613015433251E-2</v>
      </c>
      <c r="D481" s="169">
        <v>0.1041875298851508</v>
      </c>
      <c r="E481" s="169">
        <v>0.10453652272770143</v>
      </c>
      <c r="F481" s="169">
        <v>0.43454189084718764</v>
      </c>
      <c r="G481" s="169">
        <v>0.31622774853544522</v>
      </c>
      <c r="H481" s="169">
        <v>1.0552624271035823E-3</v>
      </c>
      <c r="I481" s="169">
        <v>0</v>
      </c>
      <c r="J481" s="170">
        <v>0.11007319730164489</v>
      </c>
      <c r="K481" s="170">
        <v>0.19644086669320396</v>
      </c>
      <c r="L481" s="169">
        <v>0.19469485853944793</v>
      </c>
      <c r="M481" s="169">
        <v>0.21748731011370293</v>
      </c>
      <c r="N481" s="169">
        <v>0.24843673598527338</v>
      </c>
      <c r="O481" s="170">
        <v>0.19977418408330994</v>
      </c>
      <c r="P481" s="170">
        <v>0</v>
      </c>
      <c r="Q481" s="169">
        <v>0</v>
      </c>
      <c r="R481" s="170">
        <v>0</v>
      </c>
      <c r="S481" s="170">
        <v>0</v>
      </c>
      <c r="T481" s="15">
        <v>0</v>
      </c>
      <c r="U481" s="15">
        <v>0.15976445964442512</v>
      </c>
      <c r="V481" s="15"/>
    </row>
    <row r="482" spans="1:22" x14ac:dyDescent="0.25">
      <c r="A482" s="166"/>
      <c r="B482" s="207" t="s">
        <v>66</v>
      </c>
      <c r="C482" s="208">
        <v>1.0568016131121474</v>
      </c>
      <c r="D482" s="209">
        <v>1.7476324356788975</v>
      </c>
      <c r="E482" s="209">
        <v>1.229892767680786</v>
      </c>
      <c r="F482" s="209">
        <v>1.9534848362992296</v>
      </c>
      <c r="G482" s="209">
        <v>5.3458850034579228</v>
      </c>
      <c r="H482" s="209">
        <v>0</v>
      </c>
      <c r="I482" s="209">
        <v>0</v>
      </c>
      <c r="J482" s="210">
        <v>1.3640118929223317</v>
      </c>
      <c r="K482" s="210">
        <v>0.47787908207251595</v>
      </c>
      <c r="L482" s="209">
        <v>2.4808504950022874</v>
      </c>
      <c r="M482" s="209">
        <v>2.2036638664230419</v>
      </c>
      <c r="N482" s="209">
        <v>3.2498756877524402</v>
      </c>
      <c r="O482" s="210">
        <v>2.3448969126151686</v>
      </c>
      <c r="P482" s="210">
        <v>0</v>
      </c>
      <c r="Q482" s="209">
        <v>0</v>
      </c>
      <c r="R482" s="210">
        <v>0</v>
      </c>
      <c r="S482" s="210">
        <v>0</v>
      </c>
      <c r="T482" s="15">
        <v>0</v>
      </c>
      <c r="U482" s="15">
        <v>1.7993297225700005</v>
      </c>
      <c r="V482" s="15"/>
    </row>
    <row r="483" spans="1:22" x14ac:dyDescent="0.25">
      <c r="A483" s="166"/>
      <c r="B483" s="268" t="s">
        <v>67</v>
      </c>
      <c r="C483" s="524">
        <v>1.7625029209221794E-5</v>
      </c>
      <c r="D483" s="525">
        <v>4.4866537247330255E-3</v>
      </c>
      <c r="E483" s="525">
        <v>2.194520031391005E-3</v>
      </c>
      <c r="F483" s="525">
        <v>3.4172426217694653E-2</v>
      </c>
      <c r="G483" s="525">
        <v>1.4050140294870016E-2</v>
      </c>
      <c r="H483" s="525">
        <v>0</v>
      </c>
      <c r="I483" s="525">
        <v>0</v>
      </c>
      <c r="J483" s="536">
        <v>2.1394830728308097E-3</v>
      </c>
      <c r="K483" s="536">
        <v>1.4182623746322482E-3</v>
      </c>
      <c r="L483" s="525">
        <v>5.7050615992699637E-4</v>
      </c>
      <c r="M483" s="525">
        <v>2.3836769761535221E-2</v>
      </c>
      <c r="N483" s="525">
        <v>2.297474935745257E-2</v>
      </c>
      <c r="O483" s="536">
        <v>4.9920101107250566E-3</v>
      </c>
      <c r="P483" s="165">
        <v>0</v>
      </c>
      <c r="Q483" s="525">
        <v>0</v>
      </c>
      <c r="R483" s="536">
        <v>0</v>
      </c>
      <c r="S483" s="536">
        <v>0</v>
      </c>
      <c r="T483" s="15">
        <v>0</v>
      </c>
      <c r="U483" s="15">
        <v>3.7582670497899465E-3</v>
      </c>
      <c r="V483" s="15"/>
    </row>
    <row r="484" spans="1:22" x14ac:dyDescent="0.25">
      <c r="A484" s="166"/>
      <c r="B484" s="167" t="s">
        <v>68</v>
      </c>
      <c r="C484" s="168">
        <v>2.0196979292781231E-4</v>
      </c>
      <c r="D484" s="169">
        <v>4.0079934320332725E-3</v>
      </c>
      <c r="E484" s="169">
        <v>2.4154178189743263E-3</v>
      </c>
      <c r="F484" s="169">
        <v>3.0532801286906816E-2</v>
      </c>
      <c r="G484" s="169">
        <v>1.2143983645686748E-2</v>
      </c>
      <c r="H484" s="169">
        <v>0</v>
      </c>
      <c r="I484" s="169">
        <v>0</v>
      </c>
      <c r="J484" s="170">
        <v>2.1696632982873632E-3</v>
      </c>
      <c r="K484" s="170">
        <v>1.4362405998859615E-3</v>
      </c>
      <c r="L484" s="169">
        <v>9.7879996842286342E-4</v>
      </c>
      <c r="M484" s="169">
        <v>2.3603553812810693E-2</v>
      </c>
      <c r="N484" s="169">
        <v>2.4198233957488421E-2</v>
      </c>
      <c r="O484" s="170">
        <v>5.2261407766281149E-3</v>
      </c>
      <c r="P484" s="170">
        <v>0</v>
      </c>
      <c r="Q484" s="169">
        <v>0</v>
      </c>
      <c r="R484" s="170">
        <v>0</v>
      </c>
      <c r="S484" s="170">
        <v>0</v>
      </c>
      <c r="T484" s="15">
        <v>0</v>
      </c>
      <c r="U484" s="15">
        <v>3.8628467254742992E-3</v>
      </c>
      <c r="V484" s="15"/>
    </row>
    <row r="485" spans="1:22" x14ac:dyDescent="0.25">
      <c r="A485" s="166"/>
      <c r="B485" s="207" t="s">
        <v>69</v>
      </c>
      <c r="C485" s="208">
        <v>1.8434476371859052E-2</v>
      </c>
      <c r="D485" s="209">
        <v>-4.7866029269975297E-2</v>
      </c>
      <c r="E485" s="209">
        <v>2.2089778758332131E-2</v>
      </c>
      <c r="F485" s="209">
        <v>-0.3639624930787837</v>
      </c>
      <c r="G485" s="209">
        <v>-0.19061566491832688</v>
      </c>
      <c r="H485" s="209">
        <v>0</v>
      </c>
      <c r="I485" s="209">
        <v>0</v>
      </c>
      <c r="J485" s="210">
        <v>3.0180225456553477E-3</v>
      </c>
      <c r="K485" s="210">
        <v>1.7978225253713342E-3</v>
      </c>
      <c r="L485" s="209">
        <v>4.0829380849586705E-2</v>
      </c>
      <c r="M485" s="209">
        <v>-2.3321594872452792E-2</v>
      </c>
      <c r="N485" s="209">
        <v>0.12234846000358512</v>
      </c>
      <c r="O485" s="210">
        <v>2.3413066590305832E-2</v>
      </c>
      <c r="P485" s="210">
        <v>0</v>
      </c>
      <c r="Q485" s="209">
        <v>0</v>
      </c>
      <c r="R485" s="210">
        <v>0</v>
      </c>
      <c r="S485" s="210">
        <v>0</v>
      </c>
      <c r="T485" s="15">
        <v>0</v>
      </c>
      <c r="U485" s="15">
        <v>1.045796756843527E-2</v>
      </c>
      <c r="V485" s="15"/>
    </row>
    <row r="486" spans="1:22" x14ac:dyDescent="0.25">
      <c r="A486" s="166"/>
      <c r="B486" s="268" t="s">
        <v>70</v>
      </c>
      <c r="C486" s="524">
        <v>2.2307980518467712E-3</v>
      </c>
      <c r="D486" s="525">
        <v>4.5024121673186406E-5</v>
      </c>
      <c r="E486" s="525">
        <v>2.0529380938819081E-3</v>
      </c>
      <c r="F486" s="525">
        <v>0</v>
      </c>
      <c r="G486" s="525">
        <v>0</v>
      </c>
      <c r="H486" s="525">
        <v>0</v>
      </c>
      <c r="I486" s="525">
        <v>0</v>
      </c>
      <c r="J486" s="536">
        <v>1.8078631965420342E-3</v>
      </c>
      <c r="K486" s="536">
        <v>9.7676472082110753E-5</v>
      </c>
      <c r="L486" s="525">
        <v>5.4337522704781581E-3</v>
      </c>
      <c r="M486" s="525">
        <v>2.163669525266879E-3</v>
      </c>
      <c r="N486" s="525">
        <v>8.9101778952472514E-3</v>
      </c>
      <c r="O486" s="536">
        <v>4.7025804482143437E-3</v>
      </c>
      <c r="P486" s="165">
        <v>0</v>
      </c>
      <c r="Q486" s="525">
        <v>0</v>
      </c>
      <c r="R486" s="536">
        <v>0</v>
      </c>
      <c r="S486" s="536">
        <v>0</v>
      </c>
      <c r="T486" s="15">
        <v>0</v>
      </c>
      <c r="U486" s="15">
        <v>3.4505897483273246E-3</v>
      </c>
      <c r="V486" s="15"/>
    </row>
    <row r="487" spans="1:22" x14ac:dyDescent="0.25">
      <c r="A487" s="166"/>
      <c r="B487" s="167" t="s">
        <v>71</v>
      </c>
      <c r="C487" s="168">
        <v>1.8490586305440987E-3</v>
      </c>
      <c r="D487" s="169">
        <v>2.7742441876201044E-4</v>
      </c>
      <c r="E487" s="169">
        <v>2.2865955352956956E-3</v>
      </c>
      <c r="F487" s="169">
        <v>0</v>
      </c>
      <c r="G487" s="169">
        <v>0</v>
      </c>
      <c r="H487" s="169">
        <v>0</v>
      </c>
      <c r="I487" s="169">
        <v>0</v>
      </c>
      <c r="J487" s="170">
        <v>1.7472731471573938E-3</v>
      </c>
      <c r="K487" s="170">
        <v>3.2275069660358684E-5</v>
      </c>
      <c r="L487" s="169">
        <v>3.9310797053469853E-3</v>
      </c>
      <c r="M487" s="169">
        <v>1.9524224349368009E-3</v>
      </c>
      <c r="N487" s="169">
        <v>1.0415048753127966E-2</v>
      </c>
      <c r="O487" s="170">
        <v>3.5659464978637849E-3</v>
      </c>
      <c r="P487" s="170">
        <v>0</v>
      </c>
      <c r="Q487" s="169">
        <v>0</v>
      </c>
      <c r="R487" s="170">
        <v>0</v>
      </c>
      <c r="S487" s="170">
        <v>0</v>
      </c>
      <c r="T487" s="15">
        <v>0</v>
      </c>
      <c r="U487" s="15">
        <v>2.7547556490583268E-3</v>
      </c>
      <c r="V487" s="15"/>
    </row>
    <row r="488" spans="1:22" x14ac:dyDescent="0.25">
      <c r="A488" s="166"/>
      <c r="B488" s="207" t="s">
        <v>72</v>
      </c>
      <c r="C488" s="208">
        <v>-3.8173942130267251E-2</v>
      </c>
      <c r="D488" s="209">
        <v>2.3240029708882403E-2</v>
      </c>
      <c r="E488" s="209">
        <v>2.3365744141378743E-2</v>
      </c>
      <c r="F488" s="209">
        <v>0</v>
      </c>
      <c r="G488" s="209">
        <v>0</v>
      </c>
      <c r="H488" s="209">
        <v>0</v>
      </c>
      <c r="I488" s="209">
        <v>0</v>
      </c>
      <c r="J488" s="210">
        <v>-6.059004938464038E-3</v>
      </c>
      <c r="K488" s="210">
        <v>-6.5401402421752068E-3</v>
      </c>
      <c r="L488" s="209">
        <v>-0.15026725651311729</v>
      </c>
      <c r="M488" s="209">
        <v>-2.1124709033007817E-2</v>
      </c>
      <c r="N488" s="209">
        <v>0.15048708578807146</v>
      </c>
      <c r="O488" s="210">
        <v>-0.11366339503505589</v>
      </c>
      <c r="P488" s="210">
        <v>0</v>
      </c>
      <c r="Q488" s="209">
        <v>0</v>
      </c>
      <c r="R488" s="210">
        <v>0</v>
      </c>
      <c r="S488" s="210">
        <v>0</v>
      </c>
      <c r="T488" s="15">
        <v>0</v>
      </c>
      <c r="U488" s="15">
        <v>-6.9583409926899778E-2</v>
      </c>
      <c r="V488" s="15"/>
    </row>
    <row r="489" spans="1:22" x14ac:dyDescent="0.25">
      <c r="A489" s="166"/>
      <c r="B489" s="268" t="s">
        <v>73</v>
      </c>
      <c r="C489" s="524">
        <v>0</v>
      </c>
      <c r="D489" s="525">
        <v>0</v>
      </c>
      <c r="E489" s="525">
        <v>0</v>
      </c>
      <c r="F489" s="525">
        <v>0</v>
      </c>
      <c r="G489" s="525">
        <v>0</v>
      </c>
      <c r="H489" s="525">
        <v>0</v>
      </c>
      <c r="I489" s="525">
        <v>0</v>
      </c>
      <c r="J489" s="536">
        <v>0</v>
      </c>
      <c r="K489" s="536">
        <v>0</v>
      </c>
      <c r="L489" s="525">
        <v>0</v>
      </c>
      <c r="M489" s="525">
        <v>0</v>
      </c>
      <c r="N489" s="525">
        <v>0</v>
      </c>
      <c r="O489" s="536">
        <v>0</v>
      </c>
      <c r="P489" s="165">
        <v>0</v>
      </c>
      <c r="Q489" s="525">
        <v>0</v>
      </c>
      <c r="R489" s="536">
        <v>0</v>
      </c>
      <c r="S489" s="536">
        <v>0</v>
      </c>
      <c r="T489" s="15">
        <v>0</v>
      </c>
      <c r="U489" s="15">
        <v>0</v>
      </c>
      <c r="V489" s="15"/>
    </row>
    <row r="490" spans="1:22" x14ac:dyDescent="0.25">
      <c r="A490" s="166"/>
      <c r="B490" s="167" t="s">
        <v>74</v>
      </c>
      <c r="C490" s="168">
        <v>0</v>
      </c>
      <c r="D490" s="169">
        <v>0</v>
      </c>
      <c r="E490" s="169">
        <v>0</v>
      </c>
      <c r="F490" s="169">
        <v>0</v>
      </c>
      <c r="G490" s="169">
        <v>0</v>
      </c>
      <c r="H490" s="169">
        <v>0</v>
      </c>
      <c r="I490" s="169">
        <v>0</v>
      </c>
      <c r="J490" s="170">
        <v>0</v>
      </c>
      <c r="K490" s="170">
        <v>0</v>
      </c>
      <c r="L490" s="169">
        <v>0</v>
      </c>
      <c r="M490" s="169">
        <v>0</v>
      </c>
      <c r="N490" s="169">
        <v>0</v>
      </c>
      <c r="O490" s="170">
        <v>0</v>
      </c>
      <c r="P490" s="170">
        <v>0</v>
      </c>
      <c r="Q490" s="169">
        <v>0</v>
      </c>
      <c r="R490" s="170">
        <v>0</v>
      </c>
      <c r="S490" s="170">
        <v>0</v>
      </c>
      <c r="T490" s="15">
        <v>0</v>
      </c>
      <c r="U490" s="15">
        <v>0</v>
      </c>
      <c r="V490" s="15"/>
    </row>
    <row r="491" spans="1:22" ht="15.75" thickBot="1" x14ac:dyDescent="0.3">
      <c r="A491" s="166"/>
      <c r="B491" s="531" t="s">
        <v>75</v>
      </c>
      <c r="C491" s="532">
        <v>0</v>
      </c>
      <c r="D491" s="533">
        <v>0</v>
      </c>
      <c r="E491" s="533">
        <v>0</v>
      </c>
      <c r="F491" s="533">
        <v>0</v>
      </c>
      <c r="G491" s="533">
        <v>0</v>
      </c>
      <c r="H491" s="533">
        <v>0</v>
      </c>
      <c r="I491" s="533">
        <v>0</v>
      </c>
      <c r="J491" s="537">
        <v>0</v>
      </c>
      <c r="K491" s="537">
        <v>0</v>
      </c>
      <c r="L491" s="533">
        <v>0</v>
      </c>
      <c r="M491" s="533">
        <v>0</v>
      </c>
      <c r="N491" s="533">
        <v>0</v>
      </c>
      <c r="O491" s="537">
        <v>0</v>
      </c>
      <c r="P491" s="537">
        <v>0</v>
      </c>
      <c r="Q491" s="533">
        <v>0</v>
      </c>
      <c r="R491" s="537">
        <v>0</v>
      </c>
      <c r="S491" s="537">
        <v>0</v>
      </c>
      <c r="T491" s="15">
        <v>0</v>
      </c>
      <c r="U491" s="15">
        <v>0</v>
      </c>
      <c r="V491" s="15"/>
    </row>
    <row r="492" spans="1:22" ht="15.75" thickTop="1" x14ac:dyDescent="0.25">
      <c r="A492" s="166"/>
      <c r="B492" s="167" t="s">
        <v>76</v>
      </c>
      <c r="C492" s="168">
        <v>0.85580911005415317</v>
      </c>
      <c r="D492" s="169">
        <v>0.68107021622577546</v>
      </c>
      <c r="E492" s="169">
        <v>0.56512911083677997</v>
      </c>
      <c r="F492" s="169">
        <v>0.286799784133837</v>
      </c>
      <c r="G492" s="169">
        <v>0.38920594312702944</v>
      </c>
      <c r="H492" s="169">
        <v>0.91990090834021465</v>
      </c>
      <c r="I492" s="169">
        <v>0</v>
      </c>
      <c r="J492" s="170">
        <v>0.72623231785293585</v>
      </c>
      <c r="K492" s="170">
        <v>0</v>
      </c>
      <c r="L492" s="169">
        <v>0</v>
      </c>
      <c r="M492" s="169">
        <v>0</v>
      </c>
      <c r="N492" s="169">
        <v>0</v>
      </c>
      <c r="O492" s="170">
        <v>0</v>
      </c>
      <c r="P492" s="170">
        <v>0</v>
      </c>
      <c r="Q492" s="169">
        <v>0</v>
      </c>
      <c r="R492" s="170">
        <v>0</v>
      </c>
      <c r="S492" s="170">
        <v>0</v>
      </c>
      <c r="T492" s="15">
        <v>0</v>
      </c>
      <c r="U492" s="15">
        <v>0.72623231785293585</v>
      </c>
      <c r="V492" s="15"/>
    </row>
    <row r="493" spans="1:22" x14ac:dyDescent="0.25">
      <c r="A493" s="166"/>
      <c r="B493" s="167" t="s">
        <v>77</v>
      </c>
      <c r="C493" s="168">
        <v>0.85291989757439179</v>
      </c>
      <c r="D493" s="169">
        <v>0.68221394125383605</v>
      </c>
      <c r="E493" s="169">
        <v>0.51837575693718851</v>
      </c>
      <c r="F493" s="169">
        <v>0.22880167404999888</v>
      </c>
      <c r="G493" s="169">
        <v>0.33928412032491295</v>
      </c>
      <c r="H493" s="169">
        <v>0.91935483870967738</v>
      </c>
      <c r="I493" s="169">
        <v>0</v>
      </c>
      <c r="J493" s="170">
        <v>0.70585070657073901</v>
      </c>
      <c r="K493" s="170">
        <v>0</v>
      </c>
      <c r="L493" s="169">
        <v>0</v>
      </c>
      <c r="M493" s="169">
        <v>0</v>
      </c>
      <c r="N493" s="169">
        <v>0</v>
      </c>
      <c r="O493" s="170">
        <v>0</v>
      </c>
      <c r="P493" s="170">
        <v>0</v>
      </c>
      <c r="Q493" s="169">
        <v>0</v>
      </c>
      <c r="R493" s="170">
        <v>0</v>
      </c>
      <c r="S493" s="170">
        <v>0</v>
      </c>
      <c r="T493" s="15">
        <v>0</v>
      </c>
      <c r="U493" s="15">
        <v>0.70585070657073901</v>
      </c>
      <c r="V493" s="15"/>
    </row>
    <row r="494" spans="1:22" x14ac:dyDescent="0.25">
      <c r="A494" s="166"/>
      <c r="B494" s="207" t="s">
        <v>78</v>
      </c>
      <c r="C494" s="208">
        <v>-0.28892124797613716</v>
      </c>
      <c r="D494" s="209">
        <v>0.11437250280605937</v>
      </c>
      <c r="E494" s="209">
        <v>-4.6753353899591454</v>
      </c>
      <c r="F494" s="209">
        <v>-5.7998110083838119</v>
      </c>
      <c r="G494" s="209">
        <v>-4.9921822802116491</v>
      </c>
      <c r="H494" s="209">
        <v>-5.4606963053727142E-2</v>
      </c>
      <c r="I494" s="209">
        <v>0</v>
      </c>
      <c r="J494" s="210">
        <v>-2.0381611282196843</v>
      </c>
      <c r="K494" s="210">
        <v>0</v>
      </c>
      <c r="L494" s="209">
        <v>0</v>
      </c>
      <c r="M494" s="209">
        <v>0</v>
      </c>
      <c r="N494" s="209">
        <v>0</v>
      </c>
      <c r="O494" s="210">
        <v>0</v>
      </c>
      <c r="P494" s="210">
        <v>0</v>
      </c>
      <c r="Q494" s="209">
        <v>0</v>
      </c>
      <c r="R494" s="210">
        <v>0</v>
      </c>
      <c r="S494" s="210">
        <v>0</v>
      </c>
      <c r="T494" s="15">
        <v>0</v>
      </c>
      <c r="U494" s="15">
        <v>-2.0381611282196843</v>
      </c>
      <c r="V494" s="15"/>
    </row>
    <row r="495" spans="1:22" x14ac:dyDescent="0.25">
      <c r="A495" s="166"/>
      <c r="B495" s="268" t="s">
        <v>79</v>
      </c>
      <c r="C495" s="524">
        <v>2.0182086473166959E-2</v>
      </c>
      <c r="D495" s="525">
        <v>2.3960386644295013E-2</v>
      </c>
      <c r="E495" s="525">
        <v>7.3126263399923702E-2</v>
      </c>
      <c r="F495" s="525">
        <v>0.14363734484619536</v>
      </c>
      <c r="G495" s="525">
        <v>4.9296467578470921E-2</v>
      </c>
      <c r="H495" s="525">
        <v>0</v>
      </c>
      <c r="I495" s="525">
        <v>0</v>
      </c>
      <c r="J495" s="536">
        <v>4.0550865180846878E-2</v>
      </c>
      <c r="K495" s="536">
        <v>0</v>
      </c>
      <c r="L495" s="525">
        <v>0</v>
      </c>
      <c r="M495" s="525">
        <v>0</v>
      </c>
      <c r="N495" s="525">
        <v>0</v>
      </c>
      <c r="O495" s="536">
        <v>0</v>
      </c>
      <c r="P495" s="165">
        <v>0</v>
      </c>
      <c r="Q495" s="525">
        <v>0</v>
      </c>
      <c r="R495" s="536">
        <v>0</v>
      </c>
      <c r="S495" s="536">
        <v>0</v>
      </c>
      <c r="T495" s="15">
        <v>0</v>
      </c>
      <c r="U495" s="15">
        <v>4.0550865180846878E-2</v>
      </c>
      <c r="V495" s="15"/>
    </row>
    <row r="496" spans="1:22" x14ac:dyDescent="0.25">
      <c r="A496" s="166"/>
      <c r="B496" s="167" t="s">
        <v>80</v>
      </c>
      <c r="C496" s="168">
        <v>2.252279511717074E-2</v>
      </c>
      <c r="D496" s="169">
        <v>2.2406839105655413E-2</v>
      </c>
      <c r="E496" s="169">
        <v>7.0593813382971438E-2</v>
      </c>
      <c r="F496" s="169">
        <v>0.13094098528527859</v>
      </c>
      <c r="G496" s="169">
        <v>1.9816120681960189E-2</v>
      </c>
      <c r="H496" s="169">
        <v>1.2096774193548387E-2</v>
      </c>
      <c r="I496" s="169">
        <v>0</v>
      </c>
      <c r="J496" s="170">
        <v>4.0543622084060316E-2</v>
      </c>
      <c r="K496" s="170">
        <v>0</v>
      </c>
      <c r="L496" s="169">
        <v>0</v>
      </c>
      <c r="M496" s="169">
        <v>0</v>
      </c>
      <c r="N496" s="169">
        <v>0</v>
      </c>
      <c r="O496" s="170">
        <v>0</v>
      </c>
      <c r="P496" s="170">
        <v>0</v>
      </c>
      <c r="Q496" s="169">
        <v>0</v>
      </c>
      <c r="R496" s="170">
        <v>0</v>
      </c>
      <c r="S496" s="170">
        <v>0</v>
      </c>
      <c r="T496" s="15">
        <v>0</v>
      </c>
      <c r="U496" s="15">
        <v>4.0543622084060316E-2</v>
      </c>
      <c r="V496" s="15"/>
    </row>
    <row r="497" spans="1:22" x14ac:dyDescent="0.25">
      <c r="A497" s="166"/>
      <c r="B497" s="207" t="s">
        <v>81</v>
      </c>
      <c r="C497" s="208">
        <v>0.23407086440037811</v>
      </c>
      <c r="D497" s="209">
        <v>-0.15535475386396005</v>
      </c>
      <c r="E497" s="209">
        <v>-0.25324500169522646</v>
      </c>
      <c r="F497" s="209">
        <v>-1.2696359560916775</v>
      </c>
      <c r="G497" s="209">
        <v>-2.948034689651073</v>
      </c>
      <c r="H497" s="209">
        <v>0</v>
      </c>
      <c r="I497" s="209">
        <v>0</v>
      </c>
      <c r="J497" s="210">
        <v>-7.2430967865619311E-4</v>
      </c>
      <c r="K497" s="210">
        <v>0</v>
      </c>
      <c r="L497" s="209">
        <v>0</v>
      </c>
      <c r="M497" s="209">
        <v>0</v>
      </c>
      <c r="N497" s="209">
        <v>0</v>
      </c>
      <c r="O497" s="210">
        <v>0</v>
      </c>
      <c r="P497" s="210">
        <v>0</v>
      </c>
      <c r="Q497" s="209">
        <v>0</v>
      </c>
      <c r="R497" s="210">
        <v>0</v>
      </c>
      <c r="S497" s="210">
        <v>0</v>
      </c>
      <c r="T497" s="15">
        <v>0</v>
      </c>
      <c r="U497" s="15">
        <v>-7.2430967865619311E-4</v>
      </c>
      <c r="V497" s="15"/>
    </row>
    <row r="498" spans="1:22" x14ac:dyDescent="0.25">
      <c r="A498" s="166"/>
      <c r="B498" s="268" t="s">
        <v>82</v>
      </c>
      <c r="C498" s="524">
        <v>0.11949872496490072</v>
      </c>
      <c r="D498" s="525">
        <v>0.29285587967615739</v>
      </c>
      <c r="E498" s="525">
        <v>0.34531629677020165</v>
      </c>
      <c r="F498" s="525">
        <v>0.54080949811117107</v>
      </c>
      <c r="G498" s="525">
        <v>0.54762373314966051</v>
      </c>
      <c r="H498" s="525">
        <v>8.0099091659785307E-2</v>
      </c>
      <c r="I498" s="525">
        <v>0</v>
      </c>
      <c r="J498" s="536">
        <v>0.22453451479232828</v>
      </c>
      <c r="K498" s="536">
        <v>0</v>
      </c>
      <c r="L498" s="525">
        <v>0</v>
      </c>
      <c r="M498" s="525">
        <v>0</v>
      </c>
      <c r="N498" s="525">
        <v>0</v>
      </c>
      <c r="O498" s="536">
        <v>0</v>
      </c>
      <c r="P498" s="165">
        <v>0</v>
      </c>
      <c r="Q498" s="525">
        <v>0</v>
      </c>
      <c r="R498" s="536">
        <v>0</v>
      </c>
      <c r="S498" s="536">
        <v>0</v>
      </c>
      <c r="T498" s="15">
        <v>0</v>
      </c>
      <c r="U498" s="15">
        <v>0.22453451479232828</v>
      </c>
      <c r="V498" s="15"/>
    </row>
    <row r="499" spans="1:22" x14ac:dyDescent="0.25">
      <c r="A499" s="166"/>
      <c r="B499" s="167" t="s">
        <v>83</v>
      </c>
      <c r="C499" s="168">
        <v>0.11920751121126863</v>
      </c>
      <c r="D499" s="169">
        <v>0.29309951775537046</v>
      </c>
      <c r="E499" s="169">
        <v>0.39356928993511342</v>
      </c>
      <c r="F499" s="169">
        <v>0.61007101355713367</v>
      </c>
      <c r="G499" s="169">
        <v>0.62536820494510403</v>
      </c>
      <c r="H499" s="169">
        <v>6.8548387096774188E-2</v>
      </c>
      <c r="I499" s="169">
        <v>0</v>
      </c>
      <c r="J499" s="170">
        <v>0.24398655556226245</v>
      </c>
      <c r="K499" s="170">
        <v>0</v>
      </c>
      <c r="L499" s="169">
        <v>0</v>
      </c>
      <c r="M499" s="169">
        <v>0</v>
      </c>
      <c r="N499" s="169">
        <v>0</v>
      </c>
      <c r="O499" s="170">
        <v>0</v>
      </c>
      <c r="P499" s="170">
        <v>0</v>
      </c>
      <c r="Q499" s="169">
        <v>0</v>
      </c>
      <c r="R499" s="170">
        <v>0</v>
      </c>
      <c r="S499" s="170">
        <v>0</v>
      </c>
      <c r="T499" s="15">
        <v>0</v>
      </c>
      <c r="U499" s="15">
        <v>0.24398655556226245</v>
      </c>
      <c r="V499" s="15"/>
    </row>
    <row r="500" spans="1:22" x14ac:dyDescent="0.25">
      <c r="A500" s="166"/>
      <c r="B500" s="207" t="s">
        <v>84</v>
      </c>
      <c r="C500" s="208">
        <v>-2.9121375363208579E-2</v>
      </c>
      <c r="D500" s="209">
        <v>2.4363807921307101E-2</v>
      </c>
      <c r="E500" s="209">
        <v>4.8252993164911775</v>
      </c>
      <c r="F500" s="209">
        <v>6.9261515445962596</v>
      </c>
      <c r="G500" s="209">
        <v>7.774447179544353</v>
      </c>
      <c r="H500" s="209">
        <v>-1.1550704563011118</v>
      </c>
      <c r="I500" s="209">
        <v>0</v>
      </c>
      <c r="J500" s="210">
        <v>1.9452040769934176</v>
      </c>
      <c r="K500" s="210">
        <v>0</v>
      </c>
      <c r="L500" s="209">
        <v>0</v>
      </c>
      <c r="M500" s="209">
        <v>0</v>
      </c>
      <c r="N500" s="209">
        <v>0</v>
      </c>
      <c r="O500" s="210">
        <v>0</v>
      </c>
      <c r="P500" s="210">
        <v>0</v>
      </c>
      <c r="Q500" s="209">
        <v>0</v>
      </c>
      <c r="R500" s="210">
        <v>0</v>
      </c>
      <c r="S500" s="210">
        <v>0</v>
      </c>
      <c r="T500" s="15">
        <v>0</v>
      </c>
      <c r="U500" s="15">
        <v>1.9452040769934176</v>
      </c>
      <c r="V500" s="15"/>
    </row>
    <row r="501" spans="1:22" x14ac:dyDescent="0.25">
      <c r="A501" s="166"/>
      <c r="B501" s="268" t="s">
        <v>85</v>
      </c>
      <c r="C501" s="524">
        <v>2.5249992836881465E-4</v>
      </c>
      <c r="D501" s="525">
        <v>2.1135174537721974E-3</v>
      </c>
      <c r="E501" s="525">
        <v>3.5908341368031216E-3</v>
      </c>
      <c r="F501" s="525">
        <v>2.8753372908796548E-2</v>
      </c>
      <c r="G501" s="525">
        <v>1.3873856144839122E-2</v>
      </c>
      <c r="H501" s="525">
        <v>0</v>
      </c>
      <c r="I501" s="525">
        <v>0</v>
      </c>
      <c r="J501" s="536">
        <v>2.2939910113201276E-3</v>
      </c>
      <c r="K501" s="536">
        <v>0</v>
      </c>
      <c r="L501" s="525">
        <v>0</v>
      </c>
      <c r="M501" s="525">
        <v>0</v>
      </c>
      <c r="N501" s="525">
        <v>0</v>
      </c>
      <c r="O501" s="536">
        <v>0</v>
      </c>
      <c r="P501" s="165">
        <v>0</v>
      </c>
      <c r="Q501" s="525">
        <v>0</v>
      </c>
      <c r="R501" s="536">
        <v>0</v>
      </c>
      <c r="S501" s="536">
        <v>0</v>
      </c>
      <c r="T501" s="15">
        <v>0</v>
      </c>
      <c r="U501" s="15">
        <v>2.2939910113201276E-3</v>
      </c>
      <c r="V501" s="15"/>
    </row>
    <row r="502" spans="1:22" x14ac:dyDescent="0.25">
      <c r="A502" s="166"/>
      <c r="B502" s="167" t="s">
        <v>86</v>
      </c>
      <c r="C502" s="168">
        <v>1.6953515573840826E-3</v>
      </c>
      <c r="D502" s="169">
        <v>2.2533976326172731E-3</v>
      </c>
      <c r="E502" s="169">
        <v>3.2238426799893467E-3</v>
      </c>
      <c r="F502" s="169">
        <v>3.0186327107588878E-2</v>
      </c>
      <c r="G502" s="169">
        <v>1.3790948852985808E-2</v>
      </c>
      <c r="H502" s="169">
        <v>0</v>
      </c>
      <c r="I502" s="169">
        <v>0</v>
      </c>
      <c r="J502" s="170">
        <v>2.998458373694432E-3</v>
      </c>
      <c r="K502" s="170">
        <v>0</v>
      </c>
      <c r="L502" s="169">
        <v>0</v>
      </c>
      <c r="M502" s="169">
        <v>0</v>
      </c>
      <c r="N502" s="169">
        <v>0</v>
      </c>
      <c r="O502" s="170">
        <v>0</v>
      </c>
      <c r="P502" s="170">
        <v>0</v>
      </c>
      <c r="Q502" s="169">
        <v>0</v>
      </c>
      <c r="R502" s="170">
        <v>0</v>
      </c>
      <c r="S502" s="170">
        <v>0</v>
      </c>
      <c r="T502" s="15">
        <v>0</v>
      </c>
      <c r="U502" s="15">
        <v>2.998458373694432E-3</v>
      </c>
      <c r="V502" s="15"/>
    </row>
    <row r="503" spans="1:22" x14ac:dyDescent="0.25">
      <c r="A503" s="166"/>
      <c r="B503" s="207" t="s">
        <v>87</v>
      </c>
      <c r="C503" s="208">
        <v>0.14428516290152679</v>
      </c>
      <c r="D503" s="209">
        <v>1.3988017884507568E-2</v>
      </c>
      <c r="E503" s="209">
        <v>-3.6699145681377485E-2</v>
      </c>
      <c r="F503" s="209">
        <v>0.143295419879233</v>
      </c>
      <c r="G503" s="209">
        <v>-8.2907291853314205E-3</v>
      </c>
      <c r="H503" s="209">
        <v>0</v>
      </c>
      <c r="I503" s="209">
        <v>0</v>
      </c>
      <c r="J503" s="210">
        <v>7.0446736237430446E-2</v>
      </c>
      <c r="K503" s="210">
        <v>0</v>
      </c>
      <c r="L503" s="209">
        <v>0</v>
      </c>
      <c r="M503" s="209">
        <v>0</v>
      </c>
      <c r="N503" s="209">
        <v>0</v>
      </c>
      <c r="O503" s="210">
        <v>0</v>
      </c>
      <c r="P503" s="210">
        <v>0</v>
      </c>
      <c r="Q503" s="209">
        <v>0</v>
      </c>
      <c r="R503" s="210">
        <v>0</v>
      </c>
      <c r="S503" s="210">
        <v>0</v>
      </c>
      <c r="T503" s="15">
        <v>0</v>
      </c>
      <c r="U503" s="15">
        <v>7.0446736237430446E-2</v>
      </c>
      <c r="V503" s="15"/>
    </row>
    <row r="504" spans="1:22" x14ac:dyDescent="0.25">
      <c r="A504" s="166"/>
      <c r="B504" s="268" t="s">
        <v>88</v>
      </c>
      <c r="C504" s="524">
        <v>4.2575785794103319E-3</v>
      </c>
      <c r="D504" s="525">
        <v>0</v>
      </c>
      <c r="E504" s="525">
        <v>1.2837494856291544E-2</v>
      </c>
      <c r="F504" s="525">
        <v>0</v>
      </c>
      <c r="G504" s="525">
        <v>0</v>
      </c>
      <c r="H504" s="525">
        <v>0</v>
      </c>
      <c r="I504" s="525">
        <v>0</v>
      </c>
      <c r="J504" s="536">
        <v>6.3883111625689052E-3</v>
      </c>
      <c r="K504" s="536">
        <v>0</v>
      </c>
      <c r="L504" s="525">
        <v>0</v>
      </c>
      <c r="M504" s="525">
        <v>0</v>
      </c>
      <c r="N504" s="525">
        <v>0</v>
      </c>
      <c r="O504" s="536">
        <v>0</v>
      </c>
      <c r="P504" s="165">
        <v>0</v>
      </c>
      <c r="Q504" s="525">
        <v>0</v>
      </c>
      <c r="R504" s="536">
        <v>0</v>
      </c>
      <c r="S504" s="536">
        <v>0</v>
      </c>
      <c r="T504" s="15">
        <v>0</v>
      </c>
      <c r="U504" s="15">
        <v>6.3883111625689052E-3</v>
      </c>
      <c r="V504" s="15"/>
    </row>
    <row r="505" spans="1:22" x14ac:dyDescent="0.25">
      <c r="A505" s="166"/>
      <c r="B505" s="167" t="s">
        <v>89</v>
      </c>
      <c r="C505" s="168">
        <v>3.6544445397847618E-3</v>
      </c>
      <c r="D505" s="169">
        <v>2.6304252520824198E-5</v>
      </c>
      <c r="E505" s="169">
        <v>1.4237297064737336E-2</v>
      </c>
      <c r="F505" s="169">
        <v>0</v>
      </c>
      <c r="G505" s="169">
        <v>1.7406051950370437E-3</v>
      </c>
      <c r="H505" s="169">
        <v>0</v>
      </c>
      <c r="I505" s="169">
        <v>0</v>
      </c>
      <c r="J505" s="170">
        <v>6.6206574092438171E-3</v>
      </c>
      <c r="K505" s="170">
        <v>0</v>
      </c>
      <c r="L505" s="169">
        <v>0</v>
      </c>
      <c r="M505" s="169">
        <v>0</v>
      </c>
      <c r="N505" s="169">
        <v>0</v>
      </c>
      <c r="O505" s="170">
        <v>0</v>
      </c>
      <c r="P505" s="170">
        <v>0</v>
      </c>
      <c r="Q505" s="169">
        <v>0</v>
      </c>
      <c r="R505" s="170">
        <v>0</v>
      </c>
      <c r="S505" s="170">
        <v>0</v>
      </c>
      <c r="T505" s="15">
        <v>0</v>
      </c>
      <c r="U505" s="15">
        <v>6.6206574092438171E-3</v>
      </c>
      <c r="V505" s="15"/>
    </row>
    <row r="506" spans="1:22" x14ac:dyDescent="0.25">
      <c r="A506" s="166"/>
      <c r="B506" s="207" t="s">
        <v>90</v>
      </c>
      <c r="C506" s="208">
        <v>-6.0313403962557015E-2</v>
      </c>
      <c r="D506" s="209">
        <v>0</v>
      </c>
      <c r="E506" s="209">
        <v>0.13998022084457923</v>
      </c>
      <c r="F506" s="209">
        <v>0</v>
      </c>
      <c r="G506" s="209">
        <v>0</v>
      </c>
      <c r="H506" s="209">
        <v>0</v>
      </c>
      <c r="I506" s="209">
        <v>0</v>
      </c>
      <c r="J506" s="210">
        <v>2.3234624667491186E-2</v>
      </c>
      <c r="K506" s="210">
        <v>0</v>
      </c>
      <c r="L506" s="209">
        <v>0</v>
      </c>
      <c r="M506" s="209">
        <v>0</v>
      </c>
      <c r="N506" s="209">
        <v>0</v>
      </c>
      <c r="O506" s="210">
        <v>0</v>
      </c>
      <c r="P506" s="210">
        <v>0</v>
      </c>
      <c r="Q506" s="209">
        <v>0</v>
      </c>
      <c r="R506" s="210">
        <v>0</v>
      </c>
      <c r="S506" s="210">
        <v>0</v>
      </c>
      <c r="T506" s="15">
        <v>0</v>
      </c>
      <c r="U506" s="15">
        <v>2.3234624667491186E-2</v>
      </c>
      <c r="V506" s="15"/>
    </row>
    <row r="507" spans="1:22" x14ac:dyDescent="0.25">
      <c r="A507" s="166"/>
      <c r="B507" s="268" t="s">
        <v>91</v>
      </c>
      <c r="C507" s="524">
        <v>0</v>
      </c>
      <c r="D507" s="525">
        <v>0</v>
      </c>
      <c r="E507" s="525">
        <v>0</v>
      </c>
      <c r="F507" s="525">
        <v>0</v>
      </c>
      <c r="G507" s="525">
        <v>0</v>
      </c>
      <c r="H507" s="525">
        <v>0</v>
      </c>
      <c r="I507" s="525">
        <v>0</v>
      </c>
      <c r="J507" s="536">
        <v>0</v>
      </c>
      <c r="K507" s="536">
        <v>0</v>
      </c>
      <c r="L507" s="525">
        <v>0</v>
      </c>
      <c r="M507" s="525">
        <v>0</v>
      </c>
      <c r="N507" s="525">
        <v>0</v>
      </c>
      <c r="O507" s="536">
        <v>0</v>
      </c>
      <c r="P507" s="165">
        <v>0</v>
      </c>
      <c r="Q507" s="525">
        <v>0</v>
      </c>
      <c r="R507" s="536">
        <v>0</v>
      </c>
      <c r="S507" s="536">
        <v>0</v>
      </c>
      <c r="T507" s="15">
        <v>0</v>
      </c>
      <c r="U507" s="15">
        <v>0</v>
      </c>
      <c r="V507" s="15"/>
    </row>
    <row r="508" spans="1:22" x14ac:dyDescent="0.25">
      <c r="A508" s="166"/>
      <c r="B508" s="167" t="s">
        <v>92</v>
      </c>
      <c r="C508" s="168">
        <v>0</v>
      </c>
      <c r="D508" s="169">
        <v>0</v>
      </c>
      <c r="E508" s="169">
        <v>0</v>
      </c>
      <c r="F508" s="169">
        <v>0</v>
      </c>
      <c r="G508" s="169">
        <v>0</v>
      </c>
      <c r="H508" s="169">
        <v>0</v>
      </c>
      <c r="I508" s="169">
        <v>0</v>
      </c>
      <c r="J508" s="170">
        <v>0</v>
      </c>
      <c r="K508" s="170">
        <v>0</v>
      </c>
      <c r="L508" s="169">
        <v>0</v>
      </c>
      <c r="M508" s="169">
        <v>0</v>
      </c>
      <c r="N508" s="169">
        <v>0</v>
      </c>
      <c r="O508" s="170">
        <v>0</v>
      </c>
      <c r="P508" s="170">
        <v>0</v>
      </c>
      <c r="Q508" s="169">
        <v>0</v>
      </c>
      <c r="R508" s="170">
        <v>0</v>
      </c>
      <c r="S508" s="170">
        <v>0</v>
      </c>
      <c r="T508" s="15">
        <v>0</v>
      </c>
      <c r="U508" s="15">
        <v>0</v>
      </c>
      <c r="V508" s="15"/>
    </row>
    <row r="509" spans="1:22" ht="15.75" thickBot="1" x14ac:dyDescent="0.3">
      <c r="A509" s="540"/>
      <c r="B509" s="541" t="s">
        <v>93</v>
      </c>
      <c r="C509" s="542">
        <v>0</v>
      </c>
      <c r="D509" s="543">
        <v>0</v>
      </c>
      <c r="E509" s="543">
        <v>0</v>
      </c>
      <c r="F509" s="543">
        <v>0</v>
      </c>
      <c r="G509" s="543">
        <v>0</v>
      </c>
      <c r="H509" s="543">
        <v>0</v>
      </c>
      <c r="I509" s="543">
        <v>0</v>
      </c>
      <c r="J509" s="544">
        <v>0</v>
      </c>
      <c r="K509" s="544">
        <v>0</v>
      </c>
      <c r="L509" s="543">
        <v>0</v>
      </c>
      <c r="M509" s="543">
        <v>0</v>
      </c>
      <c r="N509" s="543">
        <v>0</v>
      </c>
      <c r="O509" s="544">
        <v>0</v>
      </c>
      <c r="P509" s="544">
        <v>0</v>
      </c>
      <c r="Q509" s="543">
        <v>0</v>
      </c>
      <c r="R509" s="544">
        <v>0</v>
      </c>
      <c r="S509" s="544">
        <v>0</v>
      </c>
      <c r="T509" s="15">
        <v>0</v>
      </c>
      <c r="U509" s="15">
        <v>0</v>
      </c>
      <c r="V509" s="15"/>
    </row>
    <row r="510" spans="1:22" x14ac:dyDescent="0.25">
      <c r="A510" s="523" t="s">
        <v>53</v>
      </c>
      <c r="B510" s="268" t="s">
        <v>59</v>
      </c>
      <c r="C510" s="524">
        <v>0.93168968594118717</v>
      </c>
      <c r="D510" s="525">
        <v>0.96045947492905881</v>
      </c>
      <c r="E510" s="525">
        <v>0.92522772459684788</v>
      </c>
      <c r="F510" s="525">
        <v>0.95833167847760836</v>
      </c>
      <c r="G510" s="525">
        <v>0.98388008732087429</v>
      </c>
      <c r="H510" s="525">
        <v>0.94901953109710757</v>
      </c>
      <c r="I510" s="525">
        <v>0</v>
      </c>
      <c r="J510" s="536">
        <v>0.94203449272222006</v>
      </c>
      <c r="K510" s="536">
        <v>0</v>
      </c>
      <c r="L510" s="525">
        <v>0.69934961638374804</v>
      </c>
      <c r="M510" s="525">
        <v>0.5251407121753493</v>
      </c>
      <c r="N510" s="525">
        <v>0.53704481035116947</v>
      </c>
      <c r="O510" s="536">
        <v>0.6246239240217164</v>
      </c>
      <c r="P510" s="165">
        <v>0</v>
      </c>
      <c r="Q510" s="525">
        <v>0</v>
      </c>
      <c r="R510" s="536">
        <v>0</v>
      </c>
      <c r="S510" s="536">
        <v>0</v>
      </c>
      <c r="T510" s="15">
        <v>0</v>
      </c>
      <c r="U510" s="15">
        <v>0.79717863846278003</v>
      </c>
      <c r="V510" s="15"/>
    </row>
    <row r="511" spans="1:22" x14ac:dyDescent="0.25">
      <c r="A511" s="166"/>
      <c r="B511" s="167" t="s">
        <v>60</v>
      </c>
      <c r="C511" s="168">
        <v>0.92448817113822457</v>
      </c>
      <c r="D511" s="169">
        <v>0.9517911967516427</v>
      </c>
      <c r="E511" s="169">
        <v>0.94100278840392682</v>
      </c>
      <c r="F511" s="169">
        <v>0.94998766445854332</v>
      </c>
      <c r="G511" s="169">
        <v>0.98413442722217714</v>
      </c>
      <c r="H511" s="169">
        <v>0.87523678639081826</v>
      </c>
      <c r="I511" s="169">
        <v>0</v>
      </c>
      <c r="J511" s="170">
        <v>0.93757322308708901</v>
      </c>
      <c r="K511" s="170">
        <v>0</v>
      </c>
      <c r="L511" s="169">
        <v>0.69097837953427643</v>
      </c>
      <c r="M511" s="169">
        <v>0.50850992197510314</v>
      </c>
      <c r="N511" s="169">
        <v>0.51645243757961212</v>
      </c>
      <c r="O511" s="170">
        <v>0.61374204094968865</v>
      </c>
      <c r="P511" s="170">
        <v>0</v>
      </c>
      <c r="Q511" s="169">
        <v>0</v>
      </c>
      <c r="R511" s="170">
        <v>0</v>
      </c>
      <c r="S511" s="170">
        <v>0</v>
      </c>
      <c r="T511" s="15">
        <v>0</v>
      </c>
      <c r="U511" s="15">
        <v>0.79170508865589595</v>
      </c>
      <c r="V511" s="15"/>
    </row>
    <row r="512" spans="1:22" x14ac:dyDescent="0.25">
      <c r="A512" s="166"/>
      <c r="B512" s="207" t="s">
        <v>772</v>
      </c>
      <c r="C512" s="208">
        <v>-0.72015148029626053</v>
      </c>
      <c r="D512" s="209">
        <v>-0.86682781774161111</v>
      </c>
      <c r="E512" s="209">
        <v>1.5775063807078937</v>
      </c>
      <c r="F512" s="209">
        <v>-0.8344014019065038</v>
      </c>
      <c r="G512" s="209">
        <v>2.54339901302858E-2</v>
      </c>
      <c r="H512" s="530">
        <v>-7.3782744706289316</v>
      </c>
      <c r="I512" s="209">
        <v>0</v>
      </c>
      <c r="J512" s="210">
        <v>-0.44612696351310488</v>
      </c>
      <c r="K512" s="210">
        <v>0</v>
      </c>
      <c r="L512" s="209">
        <v>-0.83712368494716083</v>
      </c>
      <c r="M512" s="209">
        <v>-1.6630790200246159</v>
      </c>
      <c r="N512" s="209">
        <v>-2.0592372771557343</v>
      </c>
      <c r="O512" s="210">
        <v>-1.0881883072027754</v>
      </c>
      <c r="P512" s="210">
        <v>0</v>
      </c>
      <c r="Q512" s="209">
        <v>0</v>
      </c>
      <c r="R512" s="210">
        <v>0</v>
      </c>
      <c r="S512" s="210">
        <v>0</v>
      </c>
      <c r="T512" s="15">
        <v>0</v>
      </c>
      <c r="U512" s="15">
        <v>-0.54735498068840815</v>
      </c>
      <c r="V512" s="15"/>
    </row>
    <row r="513" spans="1:22" x14ac:dyDescent="0.25">
      <c r="A513" s="166"/>
      <c r="B513" s="268" t="s">
        <v>61</v>
      </c>
      <c r="C513" s="524">
        <v>2.493947640704524E-2</v>
      </c>
      <c r="D513" s="525">
        <v>1.0128315006223444E-2</v>
      </c>
      <c r="E513" s="525">
        <v>1.7236092135061165E-2</v>
      </c>
      <c r="F513" s="525">
        <v>2.1019504602390181E-2</v>
      </c>
      <c r="G513" s="525">
        <v>1.3929401896944893E-3</v>
      </c>
      <c r="H513" s="525">
        <v>1.7632784061998513E-2</v>
      </c>
      <c r="I513" s="525">
        <v>0</v>
      </c>
      <c r="J513" s="536">
        <v>1.9289050790323552E-2</v>
      </c>
      <c r="K513" s="536">
        <v>0</v>
      </c>
      <c r="L513" s="525">
        <v>6.4030934727940594E-2</v>
      </c>
      <c r="M513" s="525">
        <v>0.19623960139418978</v>
      </c>
      <c r="N513" s="525">
        <v>0.17563234307722267</v>
      </c>
      <c r="O513" s="536">
        <v>0.12005678008614222</v>
      </c>
      <c r="P513" s="165">
        <v>0</v>
      </c>
      <c r="Q513" s="525">
        <v>0</v>
      </c>
      <c r="R513" s="536">
        <v>0</v>
      </c>
      <c r="S513" s="536">
        <v>0</v>
      </c>
      <c r="T513" s="15">
        <v>0</v>
      </c>
      <c r="U513" s="15">
        <v>6.5276163219156358E-2</v>
      </c>
      <c r="V513" s="15"/>
    </row>
    <row r="514" spans="1:22" x14ac:dyDescent="0.25">
      <c r="A514" s="166"/>
      <c r="B514" s="167" t="s">
        <v>62</v>
      </c>
      <c r="C514" s="168">
        <v>2.525993289966234E-2</v>
      </c>
      <c r="D514" s="169">
        <v>1.4517748311817073E-2</v>
      </c>
      <c r="E514" s="169">
        <v>3.071709222473153E-2</v>
      </c>
      <c r="F514" s="169">
        <v>1.6964131191245079E-2</v>
      </c>
      <c r="G514" s="169">
        <v>1.1076732216306426E-3</v>
      </c>
      <c r="H514" s="169">
        <v>1.1700033428666939E-2</v>
      </c>
      <c r="I514" s="169">
        <v>0</v>
      </c>
      <c r="J514" s="170">
        <v>2.1655123828390879E-2</v>
      </c>
      <c r="K514" s="170">
        <v>0</v>
      </c>
      <c r="L514" s="169">
        <v>5.9043567320570395E-2</v>
      </c>
      <c r="M514" s="169">
        <v>0.2027382163147311</v>
      </c>
      <c r="N514" s="169">
        <v>0.19270819415123416</v>
      </c>
      <c r="O514" s="170">
        <v>0.11964838523561271</v>
      </c>
      <c r="P514" s="170">
        <v>0</v>
      </c>
      <c r="Q514" s="169">
        <v>0</v>
      </c>
      <c r="R514" s="170">
        <v>0</v>
      </c>
      <c r="S514" s="170">
        <v>0</v>
      </c>
      <c r="T514" s="15">
        <v>0</v>
      </c>
      <c r="U514" s="15">
        <v>6.5795697734688616E-2</v>
      </c>
      <c r="V514" s="15"/>
    </row>
    <row r="515" spans="1:22" x14ac:dyDescent="0.25">
      <c r="A515" s="166"/>
      <c r="B515" s="207" t="s">
        <v>63</v>
      </c>
      <c r="C515" s="208">
        <v>3.204564926171001E-2</v>
      </c>
      <c r="D515" s="209">
        <v>0.43894333055936285</v>
      </c>
      <c r="E515" s="209">
        <v>1.3481000089670365</v>
      </c>
      <c r="F515" s="209">
        <v>-0.40553734111451017</v>
      </c>
      <c r="G515" s="209">
        <v>-2.8526696806384672E-2</v>
      </c>
      <c r="H515" s="209">
        <v>-0.59327506333315738</v>
      </c>
      <c r="I515" s="209">
        <v>0</v>
      </c>
      <c r="J515" s="210">
        <v>0.23660730380673267</v>
      </c>
      <c r="K515" s="210">
        <v>0</v>
      </c>
      <c r="L515" s="209">
        <v>-0.49873674073701996</v>
      </c>
      <c r="M515" s="209">
        <v>0.64986149205413235</v>
      </c>
      <c r="N515" s="209">
        <v>1.7075851074011494</v>
      </c>
      <c r="O515" s="210">
        <v>-4.083948505295143E-2</v>
      </c>
      <c r="P515" s="210">
        <v>0</v>
      </c>
      <c r="Q515" s="209">
        <v>0</v>
      </c>
      <c r="R515" s="210">
        <v>0</v>
      </c>
      <c r="S515" s="210">
        <v>0</v>
      </c>
      <c r="T515" s="15">
        <v>0</v>
      </c>
      <c r="U515" s="15">
        <v>5.1953451553225782E-2</v>
      </c>
      <c r="V515" s="15"/>
    </row>
    <row r="516" spans="1:22" x14ac:dyDescent="0.25">
      <c r="A516" s="166"/>
      <c r="B516" s="268" t="s">
        <v>64</v>
      </c>
      <c r="C516" s="524">
        <v>2.7018221062778132E-2</v>
      </c>
      <c r="D516" s="525">
        <v>2.9412210064717764E-2</v>
      </c>
      <c r="E516" s="525">
        <v>2.2750144329956278E-2</v>
      </c>
      <c r="F516" s="525">
        <v>1.8950462130281589E-2</v>
      </c>
      <c r="G516" s="525">
        <v>1.4412437607887336E-2</v>
      </c>
      <c r="H516" s="525">
        <v>3.3347684840893968E-2</v>
      </c>
      <c r="I516" s="525">
        <v>0</v>
      </c>
      <c r="J516" s="536">
        <v>2.5236408796064001E-2</v>
      </c>
      <c r="K516" s="536">
        <v>0</v>
      </c>
      <c r="L516" s="525">
        <v>0.23408441452391071</v>
      </c>
      <c r="M516" s="525">
        <v>0.24007830343470449</v>
      </c>
      <c r="N516" s="525">
        <v>0.18403617716424692</v>
      </c>
      <c r="O516" s="536">
        <v>0.23336676799389736</v>
      </c>
      <c r="P516" s="165">
        <v>0</v>
      </c>
      <c r="Q516" s="525">
        <v>0</v>
      </c>
      <c r="R516" s="536">
        <v>0</v>
      </c>
      <c r="S516" s="536">
        <v>0</v>
      </c>
      <c r="T516" s="15">
        <v>0</v>
      </c>
      <c r="U516" s="15">
        <v>0.12022033167663324</v>
      </c>
      <c r="V516" s="15"/>
    </row>
    <row r="517" spans="1:22" x14ac:dyDescent="0.25">
      <c r="A517" s="166"/>
      <c r="B517" s="167" t="s">
        <v>65</v>
      </c>
      <c r="C517" s="168">
        <v>3.4659589846489099E-2</v>
      </c>
      <c r="D517" s="169">
        <v>3.3629163326602624E-2</v>
      </c>
      <c r="E517" s="169">
        <v>2.8280119371341662E-2</v>
      </c>
      <c r="F517" s="169">
        <v>3.1387509067543534E-2</v>
      </c>
      <c r="G517" s="169">
        <v>1.3598534917552189E-2</v>
      </c>
      <c r="H517" s="169">
        <v>6.3588753110723178E-2</v>
      </c>
      <c r="I517" s="169">
        <v>0</v>
      </c>
      <c r="J517" s="170">
        <v>3.2282621650038798E-2</v>
      </c>
      <c r="K517" s="170">
        <v>0</v>
      </c>
      <c r="L517" s="169">
        <v>0.2472111737628164</v>
      </c>
      <c r="M517" s="169">
        <v>0.25336126982163426</v>
      </c>
      <c r="N517" s="169">
        <v>0.19109590871435825</v>
      </c>
      <c r="O517" s="170">
        <v>0.24621615529531463</v>
      </c>
      <c r="P517" s="170">
        <v>0</v>
      </c>
      <c r="Q517" s="169">
        <v>0</v>
      </c>
      <c r="R517" s="170">
        <v>0</v>
      </c>
      <c r="S517" s="170">
        <v>0</v>
      </c>
      <c r="T517" s="15">
        <v>0</v>
      </c>
      <c r="U517" s="15">
        <v>0.12864791062294767</v>
      </c>
      <c r="V517" s="15"/>
    </row>
    <row r="518" spans="1:22" x14ac:dyDescent="0.25">
      <c r="A518" s="166"/>
      <c r="B518" s="207" t="s">
        <v>66</v>
      </c>
      <c r="C518" s="208">
        <v>0.76413687837109667</v>
      </c>
      <c r="D518" s="209">
        <v>0.42169532618848599</v>
      </c>
      <c r="E518" s="209">
        <v>0.55299750413853843</v>
      </c>
      <c r="F518" s="209">
        <v>1.2437046937261946</v>
      </c>
      <c r="G518" s="209">
        <v>-8.1390269033514678E-2</v>
      </c>
      <c r="H518" s="209">
        <v>3.024106826982921</v>
      </c>
      <c r="I518" s="209">
        <v>0</v>
      </c>
      <c r="J518" s="210">
        <v>0.7046212853974797</v>
      </c>
      <c r="K518" s="210">
        <v>0</v>
      </c>
      <c r="L518" s="209">
        <v>1.312675923890569</v>
      </c>
      <c r="M518" s="209">
        <v>1.3282966386929773</v>
      </c>
      <c r="N518" s="209">
        <v>0.70597315501113311</v>
      </c>
      <c r="O518" s="210">
        <v>1.284938730141727</v>
      </c>
      <c r="P518" s="210">
        <v>0</v>
      </c>
      <c r="Q518" s="209">
        <v>0</v>
      </c>
      <c r="R518" s="210">
        <v>0</v>
      </c>
      <c r="S518" s="210">
        <v>0</v>
      </c>
      <c r="T518" s="15">
        <v>0</v>
      </c>
      <c r="U518" s="15">
        <v>0.84275789463144346</v>
      </c>
      <c r="V518" s="15"/>
    </row>
    <row r="519" spans="1:22" x14ac:dyDescent="0.25">
      <c r="A519" s="166"/>
      <c r="B519" s="268" t="s">
        <v>67</v>
      </c>
      <c r="C519" s="524">
        <v>1.6352616588989444E-2</v>
      </c>
      <c r="D519" s="525">
        <v>0</v>
      </c>
      <c r="E519" s="525">
        <v>3.4786038938134638E-2</v>
      </c>
      <c r="F519" s="525">
        <v>1.698354789719847E-3</v>
      </c>
      <c r="G519" s="525">
        <v>3.1453488154391696E-4</v>
      </c>
      <c r="H519" s="525">
        <v>0</v>
      </c>
      <c r="I519" s="525">
        <v>0</v>
      </c>
      <c r="J519" s="536">
        <v>1.3440047691392367E-2</v>
      </c>
      <c r="K519" s="536">
        <v>0</v>
      </c>
      <c r="L519" s="525">
        <v>2.5350343644007004E-3</v>
      </c>
      <c r="M519" s="525">
        <v>3.85413829957564E-2</v>
      </c>
      <c r="N519" s="525">
        <v>0.10328666940736093</v>
      </c>
      <c r="O519" s="536">
        <v>2.1952527898244027E-2</v>
      </c>
      <c r="P519" s="165">
        <v>0</v>
      </c>
      <c r="Q519" s="525">
        <v>0</v>
      </c>
      <c r="R519" s="536">
        <v>0</v>
      </c>
      <c r="S519" s="536">
        <v>0</v>
      </c>
      <c r="T519" s="15">
        <v>0</v>
      </c>
      <c r="U519" s="15">
        <v>1.7324866641430424E-2</v>
      </c>
      <c r="V519" s="15"/>
    </row>
    <row r="520" spans="1:22" x14ac:dyDescent="0.25">
      <c r="A520" s="166"/>
      <c r="B520" s="167" t="s">
        <v>68</v>
      </c>
      <c r="C520" s="168">
        <v>1.5592306115624023E-2</v>
      </c>
      <c r="D520" s="169">
        <v>6.1891609937650158E-5</v>
      </c>
      <c r="E520" s="169">
        <v>0</v>
      </c>
      <c r="F520" s="169">
        <v>1.6606952826680118E-3</v>
      </c>
      <c r="G520" s="169">
        <v>1.1593646386400727E-3</v>
      </c>
      <c r="H520" s="169">
        <v>4.9474427069791625E-2</v>
      </c>
      <c r="I520" s="169">
        <v>0</v>
      </c>
      <c r="J520" s="170">
        <v>8.489031434481261E-3</v>
      </c>
      <c r="K520" s="170">
        <v>0</v>
      </c>
      <c r="L520" s="169">
        <v>2.7668793823367212E-3</v>
      </c>
      <c r="M520" s="169">
        <v>3.5390591888531442E-2</v>
      </c>
      <c r="N520" s="169">
        <v>9.9743459554795438E-2</v>
      </c>
      <c r="O520" s="170">
        <v>2.0393418519383998E-2</v>
      </c>
      <c r="P520" s="170">
        <v>0</v>
      </c>
      <c r="Q520" s="169">
        <v>0</v>
      </c>
      <c r="R520" s="170">
        <v>0</v>
      </c>
      <c r="S520" s="170">
        <v>0</v>
      </c>
      <c r="T520" s="15">
        <v>0</v>
      </c>
      <c r="U520" s="15">
        <v>1.3851302986467794E-2</v>
      </c>
      <c r="V520" s="15"/>
    </row>
    <row r="521" spans="1:22" x14ac:dyDescent="0.25">
      <c r="A521" s="166"/>
      <c r="B521" s="207" t="s">
        <v>69</v>
      </c>
      <c r="C521" s="208">
        <v>-7.6031047336542174E-2</v>
      </c>
      <c r="D521" s="209">
        <v>0</v>
      </c>
      <c r="E521" s="530">
        <v>-3.4786038938134638</v>
      </c>
      <c r="F521" s="209">
        <v>-3.7659507051835198E-3</v>
      </c>
      <c r="G521" s="209">
        <v>8.4482975709615563E-2</v>
      </c>
      <c r="H521" s="209">
        <v>0</v>
      </c>
      <c r="I521" s="209">
        <v>0</v>
      </c>
      <c r="J521" s="210">
        <v>-0.4951016256911106</v>
      </c>
      <c r="K521" s="210">
        <v>0</v>
      </c>
      <c r="L521" s="209">
        <v>2.3184501793602076E-2</v>
      </c>
      <c r="M521" s="209">
        <v>-0.31507911072249584</v>
      </c>
      <c r="N521" s="209">
        <v>-0.35432098525654959</v>
      </c>
      <c r="O521" s="210">
        <v>-0.15591093788600296</v>
      </c>
      <c r="P521" s="210">
        <v>0</v>
      </c>
      <c r="Q521" s="209">
        <v>0</v>
      </c>
      <c r="R521" s="210">
        <v>0</v>
      </c>
      <c r="S521" s="210">
        <v>0</v>
      </c>
      <c r="T521" s="15">
        <v>0</v>
      </c>
      <c r="U521" s="15">
        <v>-0.34735636549626298</v>
      </c>
      <c r="V521" s="15"/>
    </row>
    <row r="522" spans="1:22" x14ac:dyDescent="0.25">
      <c r="A522" s="166"/>
      <c r="B522" s="268" t="s">
        <v>70</v>
      </c>
      <c r="C522" s="524">
        <v>0</v>
      </c>
      <c r="D522" s="525">
        <v>0</v>
      </c>
      <c r="E522" s="525">
        <v>0</v>
      </c>
      <c r="F522" s="525">
        <v>0</v>
      </c>
      <c r="G522" s="525">
        <v>0</v>
      </c>
      <c r="H522" s="525">
        <v>0</v>
      </c>
      <c r="I522" s="525">
        <v>0</v>
      </c>
      <c r="J522" s="536">
        <v>0</v>
      </c>
      <c r="K522" s="536">
        <v>0</v>
      </c>
      <c r="L522" s="525">
        <v>0</v>
      </c>
      <c r="M522" s="525">
        <v>0</v>
      </c>
      <c r="N522" s="525">
        <v>0</v>
      </c>
      <c r="O522" s="536">
        <v>0</v>
      </c>
      <c r="P522" s="165">
        <v>0</v>
      </c>
      <c r="Q522" s="525">
        <v>0</v>
      </c>
      <c r="R522" s="536">
        <v>0</v>
      </c>
      <c r="S522" s="536">
        <v>0</v>
      </c>
      <c r="T522" s="15">
        <v>0</v>
      </c>
      <c r="U522" s="15">
        <v>0</v>
      </c>
      <c r="V522" s="15"/>
    </row>
    <row r="523" spans="1:22" x14ac:dyDescent="0.25">
      <c r="A523" s="166"/>
      <c r="B523" s="167" t="s">
        <v>71</v>
      </c>
      <c r="C523" s="168">
        <v>0</v>
      </c>
      <c r="D523" s="169">
        <v>0</v>
      </c>
      <c r="E523" s="169">
        <v>0</v>
      </c>
      <c r="F523" s="169">
        <v>0</v>
      </c>
      <c r="G523" s="169">
        <v>0</v>
      </c>
      <c r="H523" s="169">
        <v>0</v>
      </c>
      <c r="I523" s="169">
        <v>0</v>
      </c>
      <c r="J523" s="170">
        <v>0</v>
      </c>
      <c r="K523" s="170">
        <v>0</v>
      </c>
      <c r="L523" s="169">
        <v>0</v>
      </c>
      <c r="M523" s="169">
        <v>0</v>
      </c>
      <c r="N523" s="169">
        <v>0</v>
      </c>
      <c r="O523" s="170">
        <v>0</v>
      </c>
      <c r="P523" s="170">
        <v>0</v>
      </c>
      <c r="Q523" s="169">
        <v>0</v>
      </c>
      <c r="R523" s="170">
        <v>0</v>
      </c>
      <c r="S523" s="170">
        <v>0</v>
      </c>
      <c r="T523" s="15">
        <v>0</v>
      </c>
      <c r="U523" s="15">
        <v>0</v>
      </c>
      <c r="V523" s="15"/>
    </row>
    <row r="524" spans="1:22" x14ac:dyDescent="0.25">
      <c r="A524" s="166"/>
      <c r="B524" s="207" t="s">
        <v>72</v>
      </c>
      <c r="C524" s="208">
        <v>0</v>
      </c>
      <c r="D524" s="209">
        <v>0</v>
      </c>
      <c r="E524" s="209">
        <v>0</v>
      </c>
      <c r="F524" s="209">
        <v>0</v>
      </c>
      <c r="G524" s="209">
        <v>0</v>
      </c>
      <c r="H524" s="209">
        <v>0</v>
      </c>
      <c r="I524" s="209">
        <v>0</v>
      </c>
      <c r="J524" s="210">
        <v>0</v>
      </c>
      <c r="K524" s="210">
        <v>0</v>
      </c>
      <c r="L524" s="209">
        <v>0</v>
      </c>
      <c r="M524" s="209">
        <v>0</v>
      </c>
      <c r="N524" s="209">
        <v>0</v>
      </c>
      <c r="O524" s="210">
        <v>0</v>
      </c>
      <c r="P524" s="210">
        <v>0</v>
      </c>
      <c r="Q524" s="209">
        <v>0</v>
      </c>
      <c r="R524" s="210">
        <v>0</v>
      </c>
      <c r="S524" s="210">
        <v>0</v>
      </c>
      <c r="T524" s="15">
        <v>0</v>
      </c>
      <c r="U524" s="15">
        <v>0</v>
      </c>
      <c r="V524" s="15"/>
    </row>
    <row r="525" spans="1:22" x14ac:dyDescent="0.25">
      <c r="A525" s="166"/>
      <c r="B525" s="268" t="s">
        <v>73</v>
      </c>
      <c r="C525" s="524">
        <v>0</v>
      </c>
      <c r="D525" s="525">
        <v>0</v>
      </c>
      <c r="E525" s="525">
        <v>0</v>
      </c>
      <c r="F525" s="525">
        <v>0</v>
      </c>
      <c r="G525" s="525">
        <v>0</v>
      </c>
      <c r="H525" s="525">
        <v>0</v>
      </c>
      <c r="I525" s="525">
        <v>0</v>
      </c>
      <c r="J525" s="536">
        <v>0</v>
      </c>
      <c r="K525" s="536">
        <v>0</v>
      </c>
      <c r="L525" s="525">
        <v>0</v>
      </c>
      <c r="M525" s="525">
        <v>0</v>
      </c>
      <c r="N525" s="525">
        <v>0</v>
      </c>
      <c r="O525" s="536">
        <v>0</v>
      </c>
      <c r="P525" s="165">
        <v>0</v>
      </c>
      <c r="Q525" s="525">
        <v>0</v>
      </c>
      <c r="R525" s="536">
        <v>0</v>
      </c>
      <c r="S525" s="536">
        <v>0</v>
      </c>
      <c r="T525" s="15">
        <v>0</v>
      </c>
      <c r="U525" s="15">
        <v>0</v>
      </c>
      <c r="V525" s="15"/>
    </row>
    <row r="526" spans="1:22" x14ac:dyDescent="0.25">
      <c r="A526" s="166"/>
      <c r="B526" s="167" t="s">
        <v>74</v>
      </c>
      <c r="C526" s="168">
        <v>0</v>
      </c>
      <c r="D526" s="169">
        <v>0</v>
      </c>
      <c r="E526" s="169">
        <v>0</v>
      </c>
      <c r="F526" s="169">
        <v>0</v>
      </c>
      <c r="G526" s="169">
        <v>0</v>
      </c>
      <c r="H526" s="169">
        <v>0</v>
      </c>
      <c r="I526" s="169">
        <v>0</v>
      </c>
      <c r="J526" s="170">
        <v>0</v>
      </c>
      <c r="K526" s="170">
        <v>0</v>
      </c>
      <c r="L526" s="169">
        <v>0</v>
      </c>
      <c r="M526" s="169">
        <v>0</v>
      </c>
      <c r="N526" s="169">
        <v>0</v>
      </c>
      <c r="O526" s="170">
        <v>0</v>
      </c>
      <c r="P526" s="170">
        <v>0</v>
      </c>
      <c r="Q526" s="169">
        <v>0</v>
      </c>
      <c r="R526" s="170">
        <v>0</v>
      </c>
      <c r="S526" s="170">
        <v>0</v>
      </c>
      <c r="T526" s="15">
        <v>0</v>
      </c>
      <c r="U526" s="15">
        <v>0</v>
      </c>
      <c r="V526" s="15"/>
    </row>
    <row r="527" spans="1:22" ht="15.75" thickBot="1" x14ac:dyDescent="0.3">
      <c r="A527" s="166"/>
      <c r="B527" s="531" t="s">
        <v>75</v>
      </c>
      <c r="C527" s="532">
        <v>0</v>
      </c>
      <c r="D527" s="533">
        <v>0</v>
      </c>
      <c r="E527" s="533">
        <v>0</v>
      </c>
      <c r="F527" s="533">
        <v>0</v>
      </c>
      <c r="G527" s="533">
        <v>0</v>
      </c>
      <c r="H527" s="533">
        <v>0</v>
      </c>
      <c r="I527" s="533">
        <v>0</v>
      </c>
      <c r="J527" s="537">
        <v>0</v>
      </c>
      <c r="K527" s="537">
        <v>0</v>
      </c>
      <c r="L527" s="533">
        <v>0</v>
      </c>
      <c r="M527" s="533">
        <v>0</v>
      </c>
      <c r="N527" s="533">
        <v>0</v>
      </c>
      <c r="O527" s="537">
        <v>0</v>
      </c>
      <c r="P527" s="537">
        <v>0</v>
      </c>
      <c r="Q527" s="533">
        <v>0</v>
      </c>
      <c r="R527" s="537">
        <v>0</v>
      </c>
      <c r="S527" s="537">
        <v>0</v>
      </c>
      <c r="T527" s="15">
        <v>0</v>
      </c>
      <c r="U527" s="15">
        <v>0</v>
      </c>
      <c r="V527" s="15"/>
    </row>
    <row r="528" spans="1:22" ht="15.75" thickTop="1" x14ac:dyDescent="0.25">
      <c r="A528" s="166"/>
      <c r="B528" s="167" t="s">
        <v>76</v>
      </c>
      <c r="C528" s="168">
        <v>0.78754541725876548</v>
      </c>
      <c r="D528" s="169">
        <v>0.85710413880742409</v>
      </c>
      <c r="E528" s="169">
        <v>0.79134047305901756</v>
      </c>
      <c r="F528" s="169">
        <v>0.72424735130598972</v>
      </c>
      <c r="G528" s="169">
        <v>0.87679443540032553</v>
      </c>
      <c r="H528" s="169">
        <v>0</v>
      </c>
      <c r="I528" s="169">
        <v>0</v>
      </c>
      <c r="J528" s="170">
        <v>0.80154218385342302</v>
      </c>
      <c r="K528" s="170">
        <v>0</v>
      </c>
      <c r="L528" s="169">
        <v>0</v>
      </c>
      <c r="M528" s="169">
        <v>0</v>
      </c>
      <c r="N528" s="169">
        <v>0</v>
      </c>
      <c r="O528" s="170">
        <v>0</v>
      </c>
      <c r="P528" s="170">
        <v>0</v>
      </c>
      <c r="Q528" s="169">
        <v>0</v>
      </c>
      <c r="R528" s="170">
        <v>0</v>
      </c>
      <c r="S528" s="170">
        <v>0</v>
      </c>
      <c r="T528" s="15">
        <v>0</v>
      </c>
      <c r="U528" s="15">
        <v>0.80154218385342302</v>
      </c>
      <c r="V528" s="15"/>
    </row>
    <row r="529" spans="1:22" x14ac:dyDescent="0.25">
      <c r="A529" s="166"/>
      <c r="B529" s="167" t="s">
        <v>77</v>
      </c>
      <c r="C529" s="168">
        <v>0.78972204151485137</v>
      </c>
      <c r="D529" s="169">
        <v>0.88030527659245317</v>
      </c>
      <c r="E529" s="169">
        <v>0.8002604385449047</v>
      </c>
      <c r="F529" s="169">
        <v>0.69218169054366763</v>
      </c>
      <c r="G529" s="169">
        <v>0.88530986993114003</v>
      </c>
      <c r="H529" s="169">
        <v>0</v>
      </c>
      <c r="I529" s="169">
        <v>0</v>
      </c>
      <c r="J529" s="170">
        <v>0.80732818538932505</v>
      </c>
      <c r="K529" s="170">
        <v>0</v>
      </c>
      <c r="L529" s="169">
        <v>0</v>
      </c>
      <c r="M529" s="169">
        <v>0</v>
      </c>
      <c r="N529" s="169">
        <v>0</v>
      </c>
      <c r="O529" s="170">
        <v>0</v>
      </c>
      <c r="P529" s="170">
        <v>0</v>
      </c>
      <c r="Q529" s="169">
        <v>0</v>
      </c>
      <c r="R529" s="170">
        <v>0</v>
      </c>
      <c r="S529" s="170">
        <v>0</v>
      </c>
      <c r="T529" s="15">
        <v>0</v>
      </c>
      <c r="U529" s="15">
        <v>0.80732818538932505</v>
      </c>
      <c r="V529" s="15"/>
    </row>
    <row r="530" spans="1:22" x14ac:dyDescent="0.25">
      <c r="A530" s="166"/>
      <c r="B530" s="207" t="s">
        <v>78</v>
      </c>
      <c r="C530" s="208">
        <v>0.21766242560858906</v>
      </c>
      <c r="D530" s="209">
        <v>2.320113778502908</v>
      </c>
      <c r="E530" s="209">
        <v>0.8919965485887138</v>
      </c>
      <c r="F530" s="209">
        <v>-3.206566076232209</v>
      </c>
      <c r="G530" s="209">
        <v>0.85154345308144919</v>
      </c>
      <c r="H530" s="209">
        <v>0</v>
      </c>
      <c r="I530" s="209">
        <v>0</v>
      </c>
      <c r="J530" s="210">
        <v>0.578600153590203</v>
      </c>
      <c r="K530" s="210">
        <v>0</v>
      </c>
      <c r="L530" s="209">
        <v>0</v>
      </c>
      <c r="M530" s="209">
        <v>0</v>
      </c>
      <c r="N530" s="209">
        <v>0</v>
      </c>
      <c r="O530" s="210">
        <v>0</v>
      </c>
      <c r="P530" s="210">
        <v>0</v>
      </c>
      <c r="Q530" s="209">
        <v>0</v>
      </c>
      <c r="R530" s="210">
        <v>0</v>
      </c>
      <c r="S530" s="210">
        <v>0</v>
      </c>
      <c r="T530" s="15">
        <v>0</v>
      </c>
      <c r="U530" s="15">
        <v>0.578600153590203</v>
      </c>
      <c r="V530" s="15"/>
    </row>
    <row r="531" spans="1:22" x14ac:dyDescent="0.25">
      <c r="A531" s="166"/>
      <c r="B531" s="268" t="s">
        <v>79</v>
      </c>
      <c r="C531" s="524">
        <v>0.12527913229731577</v>
      </c>
      <c r="D531" s="525">
        <v>9.2418109807390889E-2</v>
      </c>
      <c r="E531" s="525">
        <v>8.7680841736080664E-2</v>
      </c>
      <c r="F531" s="525">
        <v>0.1853561313332634</v>
      </c>
      <c r="G531" s="525">
        <v>0</v>
      </c>
      <c r="H531" s="525">
        <v>0</v>
      </c>
      <c r="I531" s="525">
        <v>0</v>
      </c>
      <c r="J531" s="536">
        <v>0.11678840240347857</v>
      </c>
      <c r="K531" s="536">
        <v>0</v>
      </c>
      <c r="L531" s="525">
        <v>0</v>
      </c>
      <c r="M531" s="525">
        <v>0</v>
      </c>
      <c r="N531" s="525">
        <v>0</v>
      </c>
      <c r="O531" s="536">
        <v>0</v>
      </c>
      <c r="P531" s="165">
        <v>0</v>
      </c>
      <c r="Q531" s="525">
        <v>0</v>
      </c>
      <c r="R531" s="536">
        <v>0</v>
      </c>
      <c r="S531" s="536">
        <v>0</v>
      </c>
      <c r="T531" s="15">
        <v>0</v>
      </c>
      <c r="U531" s="15">
        <v>0.11678840240347857</v>
      </c>
      <c r="V531" s="15"/>
    </row>
    <row r="532" spans="1:22" x14ac:dyDescent="0.25">
      <c r="A532" s="166"/>
      <c r="B532" s="167" t="s">
        <v>80</v>
      </c>
      <c r="C532" s="168">
        <v>0.11557141080617858</v>
      </c>
      <c r="D532" s="169">
        <v>7.3722750067681683E-2</v>
      </c>
      <c r="E532" s="169">
        <v>0.11215659917667815</v>
      </c>
      <c r="F532" s="169">
        <v>0.17363043082603155</v>
      </c>
      <c r="G532" s="169">
        <v>4.3611323641928081E-3</v>
      </c>
      <c r="H532" s="169">
        <v>0</v>
      </c>
      <c r="I532" s="169">
        <v>0</v>
      </c>
      <c r="J532" s="170">
        <v>0.10708997892788995</v>
      </c>
      <c r="K532" s="170">
        <v>0</v>
      </c>
      <c r="L532" s="169">
        <v>0</v>
      </c>
      <c r="M532" s="169">
        <v>0</v>
      </c>
      <c r="N532" s="169">
        <v>0</v>
      </c>
      <c r="O532" s="170">
        <v>0</v>
      </c>
      <c r="P532" s="170">
        <v>0</v>
      </c>
      <c r="Q532" s="169">
        <v>0</v>
      </c>
      <c r="R532" s="170">
        <v>0</v>
      </c>
      <c r="S532" s="170">
        <v>0</v>
      </c>
      <c r="T532" s="15">
        <v>0</v>
      </c>
      <c r="U532" s="15">
        <v>0.10708997892788995</v>
      </c>
      <c r="V532" s="15"/>
    </row>
    <row r="533" spans="1:22" x14ac:dyDescent="0.25">
      <c r="A533" s="166"/>
      <c r="B533" s="207" t="s">
        <v>81</v>
      </c>
      <c r="C533" s="208">
        <v>-0.9707721491137189</v>
      </c>
      <c r="D533" s="209">
        <v>-1.8695359739709205</v>
      </c>
      <c r="E533" s="209">
        <v>2.447575744059749</v>
      </c>
      <c r="F533" s="209">
        <v>-1.1725700507231847</v>
      </c>
      <c r="G533" s="209">
        <v>0</v>
      </c>
      <c r="H533" s="209">
        <v>0</v>
      </c>
      <c r="I533" s="209">
        <v>0</v>
      </c>
      <c r="J533" s="210">
        <v>-0.96984234755886223</v>
      </c>
      <c r="K533" s="210">
        <v>0</v>
      </c>
      <c r="L533" s="209">
        <v>0</v>
      </c>
      <c r="M533" s="209">
        <v>0</v>
      </c>
      <c r="N533" s="209">
        <v>0</v>
      </c>
      <c r="O533" s="210">
        <v>0</v>
      </c>
      <c r="P533" s="210">
        <v>0</v>
      </c>
      <c r="Q533" s="209">
        <v>0</v>
      </c>
      <c r="R533" s="210">
        <v>0</v>
      </c>
      <c r="S533" s="210">
        <v>0</v>
      </c>
      <c r="T533" s="15">
        <v>0</v>
      </c>
      <c r="U533" s="15">
        <v>-0.96984234755886223</v>
      </c>
      <c r="V533" s="15"/>
    </row>
    <row r="534" spans="1:22" x14ac:dyDescent="0.25">
      <c r="A534" s="166"/>
      <c r="B534" s="268" t="s">
        <v>82</v>
      </c>
      <c r="C534" s="524">
        <v>5.4436080257526734E-2</v>
      </c>
      <c r="D534" s="525">
        <v>5.0477751385184975E-2</v>
      </c>
      <c r="E534" s="525">
        <v>8.2232103713909946E-2</v>
      </c>
      <c r="F534" s="525">
        <v>5.5045630966117698E-2</v>
      </c>
      <c r="G534" s="525">
        <v>0.12320556459967441</v>
      </c>
      <c r="H534" s="525">
        <v>0</v>
      </c>
      <c r="I534" s="525">
        <v>0</v>
      </c>
      <c r="J534" s="536">
        <v>5.6116594752991272E-2</v>
      </c>
      <c r="K534" s="536">
        <v>0</v>
      </c>
      <c r="L534" s="525">
        <v>0</v>
      </c>
      <c r="M534" s="525">
        <v>0</v>
      </c>
      <c r="N534" s="525">
        <v>0</v>
      </c>
      <c r="O534" s="536">
        <v>0</v>
      </c>
      <c r="P534" s="165">
        <v>0</v>
      </c>
      <c r="Q534" s="525">
        <v>0</v>
      </c>
      <c r="R534" s="536">
        <v>0</v>
      </c>
      <c r="S534" s="536">
        <v>0</v>
      </c>
      <c r="T534" s="15">
        <v>0</v>
      </c>
      <c r="U534" s="15">
        <v>5.6116594752991272E-2</v>
      </c>
      <c r="V534" s="15"/>
    </row>
    <row r="535" spans="1:22" x14ac:dyDescent="0.25">
      <c r="A535" s="166"/>
      <c r="B535" s="167" t="s">
        <v>83</v>
      </c>
      <c r="C535" s="168">
        <v>6.1443231989631863E-2</v>
      </c>
      <c r="D535" s="169">
        <v>4.5647101290463975E-2</v>
      </c>
      <c r="E535" s="169">
        <v>8.7582962278417206E-2</v>
      </c>
      <c r="F535" s="169">
        <v>0.11577962091469281</v>
      </c>
      <c r="G535" s="169">
        <v>0.11032899770466717</v>
      </c>
      <c r="H535" s="169">
        <v>0</v>
      </c>
      <c r="I535" s="169">
        <v>0</v>
      </c>
      <c r="J535" s="170">
        <v>6.2472641886106545E-2</v>
      </c>
      <c r="K535" s="170">
        <v>0</v>
      </c>
      <c r="L535" s="169">
        <v>0</v>
      </c>
      <c r="M535" s="169">
        <v>0</v>
      </c>
      <c r="N535" s="169">
        <v>0</v>
      </c>
      <c r="O535" s="170">
        <v>0</v>
      </c>
      <c r="P535" s="170">
        <v>0</v>
      </c>
      <c r="Q535" s="169">
        <v>0</v>
      </c>
      <c r="R535" s="170">
        <v>0</v>
      </c>
      <c r="S535" s="170">
        <v>0</v>
      </c>
      <c r="T535" s="15">
        <v>0</v>
      </c>
      <c r="U535" s="15">
        <v>6.2472641886106545E-2</v>
      </c>
      <c r="V535" s="15"/>
    </row>
    <row r="536" spans="1:22" x14ac:dyDescent="0.25">
      <c r="A536" s="166"/>
      <c r="B536" s="207" t="s">
        <v>84</v>
      </c>
      <c r="C536" s="208">
        <v>0.70071517321051302</v>
      </c>
      <c r="D536" s="209">
        <v>-0.48306500947210007</v>
      </c>
      <c r="E536" s="209">
        <v>0.53508585645072604</v>
      </c>
      <c r="F536" s="530">
        <v>6.0733989948575111</v>
      </c>
      <c r="G536" s="209">
        <v>-1.2876566895007242</v>
      </c>
      <c r="H536" s="209">
        <v>0</v>
      </c>
      <c r="I536" s="209">
        <v>0</v>
      </c>
      <c r="J536" s="210">
        <v>0.63560471331152724</v>
      </c>
      <c r="K536" s="210">
        <v>0</v>
      </c>
      <c r="L536" s="209">
        <v>0</v>
      </c>
      <c r="M536" s="209">
        <v>0</v>
      </c>
      <c r="N536" s="209">
        <v>0</v>
      </c>
      <c r="O536" s="210">
        <v>0</v>
      </c>
      <c r="P536" s="210">
        <v>0</v>
      </c>
      <c r="Q536" s="209">
        <v>0</v>
      </c>
      <c r="R536" s="210">
        <v>0</v>
      </c>
      <c r="S536" s="210">
        <v>0</v>
      </c>
      <c r="T536" s="15">
        <v>0</v>
      </c>
      <c r="U536" s="15">
        <v>0.63560471331152724</v>
      </c>
      <c r="V536" s="15"/>
    </row>
    <row r="537" spans="1:22" x14ac:dyDescent="0.25">
      <c r="A537" s="166"/>
      <c r="B537" s="268" t="s">
        <v>85</v>
      </c>
      <c r="C537" s="524">
        <v>3.2739370186392017E-2</v>
      </c>
      <c r="D537" s="525">
        <v>0</v>
      </c>
      <c r="E537" s="525">
        <v>3.874658149099184E-2</v>
      </c>
      <c r="F537" s="525">
        <v>3.5350886394629182E-2</v>
      </c>
      <c r="G537" s="525">
        <v>0</v>
      </c>
      <c r="H537" s="525">
        <v>0</v>
      </c>
      <c r="I537" s="525">
        <v>0</v>
      </c>
      <c r="J537" s="536">
        <v>2.5552818990107185E-2</v>
      </c>
      <c r="K537" s="536">
        <v>0</v>
      </c>
      <c r="L537" s="525">
        <v>0</v>
      </c>
      <c r="M537" s="525">
        <v>0</v>
      </c>
      <c r="N537" s="525">
        <v>0</v>
      </c>
      <c r="O537" s="536">
        <v>0</v>
      </c>
      <c r="P537" s="165">
        <v>0</v>
      </c>
      <c r="Q537" s="525">
        <v>0</v>
      </c>
      <c r="R537" s="536">
        <v>0</v>
      </c>
      <c r="S537" s="536">
        <v>0</v>
      </c>
      <c r="T537" s="15">
        <v>0</v>
      </c>
      <c r="U537" s="15">
        <v>2.5552818990107185E-2</v>
      </c>
      <c r="V537" s="15"/>
    </row>
    <row r="538" spans="1:22" x14ac:dyDescent="0.25">
      <c r="A538" s="166"/>
      <c r="B538" s="167" t="s">
        <v>86</v>
      </c>
      <c r="C538" s="168">
        <v>3.3263315689338227E-2</v>
      </c>
      <c r="D538" s="169">
        <v>3.2487204940117833E-4</v>
      </c>
      <c r="E538" s="169">
        <v>0</v>
      </c>
      <c r="F538" s="169">
        <v>1.8408257715608018E-2</v>
      </c>
      <c r="G538" s="169">
        <v>0</v>
      </c>
      <c r="H538" s="169">
        <v>0</v>
      </c>
      <c r="I538" s="169">
        <v>0</v>
      </c>
      <c r="J538" s="170">
        <v>2.3109193796678456E-2</v>
      </c>
      <c r="K538" s="170">
        <v>0</v>
      </c>
      <c r="L538" s="169">
        <v>0</v>
      </c>
      <c r="M538" s="169">
        <v>0</v>
      </c>
      <c r="N538" s="169">
        <v>0</v>
      </c>
      <c r="O538" s="170">
        <v>0</v>
      </c>
      <c r="P538" s="170">
        <v>0</v>
      </c>
      <c r="Q538" s="169">
        <v>0</v>
      </c>
      <c r="R538" s="170">
        <v>0</v>
      </c>
      <c r="S538" s="170">
        <v>0</v>
      </c>
      <c r="T538" s="15">
        <v>0</v>
      </c>
      <c r="U538" s="15">
        <v>2.3109193796678456E-2</v>
      </c>
      <c r="V538" s="15"/>
    </row>
    <row r="539" spans="1:22" x14ac:dyDescent="0.25">
      <c r="A539" s="166"/>
      <c r="B539" s="207" t="s">
        <v>87</v>
      </c>
      <c r="C539" s="208">
        <v>5.2394550294621034E-2</v>
      </c>
      <c r="D539" s="209">
        <v>0</v>
      </c>
      <c r="E539" s="530">
        <v>-3.8746581490991838</v>
      </c>
      <c r="F539" s="209">
        <v>-1.6942628679021163</v>
      </c>
      <c r="G539" s="209">
        <v>0</v>
      </c>
      <c r="H539" s="209">
        <v>0</v>
      </c>
      <c r="I539" s="209">
        <v>0</v>
      </c>
      <c r="J539" s="210">
        <v>-0.24436251934287292</v>
      </c>
      <c r="K539" s="210">
        <v>0</v>
      </c>
      <c r="L539" s="209">
        <v>0</v>
      </c>
      <c r="M539" s="209">
        <v>0</v>
      </c>
      <c r="N539" s="209">
        <v>0</v>
      </c>
      <c r="O539" s="210">
        <v>0</v>
      </c>
      <c r="P539" s="210">
        <v>0</v>
      </c>
      <c r="Q539" s="209">
        <v>0</v>
      </c>
      <c r="R539" s="210">
        <v>0</v>
      </c>
      <c r="S539" s="210">
        <v>0</v>
      </c>
      <c r="T539" s="15">
        <v>0</v>
      </c>
      <c r="U539" s="15">
        <v>-0.24436251934287292</v>
      </c>
      <c r="V539" s="15"/>
    </row>
    <row r="540" spans="1:22" x14ac:dyDescent="0.25">
      <c r="A540" s="166"/>
      <c r="B540" s="268" t="s">
        <v>88</v>
      </c>
      <c r="C540" s="524">
        <v>0</v>
      </c>
      <c r="D540" s="525">
        <v>0</v>
      </c>
      <c r="E540" s="525">
        <v>0</v>
      </c>
      <c r="F540" s="525">
        <v>0</v>
      </c>
      <c r="G540" s="525">
        <v>0</v>
      </c>
      <c r="H540" s="525">
        <v>0</v>
      </c>
      <c r="I540" s="525">
        <v>0</v>
      </c>
      <c r="J540" s="536">
        <v>0</v>
      </c>
      <c r="K540" s="536">
        <v>0</v>
      </c>
      <c r="L540" s="525">
        <v>0</v>
      </c>
      <c r="M540" s="525">
        <v>0</v>
      </c>
      <c r="N540" s="525">
        <v>0</v>
      </c>
      <c r="O540" s="536">
        <v>0</v>
      </c>
      <c r="P540" s="165">
        <v>0</v>
      </c>
      <c r="Q540" s="525">
        <v>0</v>
      </c>
      <c r="R540" s="536">
        <v>0</v>
      </c>
      <c r="S540" s="536">
        <v>0</v>
      </c>
      <c r="T540" s="15">
        <v>0</v>
      </c>
      <c r="U540" s="15">
        <v>0</v>
      </c>
      <c r="V540" s="15"/>
    </row>
    <row r="541" spans="1:22" x14ac:dyDescent="0.25">
      <c r="A541" s="166"/>
      <c r="B541" s="167" t="s">
        <v>89</v>
      </c>
      <c r="C541" s="168">
        <v>0</v>
      </c>
      <c r="D541" s="169">
        <v>0</v>
      </c>
      <c r="E541" s="169">
        <v>0</v>
      </c>
      <c r="F541" s="169">
        <v>0</v>
      </c>
      <c r="G541" s="169">
        <v>0</v>
      </c>
      <c r="H541" s="169">
        <v>0</v>
      </c>
      <c r="I541" s="169">
        <v>0</v>
      </c>
      <c r="J541" s="170">
        <v>0</v>
      </c>
      <c r="K541" s="170">
        <v>0</v>
      </c>
      <c r="L541" s="169">
        <v>0</v>
      </c>
      <c r="M541" s="169">
        <v>0</v>
      </c>
      <c r="N541" s="169">
        <v>0</v>
      </c>
      <c r="O541" s="170">
        <v>0</v>
      </c>
      <c r="P541" s="170">
        <v>0</v>
      </c>
      <c r="Q541" s="169">
        <v>0</v>
      </c>
      <c r="R541" s="170">
        <v>0</v>
      </c>
      <c r="S541" s="170">
        <v>0</v>
      </c>
      <c r="T541" s="15">
        <v>0</v>
      </c>
      <c r="U541" s="15">
        <v>0</v>
      </c>
      <c r="V541" s="15"/>
    </row>
    <row r="542" spans="1:22" x14ac:dyDescent="0.25">
      <c r="A542" s="166"/>
      <c r="B542" s="207" t="s">
        <v>90</v>
      </c>
      <c r="C542" s="208">
        <v>0</v>
      </c>
      <c r="D542" s="209">
        <v>0</v>
      </c>
      <c r="E542" s="209">
        <v>0</v>
      </c>
      <c r="F542" s="209">
        <v>0</v>
      </c>
      <c r="G542" s="209">
        <v>0</v>
      </c>
      <c r="H542" s="209">
        <v>0</v>
      </c>
      <c r="I542" s="209">
        <v>0</v>
      </c>
      <c r="J542" s="210">
        <v>0</v>
      </c>
      <c r="K542" s="210">
        <v>0</v>
      </c>
      <c r="L542" s="209">
        <v>0</v>
      </c>
      <c r="M542" s="209">
        <v>0</v>
      </c>
      <c r="N542" s="209">
        <v>0</v>
      </c>
      <c r="O542" s="210">
        <v>0</v>
      </c>
      <c r="P542" s="210">
        <v>0</v>
      </c>
      <c r="Q542" s="209">
        <v>0</v>
      </c>
      <c r="R542" s="210">
        <v>0</v>
      </c>
      <c r="S542" s="210">
        <v>0</v>
      </c>
      <c r="T542" s="15">
        <v>0</v>
      </c>
      <c r="U542" s="15">
        <v>0</v>
      </c>
      <c r="V542" s="15"/>
    </row>
    <row r="543" spans="1:22" x14ac:dyDescent="0.25">
      <c r="A543" s="166"/>
      <c r="B543" s="268" t="s">
        <v>91</v>
      </c>
      <c r="C543" s="524">
        <v>0</v>
      </c>
      <c r="D543" s="525">
        <v>0</v>
      </c>
      <c r="E543" s="525">
        <v>0</v>
      </c>
      <c r="F543" s="525">
        <v>0</v>
      </c>
      <c r="G543" s="525">
        <v>0</v>
      </c>
      <c r="H543" s="525">
        <v>0</v>
      </c>
      <c r="I543" s="525">
        <v>0</v>
      </c>
      <c r="J543" s="536">
        <v>0</v>
      </c>
      <c r="K543" s="536">
        <v>0</v>
      </c>
      <c r="L543" s="525">
        <v>0</v>
      </c>
      <c r="M543" s="525">
        <v>0</v>
      </c>
      <c r="N543" s="525">
        <v>0</v>
      </c>
      <c r="O543" s="536">
        <v>0</v>
      </c>
      <c r="P543" s="165">
        <v>0</v>
      </c>
      <c r="Q543" s="525">
        <v>0</v>
      </c>
      <c r="R543" s="536">
        <v>0</v>
      </c>
      <c r="S543" s="536">
        <v>0</v>
      </c>
      <c r="T543" s="15">
        <v>0</v>
      </c>
      <c r="U543" s="15">
        <v>0</v>
      </c>
      <c r="V543" s="15"/>
    </row>
    <row r="544" spans="1:22" x14ac:dyDescent="0.25">
      <c r="A544" s="166"/>
      <c r="B544" s="167" t="s">
        <v>92</v>
      </c>
      <c r="C544" s="168">
        <v>0</v>
      </c>
      <c r="D544" s="169">
        <v>0</v>
      </c>
      <c r="E544" s="169">
        <v>0</v>
      </c>
      <c r="F544" s="169">
        <v>0</v>
      </c>
      <c r="G544" s="169">
        <v>0</v>
      </c>
      <c r="H544" s="169">
        <v>0</v>
      </c>
      <c r="I544" s="169">
        <v>0</v>
      </c>
      <c r="J544" s="170">
        <v>0</v>
      </c>
      <c r="K544" s="170">
        <v>0</v>
      </c>
      <c r="L544" s="169">
        <v>0</v>
      </c>
      <c r="M544" s="169">
        <v>0</v>
      </c>
      <c r="N544" s="169">
        <v>0</v>
      </c>
      <c r="O544" s="170">
        <v>0</v>
      </c>
      <c r="P544" s="170">
        <v>0</v>
      </c>
      <c r="Q544" s="169">
        <v>0</v>
      </c>
      <c r="R544" s="170">
        <v>0</v>
      </c>
      <c r="S544" s="170">
        <v>0</v>
      </c>
      <c r="T544" s="15">
        <v>0</v>
      </c>
      <c r="U544" s="15">
        <v>0</v>
      </c>
      <c r="V544" s="15"/>
    </row>
    <row r="545" spans="1:22" ht="15.75" thickBot="1" x14ac:dyDescent="0.3">
      <c r="A545" s="540"/>
      <c r="B545" s="541" t="s">
        <v>93</v>
      </c>
      <c r="C545" s="542">
        <v>0</v>
      </c>
      <c r="D545" s="543">
        <v>0</v>
      </c>
      <c r="E545" s="543">
        <v>0</v>
      </c>
      <c r="F545" s="543">
        <v>0</v>
      </c>
      <c r="G545" s="543">
        <v>0</v>
      </c>
      <c r="H545" s="543">
        <v>0</v>
      </c>
      <c r="I545" s="543">
        <v>0</v>
      </c>
      <c r="J545" s="544">
        <v>0</v>
      </c>
      <c r="K545" s="544">
        <v>0</v>
      </c>
      <c r="L545" s="543">
        <v>0</v>
      </c>
      <c r="M545" s="543">
        <v>0</v>
      </c>
      <c r="N545" s="543">
        <v>0</v>
      </c>
      <c r="O545" s="544">
        <v>0</v>
      </c>
      <c r="P545" s="544">
        <v>0</v>
      </c>
      <c r="Q545" s="543">
        <v>0</v>
      </c>
      <c r="R545" s="544">
        <v>0</v>
      </c>
      <c r="S545" s="544">
        <v>0</v>
      </c>
      <c r="T545" s="15">
        <v>0</v>
      </c>
      <c r="U545" s="15">
        <v>0</v>
      </c>
      <c r="V545" s="15"/>
    </row>
    <row r="546" spans="1:22" x14ac:dyDescent="0.25">
      <c r="A546" s="523" t="s">
        <v>54</v>
      </c>
      <c r="B546" s="268" t="s">
        <v>59</v>
      </c>
      <c r="C546" s="524">
        <v>0.92581622542563347</v>
      </c>
      <c r="D546" s="525">
        <v>0</v>
      </c>
      <c r="E546" s="525">
        <v>0.79951260798505719</v>
      </c>
      <c r="F546" s="525">
        <v>0</v>
      </c>
      <c r="G546" s="525">
        <v>0.86723018423909992</v>
      </c>
      <c r="H546" s="525">
        <v>0.78865474965944793</v>
      </c>
      <c r="I546" s="525">
        <v>0</v>
      </c>
      <c r="J546" s="536">
        <v>0.86196622138866752</v>
      </c>
      <c r="K546" s="536">
        <v>0.66072991128522007</v>
      </c>
      <c r="L546" s="525">
        <v>0</v>
      </c>
      <c r="M546" s="525">
        <v>0.63037164801792633</v>
      </c>
      <c r="N546" s="525">
        <v>0.65442872734276358</v>
      </c>
      <c r="O546" s="536">
        <v>0.64766864147786452</v>
      </c>
      <c r="P546" s="165">
        <v>0</v>
      </c>
      <c r="Q546" s="525">
        <v>0</v>
      </c>
      <c r="R546" s="536">
        <v>0</v>
      </c>
      <c r="S546" s="536">
        <v>0</v>
      </c>
      <c r="T546" s="15">
        <v>0</v>
      </c>
      <c r="U546" s="15">
        <v>0.80255787304918513</v>
      </c>
      <c r="V546" s="15"/>
    </row>
    <row r="547" spans="1:22" x14ac:dyDescent="0.25">
      <c r="A547" s="166"/>
      <c r="B547" s="167" t="s">
        <v>60</v>
      </c>
      <c r="C547" s="168">
        <v>0.92197627546702343</v>
      </c>
      <c r="D547" s="169">
        <v>0</v>
      </c>
      <c r="E547" s="169">
        <v>0.8022216232001258</v>
      </c>
      <c r="F547" s="169">
        <v>0</v>
      </c>
      <c r="G547" s="169">
        <v>0.86908362066301414</v>
      </c>
      <c r="H547" s="169">
        <v>0.76336312437007492</v>
      </c>
      <c r="I547" s="169">
        <v>0</v>
      </c>
      <c r="J547" s="170">
        <v>0.85649816437160531</v>
      </c>
      <c r="K547" s="170">
        <v>0.66138997577790204</v>
      </c>
      <c r="L547" s="169">
        <v>0</v>
      </c>
      <c r="M547" s="169">
        <v>0.62296726504751843</v>
      </c>
      <c r="N547" s="169">
        <v>0.60198678991389698</v>
      </c>
      <c r="O547" s="170">
        <v>0.62366487167340923</v>
      </c>
      <c r="P547" s="170">
        <v>0</v>
      </c>
      <c r="Q547" s="169">
        <v>0</v>
      </c>
      <c r="R547" s="170">
        <v>0</v>
      </c>
      <c r="S547" s="170">
        <v>0</v>
      </c>
      <c r="T547" s="15">
        <v>0</v>
      </c>
      <c r="U547" s="15">
        <v>0.79411618823840624</v>
      </c>
      <c r="V547" s="15"/>
    </row>
    <row r="548" spans="1:22" x14ac:dyDescent="0.25">
      <c r="A548" s="166"/>
      <c r="B548" s="207" t="s">
        <v>772</v>
      </c>
      <c r="C548" s="208">
        <v>-0.38399499586100339</v>
      </c>
      <c r="D548" s="209">
        <v>0</v>
      </c>
      <c r="E548" s="209">
        <v>0.27090152150686109</v>
      </c>
      <c r="F548" s="209">
        <v>0</v>
      </c>
      <c r="G548" s="209">
        <v>0.18534364239142231</v>
      </c>
      <c r="H548" s="209">
        <v>-2.529162528937301</v>
      </c>
      <c r="I548" s="209">
        <v>0</v>
      </c>
      <c r="J548" s="210">
        <v>-0.54680570170622111</v>
      </c>
      <c r="K548" s="210">
        <v>6.6006449268196654E-2</v>
      </c>
      <c r="L548" s="209">
        <v>0</v>
      </c>
      <c r="M548" s="209">
        <v>-0.74043829704079078</v>
      </c>
      <c r="N548" s="209">
        <v>-5.2441937428866598</v>
      </c>
      <c r="O548" s="210">
        <v>-2.4003769804455288</v>
      </c>
      <c r="P548" s="210">
        <v>0</v>
      </c>
      <c r="Q548" s="209">
        <v>0</v>
      </c>
      <c r="R548" s="210">
        <v>0</v>
      </c>
      <c r="S548" s="210">
        <v>0</v>
      </c>
      <c r="T548" s="15">
        <v>0</v>
      </c>
      <c r="U548" s="15">
        <v>-0.84416848107788933</v>
      </c>
      <c r="V548" s="15"/>
    </row>
    <row r="549" spans="1:22" x14ac:dyDescent="0.25">
      <c r="A549" s="166"/>
      <c r="B549" s="268" t="s">
        <v>61</v>
      </c>
      <c r="C549" s="524">
        <v>2.3154581374835365E-3</v>
      </c>
      <c r="D549" s="525">
        <v>0</v>
      </c>
      <c r="E549" s="525">
        <v>5.8727819285547517E-2</v>
      </c>
      <c r="F549" s="525">
        <v>0</v>
      </c>
      <c r="G549" s="525">
        <v>6.425657641445362E-2</v>
      </c>
      <c r="H549" s="525">
        <v>7.6025131355814402E-2</v>
      </c>
      <c r="I549" s="525">
        <v>0</v>
      </c>
      <c r="J549" s="536">
        <v>3.9181146005300378E-2</v>
      </c>
      <c r="K549" s="536">
        <v>0.12799025349003137</v>
      </c>
      <c r="L549" s="525">
        <v>0</v>
      </c>
      <c r="M549" s="525">
        <v>0.15595162629791792</v>
      </c>
      <c r="N549" s="525">
        <v>0.16553746067752359</v>
      </c>
      <c r="O549" s="536">
        <v>0.15268306841269572</v>
      </c>
      <c r="P549" s="165">
        <v>0</v>
      </c>
      <c r="Q549" s="525">
        <v>0</v>
      </c>
      <c r="R549" s="536">
        <v>0</v>
      </c>
      <c r="S549" s="536">
        <v>0</v>
      </c>
      <c r="T549" s="15">
        <v>0</v>
      </c>
      <c r="U549" s="15">
        <v>7.0646558476995372E-2</v>
      </c>
      <c r="V549" s="15"/>
    </row>
    <row r="550" spans="1:22" x14ac:dyDescent="0.25">
      <c r="A550" s="166"/>
      <c r="B550" s="167" t="s">
        <v>62</v>
      </c>
      <c r="C550" s="168">
        <v>1.2403026458291829E-3</v>
      </c>
      <c r="D550" s="169">
        <v>0</v>
      </c>
      <c r="E550" s="169">
        <v>5.8251154989479671E-2</v>
      </c>
      <c r="F550" s="169">
        <v>0</v>
      </c>
      <c r="G550" s="169">
        <v>5.7515970526817679E-2</v>
      </c>
      <c r="H550" s="169">
        <v>7.8306761510019252E-2</v>
      </c>
      <c r="I550" s="169">
        <v>0</v>
      </c>
      <c r="J550" s="170">
        <v>3.7446553555380048E-2</v>
      </c>
      <c r="K550" s="170">
        <v>0.11922489286379728</v>
      </c>
      <c r="L550" s="169">
        <v>0</v>
      </c>
      <c r="M550" s="169">
        <v>0.18209081309398098</v>
      </c>
      <c r="N550" s="169">
        <v>0.1960272996719466</v>
      </c>
      <c r="O550" s="170">
        <v>0.17253351773304512</v>
      </c>
      <c r="P550" s="170">
        <v>0</v>
      </c>
      <c r="Q550" s="169">
        <v>0</v>
      </c>
      <c r="R550" s="170">
        <v>0</v>
      </c>
      <c r="S550" s="170">
        <v>0</v>
      </c>
      <c r="T550" s="15">
        <v>0</v>
      </c>
      <c r="U550" s="15">
        <v>7.3639795842945333E-2</v>
      </c>
      <c r="V550" s="15"/>
    </row>
    <row r="551" spans="1:22" x14ac:dyDescent="0.25">
      <c r="A551" s="166"/>
      <c r="B551" s="207" t="s">
        <v>63</v>
      </c>
      <c r="C551" s="208">
        <v>-0.10751554916543536</v>
      </c>
      <c r="D551" s="209">
        <v>0</v>
      </c>
      <c r="E551" s="209">
        <v>-4.7666429606784549E-2</v>
      </c>
      <c r="F551" s="209">
        <v>0</v>
      </c>
      <c r="G551" s="209">
        <v>-0.67406058876359409</v>
      </c>
      <c r="H551" s="209">
        <v>0.228163015420485</v>
      </c>
      <c r="I551" s="209">
        <v>0</v>
      </c>
      <c r="J551" s="210">
        <v>-0.17345924499203302</v>
      </c>
      <c r="K551" s="210">
        <v>-0.87653606262340922</v>
      </c>
      <c r="L551" s="209">
        <v>0</v>
      </c>
      <c r="M551" s="209">
        <v>2.6139186796063059</v>
      </c>
      <c r="N551" s="209">
        <v>3.0489838994423009</v>
      </c>
      <c r="O551" s="210">
        <v>1.9850449320349406</v>
      </c>
      <c r="P551" s="210">
        <v>0</v>
      </c>
      <c r="Q551" s="209">
        <v>0</v>
      </c>
      <c r="R551" s="210">
        <v>0</v>
      </c>
      <c r="S551" s="210">
        <v>0</v>
      </c>
      <c r="T551" s="15">
        <v>0</v>
      </c>
      <c r="U551" s="15">
        <v>0.29932373659499606</v>
      </c>
      <c r="V551" s="15"/>
    </row>
    <row r="552" spans="1:22" x14ac:dyDescent="0.25">
      <c r="A552" s="166"/>
      <c r="B552" s="268" t="s">
        <v>64</v>
      </c>
      <c r="C552" s="524">
        <v>6.7847605698473881E-2</v>
      </c>
      <c r="D552" s="525">
        <v>0</v>
      </c>
      <c r="E552" s="525">
        <v>0.13763717020779828</v>
      </c>
      <c r="F552" s="525">
        <v>0</v>
      </c>
      <c r="G552" s="525">
        <v>6.8513239346446514E-2</v>
      </c>
      <c r="H552" s="525">
        <v>0.1233299046454088</v>
      </c>
      <c r="I552" s="525">
        <v>0</v>
      </c>
      <c r="J552" s="536">
        <v>9.3545051572923407E-2</v>
      </c>
      <c r="K552" s="536">
        <v>0.20351897473176905</v>
      </c>
      <c r="L552" s="525">
        <v>0</v>
      </c>
      <c r="M552" s="525">
        <v>0.17961267622936722</v>
      </c>
      <c r="N552" s="525">
        <v>0.17079329752402148</v>
      </c>
      <c r="O552" s="536">
        <v>0.18215840603711733</v>
      </c>
      <c r="P552" s="165">
        <v>0</v>
      </c>
      <c r="Q552" s="525">
        <v>0</v>
      </c>
      <c r="R552" s="536">
        <v>0</v>
      </c>
      <c r="S552" s="536">
        <v>0</v>
      </c>
      <c r="T552" s="15">
        <v>0</v>
      </c>
      <c r="U552" s="15">
        <v>0.11811076543553466</v>
      </c>
      <c r="V552" s="15"/>
    </row>
    <row r="553" spans="1:22" x14ac:dyDescent="0.25">
      <c r="A553" s="166"/>
      <c r="B553" s="167" t="s">
        <v>65</v>
      </c>
      <c r="C553" s="168">
        <v>7.2881261992962632E-2</v>
      </c>
      <c r="D553" s="169">
        <v>0</v>
      </c>
      <c r="E553" s="169">
        <v>0.13952722181039454</v>
      </c>
      <c r="F553" s="169">
        <v>0</v>
      </c>
      <c r="G553" s="169">
        <v>7.3400408810168155E-2</v>
      </c>
      <c r="H553" s="169">
        <v>0.14503306834123855</v>
      </c>
      <c r="I553" s="169">
        <v>0</v>
      </c>
      <c r="J553" s="170">
        <v>0.10128404315171451</v>
      </c>
      <c r="K553" s="170">
        <v>0.20955468604434507</v>
      </c>
      <c r="L553" s="169">
        <v>0</v>
      </c>
      <c r="M553" s="169">
        <v>0.15801478352692713</v>
      </c>
      <c r="N553" s="169">
        <v>0.1910361386443391</v>
      </c>
      <c r="O553" s="170">
        <v>0.18419462155407576</v>
      </c>
      <c r="P553" s="170">
        <v>0</v>
      </c>
      <c r="Q553" s="169">
        <v>0</v>
      </c>
      <c r="R553" s="170">
        <v>0</v>
      </c>
      <c r="S553" s="170">
        <v>0</v>
      </c>
      <c r="T553" s="15">
        <v>0</v>
      </c>
      <c r="U553" s="15">
        <v>0.12349790124369303</v>
      </c>
      <c r="V553" s="15"/>
    </row>
    <row r="554" spans="1:22" x14ac:dyDescent="0.25">
      <c r="A554" s="166"/>
      <c r="B554" s="207" t="s">
        <v>66</v>
      </c>
      <c r="C554" s="208">
        <v>0.50336562944887508</v>
      </c>
      <c r="D554" s="209">
        <v>0</v>
      </c>
      <c r="E554" s="209">
        <v>0.18900516025962544</v>
      </c>
      <c r="F554" s="209">
        <v>0</v>
      </c>
      <c r="G554" s="209">
        <v>0.48871694637216412</v>
      </c>
      <c r="H554" s="209">
        <v>2.1703163695829755</v>
      </c>
      <c r="I554" s="209">
        <v>0</v>
      </c>
      <c r="J554" s="210">
        <v>0.7738991578791099</v>
      </c>
      <c r="K554" s="210">
        <v>0.60357113125760198</v>
      </c>
      <c r="L554" s="209">
        <v>0</v>
      </c>
      <c r="M554" s="209">
        <v>-2.1597892702440085</v>
      </c>
      <c r="N554" s="209">
        <v>2.0242841120317627</v>
      </c>
      <c r="O554" s="210">
        <v>0.20362155169584284</v>
      </c>
      <c r="P554" s="210">
        <v>0</v>
      </c>
      <c r="Q554" s="209">
        <v>0</v>
      </c>
      <c r="R554" s="210">
        <v>0</v>
      </c>
      <c r="S554" s="210">
        <v>0</v>
      </c>
      <c r="T554" s="15">
        <v>0</v>
      </c>
      <c r="U554" s="15">
        <v>0.53871358081583742</v>
      </c>
      <c r="V554" s="15"/>
    </row>
    <row r="555" spans="1:22" x14ac:dyDescent="0.25">
      <c r="A555" s="166"/>
      <c r="B555" s="268" t="s">
        <v>67</v>
      </c>
      <c r="C555" s="524">
        <v>3.6249833854928165E-5</v>
      </c>
      <c r="D555" s="525">
        <v>0</v>
      </c>
      <c r="E555" s="525">
        <v>4.1224025215970111E-3</v>
      </c>
      <c r="F555" s="525">
        <v>0</v>
      </c>
      <c r="G555" s="525">
        <v>0</v>
      </c>
      <c r="H555" s="525">
        <v>1.188735370159295E-2</v>
      </c>
      <c r="I555" s="525">
        <v>0</v>
      </c>
      <c r="J555" s="536">
        <v>3.5558500937421622E-3</v>
      </c>
      <c r="K555" s="536">
        <v>0</v>
      </c>
      <c r="L555" s="525">
        <v>0</v>
      </c>
      <c r="M555" s="525">
        <v>3.3798691885463812E-2</v>
      </c>
      <c r="N555" s="525">
        <v>8.675554794667124E-3</v>
      </c>
      <c r="O555" s="536">
        <v>1.5203769783681344E-2</v>
      </c>
      <c r="P555" s="165">
        <v>0</v>
      </c>
      <c r="Q555" s="525">
        <v>0</v>
      </c>
      <c r="R555" s="536">
        <v>0</v>
      </c>
      <c r="S555" s="536">
        <v>0</v>
      </c>
      <c r="T555" s="15">
        <v>0</v>
      </c>
      <c r="U555" s="15">
        <v>6.7849284186501995E-3</v>
      </c>
      <c r="V555" s="15"/>
    </row>
    <row r="556" spans="1:22" x14ac:dyDescent="0.25">
      <c r="A556" s="166"/>
      <c r="B556" s="167" t="s">
        <v>68</v>
      </c>
      <c r="C556" s="168">
        <v>0</v>
      </c>
      <c r="D556" s="169">
        <v>0</v>
      </c>
      <c r="E556" s="169">
        <v>0</v>
      </c>
      <c r="F556" s="169">
        <v>0</v>
      </c>
      <c r="G556" s="169">
        <v>0</v>
      </c>
      <c r="H556" s="169">
        <v>1.2867171865333283E-2</v>
      </c>
      <c r="I556" s="169">
        <v>0</v>
      </c>
      <c r="J556" s="170">
        <v>2.9425850510037006E-3</v>
      </c>
      <c r="K556" s="170">
        <v>0</v>
      </c>
      <c r="L556" s="169">
        <v>0</v>
      </c>
      <c r="M556" s="169">
        <v>3.6737064413938751E-2</v>
      </c>
      <c r="N556" s="169">
        <v>8.6278924547717253E-3</v>
      </c>
      <c r="O556" s="170">
        <v>1.6189423514956159E-2</v>
      </c>
      <c r="P556" s="170">
        <v>0</v>
      </c>
      <c r="Q556" s="169">
        <v>0</v>
      </c>
      <c r="R556" s="170">
        <v>0</v>
      </c>
      <c r="S556" s="170">
        <v>0</v>
      </c>
      <c r="T556" s="15">
        <v>0</v>
      </c>
      <c r="U556" s="15">
        <v>6.4917508568138587E-3</v>
      </c>
      <c r="V556" s="15"/>
    </row>
    <row r="557" spans="1:22" x14ac:dyDescent="0.25">
      <c r="A557" s="166"/>
      <c r="B557" s="207" t="s">
        <v>69</v>
      </c>
      <c r="C557" s="208">
        <v>-3.6249833854928165E-3</v>
      </c>
      <c r="D557" s="209">
        <v>0</v>
      </c>
      <c r="E557" s="209">
        <v>-0.41224025215970111</v>
      </c>
      <c r="F557" s="209">
        <v>0</v>
      </c>
      <c r="G557" s="209">
        <v>0</v>
      </c>
      <c r="H557" s="209">
        <v>9.7981816374033248E-2</v>
      </c>
      <c r="I557" s="209">
        <v>0</v>
      </c>
      <c r="J557" s="210">
        <v>-6.1326504273846165E-2</v>
      </c>
      <c r="K557" s="210">
        <v>0</v>
      </c>
      <c r="L557" s="209">
        <v>0</v>
      </c>
      <c r="M557" s="209">
        <v>0.2938372528474939</v>
      </c>
      <c r="N557" s="209">
        <v>-4.7662339895398684E-3</v>
      </c>
      <c r="O557" s="210">
        <v>9.8565373127481454E-2</v>
      </c>
      <c r="P557" s="210">
        <v>0</v>
      </c>
      <c r="Q557" s="209">
        <v>0</v>
      </c>
      <c r="R557" s="210">
        <v>0</v>
      </c>
      <c r="S557" s="210">
        <v>0</v>
      </c>
      <c r="T557" s="15">
        <v>0</v>
      </c>
      <c r="U557" s="15">
        <v>-2.9317756183634084E-2</v>
      </c>
      <c r="V557" s="15"/>
    </row>
    <row r="558" spans="1:22" x14ac:dyDescent="0.25">
      <c r="A558" s="166"/>
      <c r="B558" s="268" t="s">
        <v>70</v>
      </c>
      <c r="C558" s="524">
        <v>3.9844609045541872E-3</v>
      </c>
      <c r="D558" s="525">
        <v>0</v>
      </c>
      <c r="E558" s="525">
        <v>0</v>
      </c>
      <c r="F558" s="525">
        <v>0</v>
      </c>
      <c r="G558" s="525">
        <v>0</v>
      </c>
      <c r="H558" s="525">
        <v>1.0286063773595396E-4</v>
      </c>
      <c r="I558" s="525">
        <v>0</v>
      </c>
      <c r="J558" s="536">
        <v>1.7517309393665348E-3</v>
      </c>
      <c r="K558" s="536">
        <v>7.7608604929795509E-3</v>
      </c>
      <c r="L558" s="525">
        <v>0</v>
      </c>
      <c r="M558" s="525">
        <v>2.6535756932466497E-4</v>
      </c>
      <c r="N558" s="525">
        <v>5.6495966102420333E-4</v>
      </c>
      <c r="O558" s="536">
        <v>2.2861142886411363E-3</v>
      </c>
      <c r="P558" s="165">
        <v>0</v>
      </c>
      <c r="Q558" s="525">
        <v>0</v>
      </c>
      <c r="R558" s="536">
        <v>0</v>
      </c>
      <c r="S558" s="536">
        <v>0</v>
      </c>
      <c r="T558" s="15">
        <v>0</v>
      </c>
      <c r="U558" s="15">
        <v>1.8998746196345936E-3</v>
      </c>
      <c r="V558" s="15"/>
    </row>
    <row r="559" spans="1:22" x14ac:dyDescent="0.25">
      <c r="A559" s="166"/>
      <c r="B559" s="167" t="s">
        <v>71</v>
      </c>
      <c r="C559" s="168">
        <v>3.9021598941848079E-3</v>
      </c>
      <c r="D559" s="169">
        <v>0</v>
      </c>
      <c r="E559" s="169">
        <v>0</v>
      </c>
      <c r="F559" s="169">
        <v>0</v>
      </c>
      <c r="G559" s="169">
        <v>0</v>
      </c>
      <c r="H559" s="169">
        <v>4.298739133339336E-4</v>
      </c>
      <c r="I559" s="169">
        <v>0</v>
      </c>
      <c r="J559" s="170">
        <v>1.8286538702964306E-3</v>
      </c>
      <c r="K559" s="170">
        <v>9.830445313955655E-3</v>
      </c>
      <c r="L559" s="169">
        <v>0</v>
      </c>
      <c r="M559" s="169">
        <v>1.900739176346357E-4</v>
      </c>
      <c r="N559" s="169">
        <v>2.3218793150456022E-3</v>
      </c>
      <c r="O559" s="170">
        <v>3.4175655245137276E-3</v>
      </c>
      <c r="P559" s="170">
        <v>0</v>
      </c>
      <c r="Q559" s="169">
        <v>0</v>
      </c>
      <c r="R559" s="170">
        <v>0</v>
      </c>
      <c r="S559" s="170">
        <v>0</v>
      </c>
      <c r="T559" s="15">
        <v>0</v>
      </c>
      <c r="U559" s="15">
        <v>2.2543638181415017E-3</v>
      </c>
      <c r="V559" s="15"/>
    </row>
    <row r="560" spans="1:22" x14ac:dyDescent="0.25">
      <c r="A560" s="166"/>
      <c r="B560" s="207" t="s">
        <v>72</v>
      </c>
      <c r="C560" s="208">
        <v>-8.2301010369379302E-3</v>
      </c>
      <c r="D560" s="209">
        <v>0</v>
      </c>
      <c r="E560" s="209">
        <v>0</v>
      </c>
      <c r="F560" s="209">
        <v>0</v>
      </c>
      <c r="G560" s="209">
        <v>0</v>
      </c>
      <c r="H560" s="209">
        <v>3.270132755979796E-2</v>
      </c>
      <c r="I560" s="209">
        <v>0</v>
      </c>
      <c r="J560" s="210">
        <v>7.6922930929895772E-3</v>
      </c>
      <c r="K560" s="210">
        <v>0.20695848209761042</v>
      </c>
      <c r="L560" s="209">
        <v>0</v>
      </c>
      <c r="M560" s="209">
        <v>-7.5283651690029266E-3</v>
      </c>
      <c r="N560" s="209">
        <v>0.17569196540213988</v>
      </c>
      <c r="O560" s="210">
        <v>0.11314512358725913</v>
      </c>
      <c r="P560" s="210">
        <v>0</v>
      </c>
      <c r="Q560" s="209">
        <v>0</v>
      </c>
      <c r="R560" s="210">
        <v>0</v>
      </c>
      <c r="S560" s="210">
        <v>0</v>
      </c>
      <c r="T560" s="15">
        <v>0</v>
      </c>
      <c r="U560" s="15">
        <v>3.5448919850690812E-2</v>
      </c>
      <c r="V560" s="15"/>
    </row>
    <row r="561" spans="1:22" x14ac:dyDescent="0.25">
      <c r="A561" s="166"/>
      <c r="B561" s="268" t="s">
        <v>73</v>
      </c>
      <c r="C561" s="524">
        <v>0</v>
      </c>
      <c r="D561" s="525">
        <v>0</v>
      </c>
      <c r="E561" s="525">
        <v>0</v>
      </c>
      <c r="F561" s="525">
        <v>0</v>
      </c>
      <c r="G561" s="525">
        <v>0</v>
      </c>
      <c r="H561" s="525">
        <v>0</v>
      </c>
      <c r="I561" s="525">
        <v>0</v>
      </c>
      <c r="J561" s="536">
        <v>0</v>
      </c>
      <c r="K561" s="536">
        <v>0</v>
      </c>
      <c r="L561" s="525">
        <v>0</v>
      </c>
      <c r="M561" s="525">
        <v>0</v>
      </c>
      <c r="N561" s="525">
        <v>0</v>
      </c>
      <c r="O561" s="536">
        <v>0</v>
      </c>
      <c r="P561" s="165">
        <v>0</v>
      </c>
      <c r="Q561" s="525">
        <v>0</v>
      </c>
      <c r="R561" s="536">
        <v>0</v>
      </c>
      <c r="S561" s="536">
        <v>0</v>
      </c>
      <c r="T561" s="15">
        <v>0</v>
      </c>
      <c r="U561" s="15">
        <v>0</v>
      </c>
      <c r="V561" s="15"/>
    </row>
    <row r="562" spans="1:22" x14ac:dyDescent="0.25">
      <c r="A562" s="166"/>
      <c r="B562" s="167" t="s">
        <v>74</v>
      </c>
      <c r="C562" s="168">
        <v>0</v>
      </c>
      <c r="D562" s="169">
        <v>0</v>
      </c>
      <c r="E562" s="169">
        <v>0</v>
      </c>
      <c r="F562" s="169">
        <v>0</v>
      </c>
      <c r="G562" s="169">
        <v>0</v>
      </c>
      <c r="H562" s="169">
        <v>0</v>
      </c>
      <c r="I562" s="169">
        <v>0</v>
      </c>
      <c r="J562" s="170">
        <v>0</v>
      </c>
      <c r="K562" s="170">
        <v>0</v>
      </c>
      <c r="L562" s="169">
        <v>0</v>
      </c>
      <c r="M562" s="169">
        <v>0</v>
      </c>
      <c r="N562" s="169">
        <v>0</v>
      </c>
      <c r="O562" s="170">
        <v>0</v>
      </c>
      <c r="P562" s="170">
        <v>0</v>
      </c>
      <c r="Q562" s="169">
        <v>0</v>
      </c>
      <c r="R562" s="170">
        <v>0</v>
      </c>
      <c r="S562" s="170">
        <v>0</v>
      </c>
      <c r="T562" s="15">
        <v>0</v>
      </c>
      <c r="U562" s="15">
        <v>0</v>
      </c>
      <c r="V562" s="15"/>
    </row>
    <row r="563" spans="1:22" ht="15.75" thickBot="1" x14ac:dyDescent="0.3">
      <c r="A563" s="166"/>
      <c r="B563" s="531" t="s">
        <v>75</v>
      </c>
      <c r="C563" s="532">
        <v>0</v>
      </c>
      <c r="D563" s="533">
        <v>0</v>
      </c>
      <c r="E563" s="533">
        <v>0</v>
      </c>
      <c r="F563" s="533">
        <v>0</v>
      </c>
      <c r="G563" s="533">
        <v>0</v>
      </c>
      <c r="H563" s="533">
        <v>0</v>
      </c>
      <c r="I563" s="533">
        <v>0</v>
      </c>
      <c r="J563" s="537">
        <v>0</v>
      </c>
      <c r="K563" s="537">
        <v>0</v>
      </c>
      <c r="L563" s="533">
        <v>0</v>
      </c>
      <c r="M563" s="533">
        <v>0</v>
      </c>
      <c r="N563" s="533">
        <v>0</v>
      </c>
      <c r="O563" s="537">
        <v>0</v>
      </c>
      <c r="P563" s="537">
        <v>0</v>
      </c>
      <c r="Q563" s="533">
        <v>0</v>
      </c>
      <c r="R563" s="537">
        <v>0</v>
      </c>
      <c r="S563" s="537">
        <v>0</v>
      </c>
      <c r="T563" s="15">
        <v>0</v>
      </c>
      <c r="U563" s="15">
        <v>0</v>
      </c>
      <c r="V563" s="15"/>
    </row>
    <row r="564" spans="1:22" ht="15.75" thickTop="1" x14ac:dyDescent="0.25">
      <c r="A564" s="166"/>
      <c r="B564" s="167" t="s">
        <v>76</v>
      </c>
      <c r="C564" s="168">
        <v>0.65562990824540557</v>
      </c>
      <c r="D564" s="169">
        <v>0</v>
      </c>
      <c r="E564" s="169">
        <v>0.29566748983149332</v>
      </c>
      <c r="F564" s="169">
        <v>0</v>
      </c>
      <c r="G564" s="169">
        <v>0.52140891579526694</v>
      </c>
      <c r="H564" s="169">
        <v>0.16727212681638046</v>
      </c>
      <c r="I564" s="169">
        <v>0</v>
      </c>
      <c r="J564" s="170">
        <v>0.52386050444158949</v>
      </c>
      <c r="K564" s="170">
        <v>0</v>
      </c>
      <c r="L564" s="169">
        <v>0</v>
      </c>
      <c r="M564" s="169">
        <v>0</v>
      </c>
      <c r="N564" s="169">
        <v>0</v>
      </c>
      <c r="O564" s="170">
        <v>0</v>
      </c>
      <c r="P564" s="170">
        <v>0</v>
      </c>
      <c r="Q564" s="169">
        <v>0</v>
      </c>
      <c r="R564" s="170">
        <v>0</v>
      </c>
      <c r="S564" s="170">
        <v>0</v>
      </c>
      <c r="T564" s="15">
        <v>0</v>
      </c>
      <c r="U564" s="15">
        <v>0.52386050444158949</v>
      </c>
      <c r="V564" s="15"/>
    </row>
    <row r="565" spans="1:22" x14ac:dyDescent="0.25">
      <c r="A565" s="166"/>
      <c r="B565" s="167" t="s">
        <v>77</v>
      </c>
      <c r="C565" s="168">
        <v>0.65173328024757271</v>
      </c>
      <c r="D565" s="169">
        <v>0</v>
      </c>
      <c r="E565" s="169">
        <v>0.30061782540711646</v>
      </c>
      <c r="F565" s="169">
        <v>0</v>
      </c>
      <c r="G565" s="169">
        <v>0.52554513852312235</v>
      </c>
      <c r="H565" s="169">
        <v>0.39021507917749942</v>
      </c>
      <c r="I565" s="169">
        <v>0</v>
      </c>
      <c r="J565" s="170">
        <v>0.53109833618926539</v>
      </c>
      <c r="K565" s="170">
        <v>0</v>
      </c>
      <c r="L565" s="169">
        <v>0</v>
      </c>
      <c r="M565" s="169">
        <v>0</v>
      </c>
      <c r="N565" s="169">
        <v>0</v>
      </c>
      <c r="O565" s="170">
        <v>0</v>
      </c>
      <c r="P565" s="170">
        <v>0</v>
      </c>
      <c r="Q565" s="169">
        <v>0</v>
      </c>
      <c r="R565" s="170">
        <v>0</v>
      </c>
      <c r="S565" s="170">
        <v>0</v>
      </c>
      <c r="T565" s="15">
        <v>0</v>
      </c>
      <c r="U565" s="15">
        <v>0.53108072254526961</v>
      </c>
      <c r="V565" s="15"/>
    </row>
    <row r="566" spans="1:22" x14ac:dyDescent="0.25">
      <c r="A566" s="166"/>
      <c r="B566" s="207" t="s">
        <v>78</v>
      </c>
      <c r="C566" s="208">
        <v>-0.38966279978328577</v>
      </c>
      <c r="D566" s="209">
        <v>0</v>
      </c>
      <c r="E566" s="209">
        <v>0.49503355756231326</v>
      </c>
      <c r="F566" s="209">
        <v>0</v>
      </c>
      <c r="G566" s="209">
        <v>0.41362227278554098</v>
      </c>
      <c r="H566" s="530">
        <v>22.294295236111896</v>
      </c>
      <c r="I566" s="209">
        <v>0</v>
      </c>
      <c r="J566" s="210">
        <v>0.72378317476758935</v>
      </c>
      <c r="K566" s="210">
        <v>0</v>
      </c>
      <c r="L566" s="209">
        <v>0</v>
      </c>
      <c r="M566" s="209">
        <v>0</v>
      </c>
      <c r="N566" s="209">
        <v>0</v>
      </c>
      <c r="O566" s="210">
        <v>0</v>
      </c>
      <c r="P566" s="210">
        <v>0</v>
      </c>
      <c r="Q566" s="209">
        <v>0</v>
      </c>
      <c r="R566" s="210">
        <v>0</v>
      </c>
      <c r="S566" s="210">
        <v>0</v>
      </c>
      <c r="T566" s="15">
        <v>0</v>
      </c>
      <c r="U566" s="15">
        <v>0.72202181036801205</v>
      </c>
      <c r="V566" s="15"/>
    </row>
    <row r="567" spans="1:22" x14ac:dyDescent="0.25">
      <c r="A567" s="166"/>
      <c r="B567" s="268" t="s">
        <v>79</v>
      </c>
      <c r="C567" s="524">
        <v>8.980693117958706E-2</v>
      </c>
      <c r="D567" s="525">
        <v>0</v>
      </c>
      <c r="E567" s="525">
        <v>0.50228791400348638</v>
      </c>
      <c r="F567" s="525">
        <v>0</v>
      </c>
      <c r="G567" s="525">
        <v>0</v>
      </c>
      <c r="H567" s="525">
        <v>0.28038309114927346</v>
      </c>
      <c r="I567" s="525">
        <v>0</v>
      </c>
      <c r="J567" s="536">
        <v>0.21638062610490716</v>
      </c>
      <c r="K567" s="536">
        <v>0</v>
      </c>
      <c r="L567" s="525">
        <v>0</v>
      </c>
      <c r="M567" s="525">
        <v>0</v>
      </c>
      <c r="N567" s="525">
        <v>0</v>
      </c>
      <c r="O567" s="536">
        <v>0</v>
      </c>
      <c r="P567" s="165">
        <v>0</v>
      </c>
      <c r="Q567" s="525">
        <v>0</v>
      </c>
      <c r="R567" s="536">
        <v>0</v>
      </c>
      <c r="S567" s="536">
        <v>0</v>
      </c>
      <c r="T567" s="15">
        <v>0</v>
      </c>
      <c r="U567" s="15">
        <v>0.21638062610490716</v>
      </c>
      <c r="V567" s="15"/>
    </row>
    <row r="568" spans="1:22" x14ac:dyDescent="0.25">
      <c r="A568" s="166"/>
      <c r="B568" s="167" t="s">
        <v>80</v>
      </c>
      <c r="C568" s="168">
        <v>7.6235375023752855E-2</v>
      </c>
      <c r="D568" s="169">
        <v>0</v>
      </c>
      <c r="E568" s="169">
        <v>0.39029785286602342</v>
      </c>
      <c r="F568" s="169">
        <v>0</v>
      </c>
      <c r="G568" s="169">
        <v>0</v>
      </c>
      <c r="H568" s="169">
        <v>0.25135901678090283</v>
      </c>
      <c r="I568" s="169">
        <v>0</v>
      </c>
      <c r="J568" s="170">
        <v>0.17146647504283899</v>
      </c>
      <c r="K568" s="170">
        <v>0</v>
      </c>
      <c r="L568" s="169">
        <v>0</v>
      </c>
      <c r="M568" s="169">
        <v>0</v>
      </c>
      <c r="N568" s="169">
        <v>0</v>
      </c>
      <c r="O568" s="170">
        <v>0</v>
      </c>
      <c r="P568" s="170">
        <v>0</v>
      </c>
      <c r="Q568" s="169">
        <v>0</v>
      </c>
      <c r="R568" s="170">
        <v>0</v>
      </c>
      <c r="S568" s="170">
        <v>0</v>
      </c>
      <c r="T568" s="15">
        <v>0</v>
      </c>
      <c r="U568" s="15">
        <v>0.17146078843220058</v>
      </c>
      <c r="V568" s="15"/>
    </row>
    <row r="569" spans="1:22" x14ac:dyDescent="0.25">
      <c r="A569" s="166"/>
      <c r="B569" s="207" t="s">
        <v>81</v>
      </c>
      <c r="C569" s="208">
        <v>-1.3571556155834206</v>
      </c>
      <c r="D569" s="209">
        <v>0</v>
      </c>
      <c r="E569" s="530">
        <v>-11.199006113746297</v>
      </c>
      <c r="F569" s="209">
        <v>0</v>
      </c>
      <c r="G569" s="209">
        <v>0</v>
      </c>
      <c r="H569" s="209">
        <v>-2.9024074368370623</v>
      </c>
      <c r="I569" s="209">
        <v>0</v>
      </c>
      <c r="J569" s="210">
        <v>-4.4914151062068166</v>
      </c>
      <c r="K569" s="210">
        <v>0</v>
      </c>
      <c r="L569" s="209">
        <v>0</v>
      </c>
      <c r="M569" s="209">
        <v>0</v>
      </c>
      <c r="N569" s="209">
        <v>0</v>
      </c>
      <c r="O569" s="210">
        <v>0</v>
      </c>
      <c r="P569" s="210">
        <v>0</v>
      </c>
      <c r="Q569" s="209">
        <v>0</v>
      </c>
      <c r="R569" s="210">
        <v>0</v>
      </c>
      <c r="S569" s="210">
        <v>0</v>
      </c>
      <c r="T569" s="15">
        <v>0</v>
      </c>
      <c r="U569" s="15">
        <v>-4.4919837672706571</v>
      </c>
      <c r="V569" s="15"/>
    </row>
    <row r="570" spans="1:22" x14ac:dyDescent="0.25">
      <c r="A570" s="166"/>
      <c r="B570" s="268" t="s">
        <v>82</v>
      </c>
      <c r="C570" s="524">
        <v>0.24552171465839953</v>
      </c>
      <c r="D570" s="525">
        <v>0</v>
      </c>
      <c r="E570" s="525">
        <v>0.19953878558977339</v>
      </c>
      <c r="F570" s="525">
        <v>0</v>
      </c>
      <c r="G570" s="525">
        <v>0.47859108420473306</v>
      </c>
      <c r="H570" s="525">
        <v>0.55234478203434612</v>
      </c>
      <c r="I570" s="525">
        <v>0</v>
      </c>
      <c r="J570" s="536">
        <v>0.25344511425151806</v>
      </c>
      <c r="K570" s="536">
        <v>0</v>
      </c>
      <c r="L570" s="525">
        <v>0</v>
      </c>
      <c r="M570" s="525">
        <v>0</v>
      </c>
      <c r="N570" s="525">
        <v>0</v>
      </c>
      <c r="O570" s="536">
        <v>0</v>
      </c>
      <c r="P570" s="165">
        <v>0</v>
      </c>
      <c r="Q570" s="525">
        <v>0</v>
      </c>
      <c r="R570" s="536">
        <v>0</v>
      </c>
      <c r="S570" s="536">
        <v>0</v>
      </c>
      <c r="T570" s="15">
        <v>0</v>
      </c>
      <c r="U570" s="15">
        <v>0.25344511425151806</v>
      </c>
      <c r="V570" s="15"/>
    </row>
    <row r="571" spans="1:22" x14ac:dyDescent="0.25">
      <c r="A571" s="166"/>
      <c r="B571" s="167" t="s">
        <v>83</v>
      </c>
      <c r="C571" s="168">
        <v>0.26107335788549763</v>
      </c>
      <c r="D571" s="169">
        <v>0</v>
      </c>
      <c r="E571" s="169">
        <v>0.30856946722092982</v>
      </c>
      <c r="F571" s="169">
        <v>0</v>
      </c>
      <c r="G571" s="169">
        <v>0.47445486147687771</v>
      </c>
      <c r="H571" s="169">
        <v>0.35842590404159774</v>
      </c>
      <c r="I571" s="169">
        <v>0</v>
      </c>
      <c r="J571" s="170">
        <v>0.29059200707534133</v>
      </c>
      <c r="K571" s="170">
        <v>0</v>
      </c>
      <c r="L571" s="169">
        <v>0</v>
      </c>
      <c r="M571" s="169">
        <v>1</v>
      </c>
      <c r="N571" s="169">
        <v>0</v>
      </c>
      <c r="O571" s="170">
        <v>1</v>
      </c>
      <c r="P571" s="170">
        <v>0</v>
      </c>
      <c r="Q571" s="169">
        <v>0</v>
      </c>
      <c r="R571" s="170">
        <v>0</v>
      </c>
      <c r="S571" s="170">
        <v>0</v>
      </c>
      <c r="T571" s="15">
        <v>0</v>
      </c>
      <c r="U571" s="15">
        <v>0.29061553428110282</v>
      </c>
      <c r="V571" s="15"/>
    </row>
    <row r="572" spans="1:22" x14ac:dyDescent="0.25">
      <c r="A572" s="166"/>
      <c r="B572" s="207" t="s">
        <v>84</v>
      </c>
      <c r="C572" s="208">
        <v>1.5551643227098095</v>
      </c>
      <c r="D572" s="209">
        <v>0</v>
      </c>
      <c r="E572" s="530">
        <v>10.903068163115643</v>
      </c>
      <c r="F572" s="209">
        <v>0</v>
      </c>
      <c r="G572" s="209">
        <v>-0.41362227278553543</v>
      </c>
      <c r="H572" s="530">
        <v>-19.391887799274837</v>
      </c>
      <c r="I572" s="209">
        <v>0</v>
      </c>
      <c r="J572" s="210">
        <v>3.7146892823823272</v>
      </c>
      <c r="K572" s="210">
        <v>0</v>
      </c>
      <c r="L572" s="209">
        <v>0</v>
      </c>
      <c r="M572" s="209">
        <v>0</v>
      </c>
      <c r="N572" s="209">
        <v>0</v>
      </c>
      <c r="O572" s="210">
        <v>0</v>
      </c>
      <c r="P572" s="210">
        <v>0</v>
      </c>
      <c r="Q572" s="209">
        <v>0</v>
      </c>
      <c r="R572" s="210">
        <v>0</v>
      </c>
      <c r="S572" s="210">
        <v>0</v>
      </c>
      <c r="T572" s="15">
        <v>0</v>
      </c>
      <c r="U572" s="15">
        <v>3.7170420029584763</v>
      </c>
      <c r="V572" s="15"/>
    </row>
    <row r="573" spans="1:22" x14ac:dyDescent="0.25">
      <c r="A573" s="166"/>
      <c r="B573" s="268" t="s">
        <v>85</v>
      </c>
      <c r="C573" s="524">
        <v>7.4154151292337104E-3</v>
      </c>
      <c r="D573" s="525">
        <v>0</v>
      </c>
      <c r="E573" s="525">
        <v>2.5058105752469493E-3</v>
      </c>
      <c r="F573" s="525">
        <v>0</v>
      </c>
      <c r="G573" s="525">
        <v>0</v>
      </c>
      <c r="H573" s="525">
        <v>0</v>
      </c>
      <c r="I573" s="525">
        <v>0</v>
      </c>
      <c r="J573" s="536">
        <v>5.3145348134971612E-3</v>
      </c>
      <c r="K573" s="536">
        <v>0</v>
      </c>
      <c r="L573" s="525">
        <v>0</v>
      </c>
      <c r="M573" s="525">
        <v>0</v>
      </c>
      <c r="N573" s="525">
        <v>0</v>
      </c>
      <c r="O573" s="536">
        <v>0</v>
      </c>
      <c r="P573" s="165">
        <v>0</v>
      </c>
      <c r="Q573" s="525">
        <v>0</v>
      </c>
      <c r="R573" s="536">
        <v>0</v>
      </c>
      <c r="S573" s="536">
        <v>0</v>
      </c>
      <c r="T573" s="15">
        <v>0</v>
      </c>
      <c r="U573" s="15">
        <v>5.3145348134971612E-3</v>
      </c>
      <c r="V573" s="15"/>
    </row>
    <row r="574" spans="1:22" x14ac:dyDescent="0.25">
      <c r="A574" s="166"/>
      <c r="B574" s="167" t="s">
        <v>86</v>
      </c>
      <c r="C574" s="168">
        <v>7.2118212337010127E-3</v>
      </c>
      <c r="D574" s="169">
        <v>0</v>
      </c>
      <c r="E574" s="169">
        <v>5.1485450593036111E-4</v>
      </c>
      <c r="F574" s="169">
        <v>0</v>
      </c>
      <c r="G574" s="169">
        <v>0</v>
      </c>
      <c r="H574" s="169">
        <v>0</v>
      </c>
      <c r="I574" s="169">
        <v>0</v>
      </c>
      <c r="J574" s="170">
        <v>4.5547509811508487E-3</v>
      </c>
      <c r="K574" s="170">
        <v>0</v>
      </c>
      <c r="L574" s="169">
        <v>0</v>
      </c>
      <c r="M574" s="169">
        <v>0</v>
      </c>
      <c r="N574" s="169">
        <v>0</v>
      </c>
      <c r="O574" s="170">
        <v>0</v>
      </c>
      <c r="P574" s="170">
        <v>0</v>
      </c>
      <c r="Q574" s="169">
        <v>0</v>
      </c>
      <c r="R574" s="170">
        <v>0</v>
      </c>
      <c r="S574" s="170">
        <v>0</v>
      </c>
      <c r="T574" s="15">
        <v>0</v>
      </c>
      <c r="U574" s="15">
        <v>4.5545999248269914E-3</v>
      </c>
      <c r="V574" s="15"/>
    </row>
    <row r="575" spans="1:22" x14ac:dyDescent="0.25">
      <c r="A575" s="166"/>
      <c r="B575" s="207" t="s">
        <v>87</v>
      </c>
      <c r="C575" s="208">
        <v>-2.0359389553269765E-2</v>
      </c>
      <c r="D575" s="209">
        <v>0</v>
      </c>
      <c r="E575" s="209">
        <v>-0.19909560693165884</v>
      </c>
      <c r="F575" s="209">
        <v>0</v>
      </c>
      <c r="G575" s="209">
        <v>0</v>
      </c>
      <c r="H575" s="209">
        <v>0</v>
      </c>
      <c r="I575" s="209">
        <v>0</v>
      </c>
      <c r="J575" s="210">
        <v>-7.5978383234631255E-2</v>
      </c>
      <c r="K575" s="210">
        <v>0</v>
      </c>
      <c r="L575" s="209">
        <v>0</v>
      </c>
      <c r="M575" s="209">
        <v>0</v>
      </c>
      <c r="N575" s="209">
        <v>0</v>
      </c>
      <c r="O575" s="210">
        <v>0</v>
      </c>
      <c r="P575" s="210">
        <v>0</v>
      </c>
      <c r="Q575" s="209">
        <v>0</v>
      </c>
      <c r="R575" s="210">
        <v>0</v>
      </c>
      <c r="S575" s="210">
        <v>0</v>
      </c>
      <c r="T575" s="15">
        <v>0</v>
      </c>
      <c r="U575" s="15">
        <v>-7.5993488867016984E-2</v>
      </c>
      <c r="V575" s="15"/>
    </row>
    <row r="576" spans="1:22" x14ac:dyDescent="0.25">
      <c r="A576" s="166"/>
      <c r="B576" s="268" t="s">
        <v>88</v>
      </c>
      <c r="C576" s="524">
        <v>1.6260307873741389E-3</v>
      </c>
      <c r="D576" s="525">
        <v>0</v>
      </c>
      <c r="E576" s="525">
        <v>0</v>
      </c>
      <c r="F576" s="525">
        <v>0</v>
      </c>
      <c r="G576" s="525">
        <v>0</v>
      </c>
      <c r="H576" s="525">
        <v>0</v>
      </c>
      <c r="I576" s="525">
        <v>0</v>
      </c>
      <c r="J576" s="536">
        <v>9.9922038848810268E-4</v>
      </c>
      <c r="K576" s="536">
        <v>0</v>
      </c>
      <c r="L576" s="525">
        <v>0</v>
      </c>
      <c r="M576" s="525">
        <v>0</v>
      </c>
      <c r="N576" s="525">
        <v>0</v>
      </c>
      <c r="O576" s="536">
        <v>0</v>
      </c>
      <c r="P576" s="165">
        <v>0</v>
      </c>
      <c r="Q576" s="525">
        <v>0</v>
      </c>
      <c r="R576" s="536">
        <v>0</v>
      </c>
      <c r="S576" s="536">
        <v>0</v>
      </c>
      <c r="T576" s="15">
        <v>0</v>
      </c>
      <c r="U576" s="15">
        <v>9.9922038848810268E-4</v>
      </c>
      <c r="V576" s="15"/>
    </row>
    <row r="577" spans="1:22" x14ac:dyDescent="0.25">
      <c r="A577" s="166"/>
      <c r="B577" s="167" t="s">
        <v>89</v>
      </c>
      <c r="C577" s="168">
        <v>3.7461656094758084E-3</v>
      </c>
      <c r="D577" s="169">
        <v>0</v>
      </c>
      <c r="E577" s="169">
        <v>0</v>
      </c>
      <c r="F577" s="169">
        <v>0</v>
      </c>
      <c r="G577" s="169">
        <v>0</v>
      </c>
      <c r="H577" s="169">
        <v>0</v>
      </c>
      <c r="I577" s="169">
        <v>0</v>
      </c>
      <c r="J577" s="170">
        <v>2.2884307114034602E-3</v>
      </c>
      <c r="K577" s="170">
        <v>0</v>
      </c>
      <c r="L577" s="169">
        <v>0</v>
      </c>
      <c r="M577" s="169">
        <v>0</v>
      </c>
      <c r="N577" s="169">
        <v>0</v>
      </c>
      <c r="O577" s="170">
        <v>0</v>
      </c>
      <c r="P577" s="170">
        <v>0</v>
      </c>
      <c r="Q577" s="169">
        <v>0</v>
      </c>
      <c r="R577" s="170">
        <v>0</v>
      </c>
      <c r="S577" s="170">
        <v>0</v>
      </c>
      <c r="T577" s="15">
        <v>0</v>
      </c>
      <c r="U577" s="15">
        <v>2.2883548165999689E-3</v>
      </c>
      <c r="V577" s="15"/>
    </row>
    <row r="578" spans="1:22" x14ac:dyDescent="0.25">
      <c r="A578" s="166"/>
      <c r="B578" s="207" t="s">
        <v>90</v>
      </c>
      <c r="C578" s="208">
        <v>0.21201348221016697</v>
      </c>
      <c r="D578" s="209">
        <v>0</v>
      </c>
      <c r="E578" s="209">
        <v>0</v>
      </c>
      <c r="F578" s="209">
        <v>0</v>
      </c>
      <c r="G578" s="209">
        <v>0</v>
      </c>
      <c r="H578" s="209">
        <v>0</v>
      </c>
      <c r="I578" s="209">
        <v>0</v>
      </c>
      <c r="J578" s="210">
        <v>0.12892103229153576</v>
      </c>
      <c r="K578" s="210">
        <v>0</v>
      </c>
      <c r="L578" s="209">
        <v>0</v>
      </c>
      <c r="M578" s="209">
        <v>0</v>
      </c>
      <c r="N578" s="209">
        <v>0</v>
      </c>
      <c r="O578" s="210">
        <v>0</v>
      </c>
      <c r="P578" s="210">
        <v>0</v>
      </c>
      <c r="Q578" s="209">
        <v>0</v>
      </c>
      <c r="R578" s="210">
        <v>0</v>
      </c>
      <c r="S578" s="210">
        <v>0</v>
      </c>
      <c r="T578" s="15">
        <v>0</v>
      </c>
      <c r="U578" s="15">
        <v>0.12891344281118661</v>
      </c>
      <c r="V578" s="15"/>
    </row>
    <row r="579" spans="1:22" x14ac:dyDescent="0.25">
      <c r="A579" s="166"/>
      <c r="B579" s="268" t="s">
        <v>91</v>
      </c>
      <c r="C579" s="524">
        <v>0</v>
      </c>
      <c r="D579" s="525">
        <v>0</v>
      </c>
      <c r="E579" s="525">
        <v>0</v>
      </c>
      <c r="F579" s="525">
        <v>0</v>
      </c>
      <c r="G579" s="525">
        <v>0</v>
      </c>
      <c r="H579" s="525">
        <v>0</v>
      </c>
      <c r="I579" s="525">
        <v>0</v>
      </c>
      <c r="J579" s="536">
        <v>0</v>
      </c>
      <c r="K579" s="536">
        <v>0</v>
      </c>
      <c r="L579" s="525">
        <v>0</v>
      </c>
      <c r="M579" s="525">
        <v>0</v>
      </c>
      <c r="N579" s="525">
        <v>0</v>
      </c>
      <c r="O579" s="536">
        <v>0</v>
      </c>
      <c r="P579" s="165">
        <v>0</v>
      </c>
      <c r="Q579" s="525">
        <v>0</v>
      </c>
      <c r="R579" s="536">
        <v>0</v>
      </c>
      <c r="S579" s="536">
        <v>0</v>
      </c>
      <c r="T579" s="15">
        <v>0</v>
      </c>
      <c r="U579" s="15">
        <v>0</v>
      </c>
      <c r="V579" s="15"/>
    </row>
    <row r="580" spans="1:22" x14ac:dyDescent="0.25">
      <c r="A580" s="166"/>
      <c r="B580" s="167" t="s">
        <v>92</v>
      </c>
      <c r="C580" s="168">
        <v>0</v>
      </c>
      <c r="D580" s="169">
        <v>0</v>
      </c>
      <c r="E580" s="169">
        <v>0</v>
      </c>
      <c r="F580" s="169">
        <v>0</v>
      </c>
      <c r="G580" s="169">
        <v>0</v>
      </c>
      <c r="H580" s="169">
        <v>0</v>
      </c>
      <c r="I580" s="169">
        <v>0</v>
      </c>
      <c r="J580" s="170">
        <v>0</v>
      </c>
      <c r="K580" s="170">
        <v>0</v>
      </c>
      <c r="L580" s="169">
        <v>0</v>
      </c>
      <c r="M580" s="169">
        <v>0</v>
      </c>
      <c r="N580" s="169">
        <v>0</v>
      </c>
      <c r="O580" s="170">
        <v>0</v>
      </c>
      <c r="P580" s="170">
        <v>0</v>
      </c>
      <c r="Q580" s="169">
        <v>0</v>
      </c>
      <c r="R580" s="170">
        <v>0</v>
      </c>
      <c r="S580" s="170">
        <v>0</v>
      </c>
      <c r="T580" s="15">
        <v>0</v>
      </c>
      <c r="U580" s="15">
        <v>0</v>
      </c>
      <c r="V580" s="15"/>
    </row>
    <row r="581" spans="1:22" ht="15.75" thickBot="1" x14ac:dyDescent="0.3">
      <c r="A581" s="540"/>
      <c r="B581" s="541" t="s">
        <v>93</v>
      </c>
      <c r="C581" s="542">
        <v>0</v>
      </c>
      <c r="D581" s="543">
        <v>0</v>
      </c>
      <c r="E581" s="543">
        <v>0</v>
      </c>
      <c r="F581" s="543">
        <v>0</v>
      </c>
      <c r="G581" s="543">
        <v>0</v>
      </c>
      <c r="H581" s="543">
        <v>0</v>
      </c>
      <c r="I581" s="543">
        <v>0</v>
      </c>
      <c r="J581" s="544">
        <v>0</v>
      </c>
      <c r="K581" s="544">
        <v>0</v>
      </c>
      <c r="L581" s="543">
        <v>0</v>
      </c>
      <c r="M581" s="543">
        <v>0</v>
      </c>
      <c r="N581" s="543">
        <v>0</v>
      </c>
      <c r="O581" s="544">
        <v>0</v>
      </c>
      <c r="P581" s="544">
        <v>0</v>
      </c>
      <c r="Q581" s="543">
        <v>0</v>
      </c>
      <c r="R581" s="544">
        <v>0</v>
      </c>
      <c r="S581" s="544">
        <v>0</v>
      </c>
      <c r="T581" s="15">
        <v>0</v>
      </c>
      <c r="U581" s="15">
        <v>0</v>
      </c>
      <c r="V581" s="15"/>
    </row>
    <row r="582" spans="1:22" x14ac:dyDescent="0.25">
      <c r="A582" s="523" t="s">
        <v>94</v>
      </c>
      <c r="B582" s="268"/>
      <c r="C582" s="524">
        <v>0.8680923125027854</v>
      </c>
      <c r="D582" s="525">
        <v>0.89474783886056108</v>
      </c>
      <c r="E582" s="525">
        <v>0.85713083384136368</v>
      </c>
      <c r="F582" s="525">
        <v>0.85734136232169511</v>
      </c>
      <c r="G582" s="525">
        <v>0.84845928190164877</v>
      </c>
      <c r="H582" s="525">
        <v>0.83079767453637465</v>
      </c>
      <c r="I582" s="525">
        <v>1.4726681720056574E-2</v>
      </c>
      <c r="J582" s="536">
        <v>0.85690582697834017</v>
      </c>
      <c r="K582" s="536">
        <v>0.68514749716216772</v>
      </c>
      <c r="L582" s="525">
        <v>0.71457947788569043</v>
      </c>
      <c r="M582" s="525">
        <v>0.6297799709305627</v>
      </c>
      <c r="N582" s="525">
        <v>0.65456760087626809</v>
      </c>
      <c r="O582" s="536">
        <v>0.68667662085463932</v>
      </c>
      <c r="P582" s="165">
        <v>0.77547766259498807</v>
      </c>
      <c r="Q582" s="525">
        <v>0.66522179461211262</v>
      </c>
      <c r="R582" s="536">
        <v>0.77290058392227634</v>
      </c>
      <c r="S582" s="536">
        <v>0</v>
      </c>
      <c r="T582" s="15">
        <v>0</v>
      </c>
      <c r="U582" s="15">
        <v>0.77040885672355941</v>
      </c>
      <c r="V582" s="15"/>
    </row>
    <row r="583" spans="1:22" x14ac:dyDescent="0.25">
      <c r="A583" s="166" t="s">
        <v>95</v>
      </c>
      <c r="B583" s="167"/>
      <c r="C583" s="168">
        <v>0.86747075027239229</v>
      </c>
      <c r="D583" s="169">
        <v>0.88784612933948126</v>
      </c>
      <c r="E583" s="169">
        <v>0.84917318561660837</v>
      </c>
      <c r="F583" s="169">
        <v>0.85358953409892468</v>
      </c>
      <c r="G583" s="169">
        <v>0.83943931188276522</v>
      </c>
      <c r="H583" s="169">
        <v>0.83300867641551524</v>
      </c>
      <c r="I583" s="169">
        <v>0.23193029090587558</v>
      </c>
      <c r="J583" s="170">
        <v>0.85280306909722181</v>
      </c>
      <c r="K583" s="170">
        <v>0.73714490903004315</v>
      </c>
      <c r="L583" s="169">
        <v>0.70246126903557926</v>
      </c>
      <c r="M583" s="169">
        <v>0.62304376238906256</v>
      </c>
      <c r="N583" s="169">
        <v>0.65069624789472036</v>
      </c>
      <c r="O583" s="170">
        <v>0.68344878048449631</v>
      </c>
      <c r="P583" s="170">
        <v>0.76350412914655452</v>
      </c>
      <c r="Q583" s="169">
        <v>0.8616484840796651</v>
      </c>
      <c r="R583" s="170">
        <v>0.76588995411237248</v>
      </c>
      <c r="S583" s="170">
        <v>0</v>
      </c>
      <c r="T583" s="15">
        <v>0</v>
      </c>
      <c r="U583" s="15">
        <v>0.77162247198930867</v>
      </c>
      <c r="V583" s="15"/>
    </row>
    <row r="584" spans="1:22" x14ac:dyDescent="0.25">
      <c r="A584" s="166" t="s">
        <v>773</v>
      </c>
      <c r="B584" s="207"/>
      <c r="C584" s="208">
        <v>-6.2156223039311342E-2</v>
      </c>
      <c r="D584" s="209">
        <v>-0.69017095210798241</v>
      </c>
      <c r="E584" s="209">
        <v>-0.79576482247553093</v>
      </c>
      <c r="F584" s="209">
        <v>-0.37518282227704258</v>
      </c>
      <c r="G584" s="209">
        <v>-0.90199700188835497</v>
      </c>
      <c r="H584" s="209">
        <v>0.22110018791405839</v>
      </c>
      <c r="I584" s="209">
        <v>21.720360918581903</v>
      </c>
      <c r="J584" s="210">
        <v>-0.41027578811183574</v>
      </c>
      <c r="K584" s="210">
        <v>5.1997411867875432</v>
      </c>
      <c r="L584" s="209">
        <v>-1.2118208850111167</v>
      </c>
      <c r="M584" s="209">
        <v>-0.67362085415001438</v>
      </c>
      <c r="N584" s="209">
        <v>-0.38713529815477266</v>
      </c>
      <c r="O584" s="210">
        <v>-0.32278403701430092</v>
      </c>
      <c r="P584" s="210">
        <v>-1.1973533448433549</v>
      </c>
      <c r="Q584" s="209">
        <v>19.642668946755247</v>
      </c>
      <c r="R584" s="210">
        <v>-0.70106298099038566</v>
      </c>
      <c r="S584" s="210">
        <v>0</v>
      </c>
      <c r="T584" s="15">
        <v>0</v>
      </c>
      <c r="U584" s="15">
        <v>0.12136152657492572</v>
      </c>
      <c r="V584" s="15"/>
    </row>
    <row r="585" spans="1:22" x14ac:dyDescent="0.25">
      <c r="A585" s="166" t="s">
        <v>96</v>
      </c>
      <c r="B585" s="268"/>
      <c r="C585" s="524">
        <v>2.9907874704467437E-2</v>
      </c>
      <c r="D585" s="525">
        <v>3.4128906967267836E-2</v>
      </c>
      <c r="E585" s="525">
        <v>2.6533679540602442E-2</v>
      </c>
      <c r="F585" s="525">
        <v>2.2824718182477187E-2</v>
      </c>
      <c r="G585" s="525">
        <v>2.8872365032706335E-2</v>
      </c>
      <c r="H585" s="525">
        <v>3.9036894864606098E-2</v>
      </c>
      <c r="I585" s="525">
        <v>9.8231640240523388E-2</v>
      </c>
      <c r="J585" s="536">
        <v>2.9883832831722773E-2</v>
      </c>
      <c r="K585" s="536">
        <v>1.9330768767072296E-2</v>
      </c>
      <c r="L585" s="525">
        <v>7.11419268218699E-2</v>
      </c>
      <c r="M585" s="525">
        <v>0.12375213947434761</v>
      </c>
      <c r="N585" s="525">
        <v>9.4464896979308377E-2</v>
      </c>
      <c r="O585" s="536">
        <v>8.0155443290731113E-2</v>
      </c>
      <c r="P585" s="165">
        <v>8.189032565293063E-3</v>
      </c>
      <c r="Q585" s="525">
        <v>0.21340895280534738</v>
      </c>
      <c r="R585" s="536">
        <v>1.298576483307928E-2</v>
      </c>
      <c r="S585" s="536">
        <v>0</v>
      </c>
      <c r="T585" s="15">
        <v>0</v>
      </c>
      <c r="U585" s="15">
        <v>5.4188348796729353E-2</v>
      </c>
      <c r="V585" s="15"/>
    </row>
    <row r="586" spans="1:22" x14ac:dyDescent="0.25">
      <c r="A586" s="166" t="s">
        <v>97</v>
      </c>
      <c r="B586" s="167"/>
      <c r="C586" s="168">
        <v>2.7932762725168706E-2</v>
      </c>
      <c r="D586" s="169">
        <v>3.1610985048357736E-2</v>
      </c>
      <c r="E586" s="169">
        <v>2.570420783106481E-2</v>
      </c>
      <c r="F586" s="169">
        <v>2.0655932994686869E-2</v>
      </c>
      <c r="G586" s="169">
        <v>2.2827165194238754E-2</v>
      </c>
      <c r="H586" s="169">
        <v>4.0903379350451116E-2</v>
      </c>
      <c r="I586" s="169">
        <v>1.135522127415005E-2</v>
      </c>
      <c r="J586" s="170">
        <v>2.7092879600360404E-2</v>
      </c>
      <c r="K586" s="170">
        <v>3.0881967142115198E-2</v>
      </c>
      <c r="L586" s="169">
        <v>7.847334677052871E-2</v>
      </c>
      <c r="M586" s="169">
        <v>0.12254141852622703</v>
      </c>
      <c r="N586" s="169">
        <v>9.0473147275097046E-2</v>
      </c>
      <c r="O586" s="170">
        <v>8.4823652321453752E-2</v>
      </c>
      <c r="P586" s="170">
        <v>8.4214195939126355E-3</v>
      </c>
      <c r="Q586" s="169">
        <v>5.7560573385766839E-2</v>
      </c>
      <c r="R586" s="170">
        <v>9.6159602274078597E-3</v>
      </c>
      <c r="S586" s="170">
        <v>0</v>
      </c>
      <c r="T586" s="15">
        <v>0</v>
      </c>
      <c r="U586" s="15">
        <v>5.3675832653605475E-2</v>
      </c>
      <c r="V586" s="15"/>
    </row>
    <row r="587" spans="1:22" x14ac:dyDescent="0.25">
      <c r="A587" s="166" t="s">
        <v>98</v>
      </c>
      <c r="B587" s="207"/>
      <c r="C587" s="208">
        <v>-0.19751119792987304</v>
      </c>
      <c r="D587" s="209">
        <v>-0.25179219189100999</v>
      </c>
      <c r="E587" s="209">
        <v>-8.294717095376318E-2</v>
      </c>
      <c r="F587" s="209">
        <v>-0.21687851877903175</v>
      </c>
      <c r="G587" s="209">
        <v>-0.60451998384675809</v>
      </c>
      <c r="H587" s="209">
        <v>0.18664844858450186</v>
      </c>
      <c r="I587" s="209">
        <v>-8.6876418966373343</v>
      </c>
      <c r="J587" s="210">
        <v>-0.27909532313623692</v>
      </c>
      <c r="K587" s="210">
        <v>1.1551198375042901</v>
      </c>
      <c r="L587" s="209">
        <v>0.73314199486588105</v>
      </c>
      <c r="M587" s="209">
        <v>-0.12107209481205805</v>
      </c>
      <c r="N587" s="209">
        <v>-0.39917497042113309</v>
      </c>
      <c r="O587" s="210">
        <v>0.46682090307226393</v>
      </c>
      <c r="P587" s="210">
        <v>2.3238702861957256E-2</v>
      </c>
      <c r="Q587" s="209">
        <v>-15.584837941958055</v>
      </c>
      <c r="R587" s="210">
        <v>-0.33698046056714198</v>
      </c>
      <c r="S587" s="210">
        <v>0</v>
      </c>
      <c r="T587" s="15">
        <v>0</v>
      </c>
      <c r="U587" s="15">
        <v>-5.1251614312387839E-2</v>
      </c>
      <c r="V587" s="15"/>
    </row>
    <row r="588" spans="1:22" x14ac:dyDescent="0.25">
      <c r="A588" s="166" t="s">
        <v>99</v>
      </c>
      <c r="B588" s="268"/>
      <c r="C588" s="524">
        <v>8.9795261099910012E-2</v>
      </c>
      <c r="D588" s="525">
        <v>6.8068952143079425E-2</v>
      </c>
      <c r="E588" s="525">
        <v>0.10356101122802476</v>
      </c>
      <c r="F588" s="525">
        <v>0.11520860344482868</v>
      </c>
      <c r="G588" s="525">
        <v>0.10745044398634256</v>
      </c>
      <c r="H588" s="525">
        <v>0.12295780825260616</v>
      </c>
      <c r="I588" s="525">
        <v>0.88704167803942002</v>
      </c>
      <c r="J588" s="536">
        <v>0.10245879640460334</v>
      </c>
      <c r="K588" s="536">
        <v>0.25985929305605715</v>
      </c>
      <c r="L588" s="525">
        <v>0.18638047534075944</v>
      </c>
      <c r="M588" s="525">
        <v>0.21602399148332249</v>
      </c>
      <c r="N588" s="525">
        <v>0.21920549472726394</v>
      </c>
      <c r="O588" s="536">
        <v>0.20356809978786647</v>
      </c>
      <c r="P588" s="165">
        <v>0.21470829621487914</v>
      </c>
      <c r="Q588" s="525">
        <v>0.12136925258254</v>
      </c>
      <c r="R588" s="536">
        <v>0.21252662495259703</v>
      </c>
      <c r="S588" s="536">
        <v>0</v>
      </c>
      <c r="T588" s="15">
        <v>0</v>
      </c>
      <c r="U588" s="15">
        <v>0.1556228562909705</v>
      </c>
      <c r="V588" s="15"/>
    </row>
    <row r="589" spans="1:22" x14ac:dyDescent="0.25">
      <c r="A589" s="166" t="s">
        <v>100</v>
      </c>
      <c r="B589" s="167"/>
      <c r="C589" s="168">
        <v>9.6667298220197748E-2</v>
      </c>
      <c r="D589" s="169">
        <v>7.7191070468709447E-2</v>
      </c>
      <c r="E589" s="169">
        <v>0.11036515736194251</v>
      </c>
      <c r="F589" s="169">
        <v>0.11922899148647528</v>
      </c>
      <c r="G589" s="169">
        <v>0.11803381015651507</v>
      </c>
      <c r="H589" s="169">
        <v>0.11690926427719261</v>
      </c>
      <c r="I589" s="169">
        <v>0.74463531765330038</v>
      </c>
      <c r="J589" s="170">
        <v>0.1102151468320183</v>
      </c>
      <c r="K589" s="170">
        <v>0.21602768840708589</v>
      </c>
      <c r="L589" s="169">
        <v>0.20327500627825498</v>
      </c>
      <c r="M589" s="169">
        <v>0.22839362254208603</v>
      </c>
      <c r="N589" s="169">
        <v>0.23249212612431422</v>
      </c>
      <c r="O589" s="170">
        <v>0.21272372503924053</v>
      </c>
      <c r="P589" s="170">
        <v>0.22521252765574676</v>
      </c>
      <c r="Q589" s="169">
        <v>8.0790942534568061E-2</v>
      </c>
      <c r="R589" s="170">
        <v>0.22170173354415512</v>
      </c>
      <c r="S589" s="170">
        <v>0</v>
      </c>
      <c r="T589" s="15">
        <v>0</v>
      </c>
      <c r="U589" s="15">
        <v>0.16071609728879474</v>
      </c>
      <c r="V589" s="15"/>
    </row>
    <row r="590" spans="1:22" x14ac:dyDescent="0.25">
      <c r="A590" s="166" t="s">
        <v>101</v>
      </c>
      <c r="B590" s="207"/>
      <c r="C590" s="208">
        <v>0.68720371202877351</v>
      </c>
      <c r="D590" s="209">
        <v>0.9122118325630022</v>
      </c>
      <c r="E590" s="209">
        <v>0.68041461339177489</v>
      </c>
      <c r="F590" s="209">
        <v>0.40203880416466026</v>
      </c>
      <c r="G590" s="209">
        <v>1.0583366170172512</v>
      </c>
      <c r="H590" s="209">
        <v>-0.6048543975413545</v>
      </c>
      <c r="I590" s="209">
        <v>-14.240636038611964</v>
      </c>
      <c r="J590" s="210">
        <v>0.77563504274149597</v>
      </c>
      <c r="K590" s="210">
        <v>-4.3831604648971263</v>
      </c>
      <c r="L590" s="209">
        <v>1.6894530937495544</v>
      </c>
      <c r="M590" s="209">
        <v>1.2369631058763542</v>
      </c>
      <c r="N590" s="209">
        <v>1.3286631397050275</v>
      </c>
      <c r="O590" s="210">
        <v>0.9155625251374061</v>
      </c>
      <c r="P590" s="210">
        <v>1.0504231440867624</v>
      </c>
      <c r="Q590" s="209">
        <v>-4.0578310047971939</v>
      </c>
      <c r="R590" s="210">
        <v>0.91751085915580954</v>
      </c>
      <c r="S590" s="210">
        <v>0</v>
      </c>
      <c r="T590" s="15">
        <v>0</v>
      </c>
      <c r="U590" s="15">
        <v>0.50932409978242388</v>
      </c>
      <c r="V590" s="15"/>
    </row>
    <row r="591" spans="1:22" x14ac:dyDescent="0.25">
      <c r="A591" s="166" t="s">
        <v>102</v>
      </c>
      <c r="B591" s="268"/>
      <c r="C591" s="524">
        <v>2.0228504972084589E-3</v>
      </c>
      <c r="D591" s="525">
        <v>2.5614491509170058E-3</v>
      </c>
      <c r="E591" s="525">
        <v>6.0346628822133723E-3</v>
      </c>
      <c r="F591" s="525">
        <v>4.2335842535716562E-3</v>
      </c>
      <c r="G591" s="525">
        <v>1.267972431259207E-2</v>
      </c>
      <c r="H591" s="525">
        <v>7.1324010432661684E-3</v>
      </c>
      <c r="I591" s="525">
        <v>0</v>
      </c>
      <c r="J591" s="536">
        <v>4.0571345537533544E-3</v>
      </c>
      <c r="K591" s="536">
        <v>1.2371182084386651E-3</v>
      </c>
      <c r="L591" s="525">
        <v>1.5099252154071696E-3</v>
      </c>
      <c r="M591" s="525">
        <v>1.7292731092762647E-2</v>
      </c>
      <c r="N591" s="525">
        <v>2.3115187262283187E-2</v>
      </c>
      <c r="O591" s="536">
        <v>6.8407598391941457E-3</v>
      </c>
      <c r="P591" s="165">
        <v>1.6250086248394404E-3</v>
      </c>
      <c r="Q591" s="525">
        <v>0</v>
      </c>
      <c r="R591" s="536">
        <v>1.587026292046988E-3</v>
      </c>
      <c r="S591" s="536">
        <v>0</v>
      </c>
      <c r="T591" s="15">
        <v>0</v>
      </c>
      <c r="U591" s="15">
        <v>5.3573133390210749E-3</v>
      </c>
      <c r="V591" s="15"/>
    </row>
    <row r="592" spans="1:22" x14ac:dyDescent="0.25">
      <c r="A592" s="166" t="s">
        <v>103</v>
      </c>
      <c r="B592" s="167"/>
      <c r="C592" s="168">
        <v>1.8008899257869193E-3</v>
      </c>
      <c r="D592" s="169">
        <v>2.7366584818298346E-3</v>
      </c>
      <c r="E592" s="169">
        <v>3.9251739738010039E-3</v>
      </c>
      <c r="F592" s="169">
        <v>1.9755081811369522E-3</v>
      </c>
      <c r="G592" s="169">
        <v>1.1518154764217282E-2</v>
      </c>
      <c r="H592" s="169">
        <v>5.2318275913367709E-3</v>
      </c>
      <c r="I592" s="169">
        <v>0</v>
      </c>
      <c r="J592" s="170">
        <v>3.1079804480452652E-3</v>
      </c>
      <c r="K592" s="170">
        <v>1.5678477087910586E-3</v>
      </c>
      <c r="L592" s="169">
        <v>3.0612756530505394E-3</v>
      </c>
      <c r="M592" s="169">
        <v>1.5638565225907029E-2</v>
      </c>
      <c r="N592" s="169">
        <v>2.1282251905008126E-2</v>
      </c>
      <c r="O592" s="170">
        <v>7.1922145279374053E-3</v>
      </c>
      <c r="P592" s="170">
        <v>2.8619236037860356E-3</v>
      </c>
      <c r="Q592" s="169">
        <v>0</v>
      </c>
      <c r="R592" s="170">
        <v>2.7923521160644008E-3</v>
      </c>
      <c r="S592" s="170">
        <v>0</v>
      </c>
      <c r="T592" s="15">
        <v>0</v>
      </c>
      <c r="U592" s="15">
        <v>5.0099410883025939E-3</v>
      </c>
      <c r="V592" s="15"/>
    </row>
    <row r="593" spans="1:22" x14ac:dyDescent="0.25">
      <c r="A593" s="166" t="s">
        <v>104</v>
      </c>
      <c r="B593" s="207"/>
      <c r="C593" s="208">
        <v>-2.2196057142153964E-2</v>
      </c>
      <c r="D593" s="209">
        <v>1.752093309128288E-2</v>
      </c>
      <c r="E593" s="209">
        <v>-0.21094889084123683</v>
      </c>
      <c r="F593" s="209">
        <v>-0.2258076072434704</v>
      </c>
      <c r="G593" s="209">
        <v>-0.11615695483747877</v>
      </c>
      <c r="H593" s="209">
        <v>-0.19005734519293976</v>
      </c>
      <c r="I593" s="209">
        <v>0</v>
      </c>
      <c r="J593" s="210">
        <v>-9.491541057080892E-2</v>
      </c>
      <c r="K593" s="210">
        <v>3.307295003523935E-2</v>
      </c>
      <c r="L593" s="209">
        <v>0.15513504376433698</v>
      </c>
      <c r="M593" s="209">
        <v>-0.16541658668556175</v>
      </c>
      <c r="N593" s="209">
        <v>-0.18329353572750612</v>
      </c>
      <c r="O593" s="210">
        <v>3.5145468874325965E-2</v>
      </c>
      <c r="P593" s="210">
        <v>0.12369149789465952</v>
      </c>
      <c r="Q593" s="209">
        <v>0</v>
      </c>
      <c r="R593" s="210">
        <v>0.12053258240174128</v>
      </c>
      <c r="S593" s="210">
        <v>0</v>
      </c>
      <c r="T593" s="15">
        <v>0</v>
      </c>
      <c r="U593" s="15">
        <v>-3.47372250718481E-2</v>
      </c>
      <c r="V593" s="15"/>
    </row>
    <row r="594" spans="1:22" x14ac:dyDescent="0.25">
      <c r="A594" s="166" t="s">
        <v>105</v>
      </c>
      <c r="B594" s="268"/>
      <c r="C594" s="524">
        <v>9.2666063162139042E-3</v>
      </c>
      <c r="D594" s="525">
        <v>4.2196308062897195E-4</v>
      </c>
      <c r="E594" s="525">
        <v>5.8112088757799616E-3</v>
      </c>
      <c r="F594" s="525">
        <v>1.3057726580912579E-4</v>
      </c>
      <c r="G594" s="525">
        <v>2.4515751379594322E-3</v>
      </c>
      <c r="H594" s="525">
        <v>7.5221303146886178E-5</v>
      </c>
      <c r="I594" s="525">
        <v>0</v>
      </c>
      <c r="J594" s="536">
        <v>5.9928510602053012E-3</v>
      </c>
      <c r="K594" s="536">
        <v>3.0440429015767111E-2</v>
      </c>
      <c r="L594" s="525">
        <v>2.6274814824774017E-2</v>
      </c>
      <c r="M594" s="525">
        <v>1.2465017131905169E-2</v>
      </c>
      <c r="N594" s="525">
        <v>8.6331078467948973E-3</v>
      </c>
      <c r="O594" s="536">
        <v>2.2109565895778626E-2</v>
      </c>
      <c r="P594" s="165">
        <v>0</v>
      </c>
      <c r="Q594" s="525">
        <v>0</v>
      </c>
      <c r="R594" s="536">
        <v>0</v>
      </c>
      <c r="S594" s="536">
        <v>0</v>
      </c>
      <c r="T594" s="15">
        <v>0</v>
      </c>
      <c r="U594" s="15">
        <v>1.3767600477024843E-2</v>
      </c>
      <c r="V594" s="15"/>
    </row>
    <row r="595" spans="1:22" x14ac:dyDescent="0.25">
      <c r="A595" s="166" t="s">
        <v>106</v>
      </c>
      <c r="B595" s="167"/>
      <c r="C595" s="168">
        <v>5.0835790922811692E-3</v>
      </c>
      <c r="D595" s="169">
        <v>5.4959910072771361E-4</v>
      </c>
      <c r="E595" s="169">
        <v>9.9218967550973799E-3</v>
      </c>
      <c r="F595" s="169">
        <v>4.2882673040392305E-3</v>
      </c>
      <c r="G595" s="169">
        <v>8.0860509146665222E-3</v>
      </c>
      <c r="H595" s="169">
        <v>3.9468523655042482E-3</v>
      </c>
      <c r="I595" s="169">
        <v>1.2079170166674036E-2</v>
      </c>
      <c r="J595" s="170">
        <v>6.0427473501537456E-3</v>
      </c>
      <c r="K595" s="170">
        <v>1.2341320428453924E-2</v>
      </c>
      <c r="L595" s="169">
        <v>1.2654857719699389E-2</v>
      </c>
      <c r="M595" s="169">
        <v>9.7033294847388169E-3</v>
      </c>
      <c r="N595" s="169">
        <v>5.0495698562542093E-3</v>
      </c>
      <c r="O595" s="170">
        <v>1.1384895444522833E-2</v>
      </c>
      <c r="P595" s="170">
        <v>0</v>
      </c>
      <c r="Q595" s="169">
        <v>0</v>
      </c>
      <c r="R595" s="170">
        <v>0</v>
      </c>
      <c r="S595" s="170">
        <v>0</v>
      </c>
      <c r="T595" s="15">
        <v>0</v>
      </c>
      <c r="U595" s="15">
        <v>8.4001614093334575E-3</v>
      </c>
      <c r="V595" s="15"/>
    </row>
    <row r="596" spans="1:22" x14ac:dyDescent="0.25">
      <c r="A596" s="166" t="s">
        <v>107</v>
      </c>
      <c r="B596" s="207"/>
      <c r="C596" s="208">
        <v>-0.41830272239327349</v>
      </c>
      <c r="D596" s="209">
        <v>1.2763602009874166E-2</v>
      </c>
      <c r="E596" s="209">
        <v>0.41106878793174184</v>
      </c>
      <c r="F596" s="209">
        <v>0.41576900382301052</v>
      </c>
      <c r="G596" s="209">
        <v>0.56344757767070897</v>
      </c>
      <c r="H596" s="209">
        <v>0.38716310623573619</v>
      </c>
      <c r="I596" s="209">
        <v>0</v>
      </c>
      <c r="J596" s="210">
        <v>4.9896289948444389E-3</v>
      </c>
      <c r="K596" s="210">
        <v>-1.8099108587313186</v>
      </c>
      <c r="L596" s="209">
        <v>-1.3619957105074627</v>
      </c>
      <c r="M596" s="209">
        <v>-0.27616876471663521</v>
      </c>
      <c r="N596" s="209">
        <v>-0.35835379905406878</v>
      </c>
      <c r="O596" s="210">
        <v>-1.0724670451255793</v>
      </c>
      <c r="P596" s="210">
        <v>0</v>
      </c>
      <c r="Q596" s="209">
        <v>0</v>
      </c>
      <c r="R596" s="210">
        <v>0</v>
      </c>
      <c r="S596" s="210">
        <v>0</v>
      </c>
      <c r="T596" s="15">
        <v>0</v>
      </c>
      <c r="U596" s="15">
        <v>-0.53674390676913852</v>
      </c>
      <c r="V596" s="15"/>
    </row>
    <row r="597" spans="1:22" x14ac:dyDescent="0.25">
      <c r="A597" s="166" t="s">
        <v>108</v>
      </c>
      <c r="B597" s="268"/>
      <c r="C597" s="524">
        <v>9.1509487941481742E-4</v>
      </c>
      <c r="D597" s="525">
        <v>7.088979754566729E-5</v>
      </c>
      <c r="E597" s="525">
        <v>9.2860363201573138E-4</v>
      </c>
      <c r="F597" s="525">
        <v>2.6115453161825158E-4</v>
      </c>
      <c r="G597" s="525">
        <v>8.66096287508129E-5</v>
      </c>
      <c r="H597" s="525">
        <v>0</v>
      </c>
      <c r="I597" s="525">
        <v>0</v>
      </c>
      <c r="J597" s="536">
        <v>7.0155817137506097E-4</v>
      </c>
      <c r="K597" s="536">
        <v>3.9848937904970452E-3</v>
      </c>
      <c r="L597" s="525">
        <v>1.1337991149906339E-4</v>
      </c>
      <c r="M597" s="525">
        <v>6.8614988709929392E-4</v>
      </c>
      <c r="N597" s="525">
        <v>1.3712308081427006E-5</v>
      </c>
      <c r="O597" s="536">
        <v>6.4951033179033214E-4</v>
      </c>
      <c r="P597" s="165">
        <v>0</v>
      </c>
      <c r="Q597" s="525">
        <v>0</v>
      </c>
      <c r="R597" s="536">
        <v>0</v>
      </c>
      <c r="S597" s="536">
        <v>0</v>
      </c>
      <c r="T597" s="15">
        <v>0</v>
      </c>
      <c r="U597" s="15">
        <v>6.5502437269480799E-4</v>
      </c>
      <c r="V597" s="15"/>
    </row>
    <row r="598" spans="1:22" x14ac:dyDescent="0.25">
      <c r="A598" s="166" t="s">
        <v>109</v>
      </c>
      <c r="B598" s="167"/>
      <c r="C598" s="168">
        <v>1.0447197641732138E-3</v>
      </c>
      <c r="D598" s="169">
        <v>6.5557560893978394E-5</v>
      </c>
      <c r="E598" s="169">
        <v>9.1037846148588444E-4</v>
      </c>
      <c r="F598" s="169">
        <v>2.6176593473697387E-4</v>
      </c>
      <c r="G598" s="169">
        <v>9.5507087597158225E-5</v>
      </c>
      <c r="H598" s="169">
        <v>0</v>
      </c>
      <c r="I598" s="169">
        <v>0</v>
      </c>
      <c r="J598" s="170">
        <v>7.3817667220051097E-4</v>
      </c>
      <c r="K598" s="170">
        <v>2.0362672835108147E-3</v>
      </c>
      <c r="L598" s="169">
        <v>7.4244542887053254E-5</v>
      </c>
      <c r="M598" s="169">
        <v>6.793018319784732E-4</v>
      </c>
      <c r="N598" s="169">
        <v>6.6569446058830552E-6</v>
      </c>
      <c r="O598" s="170">
        <v>4.2673218234918104E-4</v>
      </c>
      <c r="P598" s="170">
        <v>0</v>
      </c>
      <c r="Q598" s="169">
        <v>0</v>
      </c>
      <c r="R598" s="170">
        <v>0</v>
      </c>
      <c r="S598" s="170">
        <v>0</v>
      </c>
      <c r="T598" s="15">
        <v>0</v>
      </c>
      <c r="U598" s="15">
        <v>5.7549557065495675E-4</v>
      </c>
      <c r="V598" s="15"/>
    </row>
    <row r="599" spans="1:22" ht="15.75" thickBot="1" x14ac:dyDescent="0.3">
      <c r="A599" s="166" t="s">
        <v>110</v>
      </c>
      <c r="B599" s="531"/>
      <c r="C599" s="532">
        <v>1.2962488475839638E-2</v>
      </c>
      <c r="D599" s="533">
        <v>-5.3322366516888957E-4</v>
      </c>
      <c r="E599" s="533">
        <v>-1.8225170529846939E-3</v>
      </c>
      <c r="F599" s="533">
        <v>6.1140311872229323E-5</v>
      </c>
      <c r="G599" s="533">
        <v>8.8974588463453246E-4</v>
      </c>
      <c r="H599" s="533">
        <v>0</v>
      </c>
      <c r="I599" s="533">
        <v>0</v>
      </c>
      <c r="J599" s="537">
        <v>3.6618500825449994E-3</v>
      </c>
      <c r="K599" s="537">
        <v>-0.19486265069862305</v>
      </c>
      <c r="L599" s="533">
        <v>-3.9135368612010137E-3</v>
      </c>
      <c r="M599" s="533">
        <v>-6.8480551208207219E-4</v>
      </c>
      <c r="N599" s="533">
        <v>-7.0553634755439508E-4</v>
      </c>
      <c r="O599" s="537">
        <v>-2.2277814944115109E-2</v>
      </c>
      <c r="P599" s="537">
        <v>0</v>
      </c>
      <c r="Q599" s="533">
        <v>0</v>
      </c>
      <c r="R599" s="537">
        <v>0</v>
      </c>
      <c r="S599" s="537">
        <v>0</v>
      </c>
      <c r="T599" s="15">
        <v>0</v>
      </c>
      <c r="U599" s="15">
        <v>-7.9528802039851246E-3</v>
      </c>
      <c r="V599" s="15"/>
    </row>
    <row r="600" spans="1:22" ht="15.75" thickTop="1" x14ac:dyDescent="0.25">
      <c r="A600" s="166" t="s">
        <v>111</v>
      </c>
      <c r="B600" s="167"/>
      <c r="C600" s="168">
        <v>0.78153925489938314</v>
      </c>
      <c r="D600" s="169">
        <v>0.73677959546592209</v>
      </c>
      <c r="E600" s="169">
        <v>0.57296673472394466</v>
      </c>
      <c r="F600" s="169">
        <v>0.64217418183894748</v>
      </c>
      <c r="G600" s="169">
        <v>0.50713418474936778</v>
      </c>
      <c r="H600" s="169">
        <v>0.51688753371643015</v>
      </c>
      <c r="I600" s="169">
        <v>0.11351629502572899</v>
      </c>
      <c r="J600" s="170">
        <v>0.69614141351144021</v>
      </c>
      <c r="K600" s="170">
        <v>0</v>
      </c>
      <c r="L600" s="169">
        <v>0</v>
      </c>
      <c r="M600" s="169">
        <v>0</v>
      </c>
      <c r="N600" s="169">
        <v>0</v>
      </c>
      <c r="O600" s="170">
        <v>0</v>
      </c>
      <c r="P600" s="170">
        <v>0</v>
      </c>
      <c r="Q600" s="169">
        <v>0</v>
      </c>
      <c r="R600" s="170">
        <v>0</v>
      </c>
      <c r="S600" s="170">
        <v>0</v>
      </c>
      <c r="T600" s="15">
        <v>0</v>
      </c>
      <c r="U600" s="15">
        <v>0.69614141351144021</v>
      </c>
      <c r="V600" s="15"/>
    </row>
    <row r="601" spans="1:22" x14ac:dyDescent="0.25">
      <c r="A601" s="166" t="s">
        <v>112</v>
      </c>
      <c r="B601" s="167"/>
      <c r="C601" s="168">
        <v>0.75474707726977319</v>
      </c>
      <c r="D601" s="169">
        <v>0.72203625189559362</v>
      </c>
      <c r="E601" s="169">
        <v>0.53306400619257865</v>
      </c>
      <c r="F601" s="169">
        <v>0.60362726924704313</v>
      </c>
      <c r="G601" s="169">
        <v>0.47697225251196901</v>
      </c>
      <c r="H601" s="169">
        <v>0.55424797656288793</v>
      </c>
      <c r="I601" s="169">
        <v>0.26750932800983218</v>
      </c>
      <c r="J601" s="170">
        <v>0.67069079424282474</v>
      </c>
      <c r="K601" s="170">
        <v>0</v>
      </c>
      <c r="L601" s="169">
        <v>0</v>
      </c>
      <c r="M601" s="169">
        <v>0</v>
      </c>
      <c r="N601" s="169">
        <v>0</v>
      </c>
      <c r="O601" s="170">
        <v>0</v>
      </c>
      <c r="P601" s="170">
        <v>0</v>
      </c>
      <c r="Q601" s="169">
        <v>0</v>
      </c>
      <c r="R601" s="170">
        <v>0</v>
      </c>
      <c r="S601" s="170">
        <v>0</v>
      </c>
      <c r="T601" s="15">
        <v>0</v>
      </c>
      <c r="U601" s="15">
        <v>0.6706903082556338</v>
      </c>
      <c r="V601" s="15"/>
    </row>
    <row r="602" spans="1:22" x14ac:dyDescent="0.25">
      <c r="A602" s="166" t="s">
        <v>113</v>
      </c>
      <c r="B602" s="207"/>
      <c r="C602" s="208">
        <v>-2.6792177629609948</v>
      </c>
      <c r="D602" s="209">
        <v>-1.4743343570328471</v>
      </c>
      <c r="E602" s="209">
        <v>-3.9902728531366005</v>
      </c>
      <c r="F602" s="209">
        <v>-3.8546912591904348</v>
      </c>
      <c r="G602" s="209">
        <v>-3.0161932237398767</v>
      </c>
      <c r="H602" s="209">
        <v>3.7360442846457786</v>
      </c>
      <c r="I602" s="209">
        <v>15.399303298410318</v>
      </c>
      <c r="J602" s="210">
        <v>-2.5450619268615471</v>
      </c>
      <c r="K602" s="210">
        <v>0</v>
      </c>
      <c r="L602" s="209">
        <v>0</v>
      </c>
      <c r="M602" s="209">
        <v>0</v>
      </c>
      <c r="N602" s="209">
        <v>0</v>
      </c>
      <c r="O602" s="210">
        <v>0</v>
      </c>
      <c r="P602" s="210">
        <v>0</v>
      </c>
      <c r="Q602" s="209">
        <v>0</v>
      </c>
      <c r="R602" s="210">
        <v>0</v>
      </c>
      <c r="S602" s="210">
        <v>0</v>
      </c>
      <c r="T602" s="15">
        <v>0</v>
      </c>
      <c r="U602" s="15">
        <v>-2.5451105255806405</v>
      </c>
      <c r="V602" s="15"/>
    </row>
    <row r="603" spans="1:22" x14ac:dyDescent="0.25">
      <c r="A603" s="166" t="s">
        <v>114</v>
      </c>
      <c r="B603" s="268"/>
      <c r="C603" s="524">
        <v>6.8876311247202102E-2</v>
      </c>
      <c r="D603" s="525">
        <v>7.1433835177348762E-2</v>
      </c>
      <c r="E603" s="525">
        <v>9.6221550994695593E-2</v>
      </c>
      <c r="F603" s="525">
        <v>7.2576180036398583E-2</v>
      </c>
      <c r="G603" s="525">
        <v>3.4438530987831263E-2</v>
      </c>
      <c r="H603" s="525">
        <v>0.15527149055939957</v>
      </c>
      <c r="I603" s="525">
        <v>2.8734991423670669E-2</v>
      </c>
      <c r="J603" s="536">
        <v>7.3456187188852981E-2</v>
      </c>
      <c r="K603" s="536">
        <v>0</v>
      </c>
      <c r="L603" s="525">
        <v>0</v>
      </c>
      <c r="M603" s="525">
        <v>0</v>
      </c>
      <c r="N603" s="525">
        <v>0</v>
      </c>
      <c r="O603" s="536">
        <v>0</v>
      </c>
      <c r="P603" s="165">
        <v>0</v>
      </c>
      <c r="Q603" s="525">
        <v>0</v>
      </c>
      <c r="R603" s="536">
        <v>0</v>
      </c>
      <c r="S603" s="536">
        <v>0</v>
      </c>
      <c r="T603" s="15">
        <v>0</v>
      </c>
      <c r="U603" s="15">
        <v>7.3456187188852981E-2</v>
      </c>
      <c r="V603" s="15"/>
    </row>
    <row r="604" spans="1:22" x14ac:dyDescent="0.25">
      <c r="A604" s="166" t="s">
        <v>115</v>
      </c>
      <c r="B604" s="167"/>
      <c r="C604" s="168">
        <v>6.4848378998444756E-2</v>
      </c>
      <c r="D604" s="169">
        <v>6.4732599246563924E-2</v>
      </c>
      <c r="E604" s="169">
        <v>8.4579284045632738E-2</v>
      </c>
      <c r="F604" s="169">
        <v>7.118282928008704E-2</v>
      </c>
      <c r="G604" s="169">
        <v>4.563429849726456E-2</v>
      </c>
      <c r="H604" s="169">
        <v>0.13521028849496003</v>
      </c>
      <c r="I604" s="169">
        <v>3.9271006270731268E-2</v>
      </c>
      <c r="J604" s="170">
        <v>6.8191236706246133E-2</v>
      </c>
      <c r="K604" s="170">
        <v>0</v>
      </c>
      <c r="L604" s="169">
        <v>0</v>
      </c>
      <c r="M604" s="169">
        <v>0</v>
      </c>
      <c r="N604" s="169">
        <v>0</v>
      </c>
      <c r="O604" s="170">
        <v>0</v>
      </c>
      <c r="P604" s="170">
        <v>0</v>
      </c>
      <c r="Q604" s="169">
        <v>0</v>
      </c>
      <c r="R604" s="170">
        <v>0</v>
      </c>
      <c r="S604" s="170">
        <v>0</v>
      </c>
      <c r="T604" s="15">
        <v>0</v>
      </c>
      <c r="U604" s="15">
        <v>6.8191187294404113E-2</v>
      </c>
      <c r="V604" s="15"/>
    </row>
    <row r="605" spans="1:22" x14ac:dyDescent="0.25">
      <c r="A605" s="166" t="s">
        <v>116</v>
      </c>
      <c r="B605" s="207"/>
      <c r="C605" s="208">
        <v>-0.4027932248757346</v>
      </c>
      <c r="D605" s="209">
        <v>-0.67012359307848379</v>
      </c>
      <c r="E605" s="209">
        <v>-1.1642266949062854</v>
      </c>
      <c r="F605" s="209">
        <v>-0.13933507563115427</v>
      </c>
      <c r="G605" s="209">
        <v>1.1195767509433296</v>
      </c>
      <c r="H605" s="209">
        <v>-2.0061202064439536</v>
      </c>
      <c r="I605" s="209">
        <v>1.0536014847060597</v>
      </c>
      <c r="J605" s="210">
        <v>-0.52649504826068472</v>
      </c>
      <c r="K605" s="210">
        <v>0</v>
      </c>
      <c r="L605" s="209">
        <v>0</v>
      </c>
      <c r="M605" s="209">
        <v>0</v>
      </c>
      <c r="N605" s="209">
        <v>0</v>
      </c>
      <c r="O605" s="210">
        <v>0</v>
      </c>
      <c r="P605" s="210">
        <v>0</v>
      </c>
      <c r="Q605" s="209">
        <v>0</v>
      </c>
      <c r="R605" s="210">
        <v>0</v>
      </c>
      <c r="S605" s="210">
        <v>0</v>
      </c>
      <c r="T605" s="15">
        <v>0</v>
      </c>
      <c r="U605" s="15">
        <v>-0.52649998944488685</v>
      </c>
      <c r="V605" s="15"/>
    </row>
    <row r="606" spans="1:22" x14ac:dyDescent="0.25">
      <c r="A606" s="166" t="s">
        <v>117</v>
      </c>
      <c r="B606" s="268"/>
      <c r="C606" s="524">
        <v>0.13446434618569325</v>
      </c>
      <c r="D606" s="525">
        <v>0.18698418623865498</v>
      </c>
      <c r="E606" s="525">
        <v>0.30587926823279316</v>
      </c>
      <c r="F606" s="525">
        <v>0.27054868495864814</v>
      </c>
      <c r="G606" s="525">
        <v>0.41662178322667809</v>
      </c>
      <c r="H606" s="525">
        <v>0.31922129705640906</v>
      </c>
      <c r="I606" s="525">
        <v>0.85427101200686106</v>
      </c>
      <c r="J606" s="536">
        <v>0.21396044095768169</v>
      </c>
      <c r="K606" s="536">
        <v>0</v>
      </c>
      <c r="L606" s="525">
        <v>0</v>
      </c>
      <c r="M606" s="525">
        <v>0</v>
      </c>
      <c r="N606" s="525">
        <v>0</v>
      </c>
      <c r="O606" s="536">
        <v>0</v>
      </c>
      <c r="P606" s="165">
        <v>0</v>
      </c>
      <c r="Q606" s="525">
        <v>0</v>
      </c>
      <c r="R606" s="536">
        <v>0</v>
      </c>
      <c r="S606" s="536">
        <v>0</v>
      </c>
      <c r="T606" s="15">
        <v>0</v>
      </c>
      <c r="U606" s="15">
        <v>0.21396044095768169</v>
      </c>
      <c r="V606" s="15"/>
    </row>
    <row r="607" spans="1:22" x14ac:dyDescent="0.25">
      <c r="A607" s="166" t="s">
        <v>118</v>
      </c>
      <c r="B607" s="167"/>
      <c r="C607" s="168">
        <v>0.14113774319721775</v>
      </c>
      <c r="D607" s="169">
        <v>0.19347111981230455</v>
      </c>
      <c r="E607" s="169">
        <v>0.31954289430785843</v>
      </c>
      <c r="F607" s="169">
        <v>0.31568979065503416</v>
      </c>
      <c r="G607" s="169">
        <v>0.42805262148008444</v>
      </c>
      <c r="H607" s="169">
        <v>0.31054173494215204</v>
      </c>
      <c r="I607" s="169">
        <v>0.68992303330922822</v>
      </c>
      <c r="J607" s="170">
        <v>0.22146129047393009</v>
      </c>
      <c r="K607" s="170">
        <v>0</v>
      </c>
      <c r="L607" s="169">
        <v>0</v>
      </c>
      <c r="M607" s="169">
        <v>1</v>
      </c>
      <c r="N607" s="169">
        <v>0</v>
      </c>
      <c r="O607" s="170">
        <v>1</v>
      </c>
      <c r="P607" s="170">
        <v>0</v>
      </c>
      <c r="Q607" s="169">
        <v>0</v>
      </c>
      <c r="R607" s="170">
        <v>0</v>
      </c>
      <c r="S607" s="170">
        <v>0</v>
      </c>
      <c r="T607" s="15">
        <v>0</v>
      </c>
      <c r="U607" s="15">
        <v>0.22146185460846679</v>
      </c>
      <c r="V607" s="15"/>
    </row>
    <row r="608" spans="1:22" x14ac:dyDescent="0.25">
      <c r="A608" s="166" t="s">
        <v>119</v>
      </c>
      <c r="B608" s="207"/>
      <c r="C608" s="208">
        <v>0.66733970115245012</v>
      </c>
      <c r="D608" s="209">
        <v>0.64869335736495726</v>
      </c>
      <c r="E608" s="209">
        <v>1.3663626075065272</v>
      </c>
      <c r="F608" s="209">
        <v>4.5141105696386017</v>
      </c>
      <c r="G608" s="209">
        <v>1.143083825340635</v>
      </c>
      <c r="H608" s="209">
        <v>-0.86795621142570223</v>
      </c>
      <c r="I608" s="209">
        <v>-16.434797869763283</v>
      </c>
      <c r="J608" s="210">
        <v>0.7500849516248409</v>
      </c>
      <c r="K608" s="210">
        <v>0</v>
      </c>
      <c r="L608" s="209">
        <v>0</v>
      </c>
      <c r="M608" s="209">
        <v>0</v>
      </c>
      <c r="N608" s="209">
        <v>0</v>
      </c>
      <c r="O608" s="210">
        <v>0</v>
      </c>
      <c r="P608" s="210">
        <v>0</v>
      </c>
      <c r="Q608" s="209">
        <v>0</v>
      </c>
      <c r="R608" s="210">
        <v>0</v>
      </c>
      <c r="S608" s="210">
        <v>0</v>
      </c>
      <c r="T608" s="15">
        <v>0</v>
      </c>
      <c r="U608" s="15">
        <v>0.75014136507851048</v>
      </c>
      <c r="V608" s="15"/>
    </row>
    <row r="609" spans="1:22" x14ac:dyDescent="0.25">
      <c r="A609" s="166" t="s">
        <v>120</v>
      </c>
      <c r="B609" s="268"/>
      <c r="C609" s="524">
        <v>5.685077769291935E-3</v>
      </c>
      <c r="D609" s="525">
        <v>2.5119992340284993E-3</v>
      </c>
      <c r="E609" s="525">
        <v>8.3740369293052903E-3</v>
      </c>
      <c r="F609" s="525">
        <v>1.4169623326869649E-2</v>
      </c>
      <c r="G609" s="525">
        <v>3.7807071195786128E-2</v>
      </c>
      <c r="H609" s="525">
        <v>8.2678550486689345E-3</v>
      </c>
      <c r="I609" s="525">
        <v>2.8687821612349913E-3</v>
      </c>
      <c r="J609" s="536">
        <v>7.1326356405088543E-3</v>
      </c>
      <c r="K609" s="536">
        <v>0</v>
      </c>
      <c r="L609" s="525">
        <v>0</v>
      </c>
      <c r="M609" s="525">
        <v>0</v>
      </c>
      <c r="N609" s="525">
        <v>0</v>
      </c>
      <c r="O609" s="536">
        <v>0</v>
      </c>
      <c r="P609" s="165">
        <v>0</v>
      </c>
      <c r="Q609" s="525">
        <v>0</v>
      </c>
      <c r="R609" s="536">
        <v>0</v>
      </c>
      <c r="S609" s="536">
        <v>0</v>
      </c>
      <c r="T609" s="15">
        <v>0</v>
      </c>
      <c r="U609" s="15">
        <v>7.1326356405088543E-3</v>
      </c>
      <c r="V609" s="15"/>
    </row>
    <row r="610" spans="1:22" x14ac:dyDescent="0.25">
      <c r="A610" s="166" t="s">
        <v>121</v>
      </c>
      <c r="B610" s="167"/>
      <c r="C610" s="168">
        <v>5.677450517536489E-3</v>
      </c>
      <c r="D610" s="169">
        <v>2.0953356124513863E-3</v>
      </c>
      <c r="E610" s="169">
        <v>6.2181494251435923E-3</v>
      </c>
      <c r="F610" s="169">
        <v>9.381737220688682E-3</v>
      </c>
      <c r="G610" s="169">
        <v>3.685001193390023E-2</v>
      </c>
      <c r="H610" s="169">
        <v>0</v>
      </c>
      <c r="I610" s="169">
        <v>1.7688419008430008E-3</v>
      </c>
      <c r="J610" s="170">
        <v>6.2231702771339678E-3</v>
      </c>
      <c r="K610" s="170">
        <v>0</v>
      </c>
      <c r="L610" s="169">
        <v>0</v>
      </c>
      <c r="M610" s="169">
        <v>0</v>
      </c>
      <c r="N610" s="169">
        <v>0</v>
      </c>
      <c r="O610" s="170">
        <v>0</v>
      </c>
      <c r="P610" s="170">
        <v>0</v>
      </c>
      <c r="Q610" s="169">
        <v>0</v>
      </c>
      <c r="R610" s="170">
        <v>0</v>
      </c>
      <c r="S610" s="170">
        <v>0</v>
      </c>
      <c r="T610" s="15">
        <v>0</v>
      </c>
      <c r="U610" s="15">
        <v>6.2231657677817177E-3</v>
      </c>
      <c r="V610" s="15"/>
    </row>
    <row r="611" spans="1:22" x14ac:dyDescent="0.25">
      <c r="A611" s="166" t="s">
        <v>122</v>
      </c>
      <c r="B611" s="207"/>
      <c r="C611" s="208">
        <v>-7.6272517554459851E-4</v>
      </c>
      <c r="D611" s="209">
        <v>-4.1666362157711301E-2</v>
      </c>
      <c r="E611" s="209">
        <v>-0.21558875041616982</v>
      </c>
      <c r="F611" s="209">
        <v>-0.47878861061809669</v>
      </c>
      <c r="G611" s="209">
        <v>-9.5705926188589807E-2</v>
      </c>
      <c r="H611" s="209">
        <v>-0.82678550486689351</v>
      </c>
      <c r="I611" s="209">
        <v>-0.10999402603919906</v>
      </c>
      <c r="J611" s="210">
        <v>-9.0946536337488657E-2</v>
      </c>
      <c r="K611" s="210">
        <v>0</v>
      </c>
      <c r="L611" s="209">
        <v>0</v>
      </c>
      <c r="M611" s="209">
        <v>0</v>
      </c>
      <c r="N611" s="209">
        <v>0</v>
      </c>
      <c r="O611" s="210">
        <v>0</v>
      </c>
      <c r="P611" s="210">
        <v>0</v>
      </c>
      <c r="Q611" s="209">
        <v>0</v>
      </c>
      <c r="R611" s="210">
        <v>0</v>
      </c>
      <c r="S611" s="210">
        <v>0</v>
      </c>
      <c r="T611" s="15">
        <v>0</v>
      </c>
      <c r="U611" s="15">
        <v>-9.0946987272713664E-2</v>
      </c>
      <c r="V611" s="15"/>
    </row>
    <row r="612" spans="1:22" x14ac:dyDescent="0.25">
      <c r="A612" s="166" t="s">
        <v>123</v>
      </c>
      <c r="B612" s="268"/>
      <c r="C612" s="524">
        <v>7.4283542673268957E-3</v>
      </c>
      <c r="D612" s="525">
        <v>1.5556106605589762E-3</v>
      </c>
      <c r="E612" s="525">
        <v>1.2866720442641375E-2</v>
      </c>
      <c r="F612" s="525">
        <v>5.3132983913616689E-4</v>
      </c>
      <c r="G612" s="525">
        <v>3.9984298403366713E-3</v>
      </c>
      <c r="H612" s="525">
        <v>3.5182361909229508E-4</v>
      </c>
      <c r="I612" s="525">
        <v>6.089193825042882E-4</v>
      </c>
      <c r="J612" s="536">
        <v>7.2961048102271721E-3</v>
      </c>
      <c r="K612" s="536">
        <v>0</v>
      </c>
      <c r="L612" s="525">
        <v>0</v>
      </c>
      <c r="M612" s="525">
        <v>0</v>
      </c>
      <c r="N612" s="525">
        <v>0</v>
      </c>
      <c r="O612" s="536">
        <v>0</v>
      </c>
      <c r="P612" s="165">
        <v>0</v>
      </c>
      <c r="Q612" s="525">
        <v>0</v>
      </c>
      <c r="R612" s="536">
        <v>0</v>
      </c>
      <c r="S612" s="536">
        <v>0</v>
      </c>
      <c r="T612" s="15">
        <v>0</v>
      </c>
      <c r="U612" s="15">
        <v>7.2961048102271721E-3</v>
      </c>
      <c r="V612" s="15"/>
    </row>
    <row r="613" spans="1:22" x14ac:dyDescent="0.25">
      <c r="A613" s="166" t="s">
        <v>124</v>
      </c>
      <c r="B613" s="167"/>
      <c r="C613" s="168">
        <v>3.1522249948452111E-2</v>
      </c>
      <c r="D613" s="169">
        <v>1.6561998790488558E-2</v>
      </c>
      <c r="E613" s="169">
        <v>5.2981846127762237E-2</v>
      </c>
      <c r="F613" s="169">
        <v>5.0371743466784875E-6</v>
      </c>
      <c r="G613" s="169">
        <v>1.2476775694155198E-2</v>
      </c>
      <c r="H613" s="169">
        <v>0</v>
      </c>
      <c r="I613" s="169">
        <v>1.5277905093653559E-3</v>
      </c>
      <c r="J613" s="170">
        <v>3.1363546364097973E-2</v>
      </c>
      <c r="K613" s="170">
        <v>0</v>
      </c>
      <c r="L613" s="169">
        <v>0</v>
      </c>
      <c r="M613" s="169">
        <v>0</v>
      </c>
      <c r="N613" s="169">
        <v>0</v>
      </c>
      <c r="O613" s="170">
        <v>0</v>
      </c>
      <c r="P613" s="170">
        <v>0</v>
      </c>
      <c r="Q613" s="169">
        <v>0</v>
      </c>
      <c r="R613" s="170">
        <v>0</v>
      </c>
      <c r="S613" s="170">
        <v>0</v>
      </c>
      <c r="T613" s="15">
        <v>0</v>
      </c>
      <c r="U613" s="15">
        <v>3.1363523637855231E-2</v>
      </c>
      <c r="V613" s="15"/>
    </row>
    <row r="614" spans="1:22" x14ac:dyDescent="0.25">
      <c r="A614" s="166" t="s">
        <v>125</v>
      </c>
      <c r="B614" s="207"/>
      <c r="C614" s="208">
        <v>2.4093895681125215</v>
      </c>
      <c r="D614" s="209">
        <v>1.5006388129929582</v>
      </c>
      <c r="E614" s="209">
        <v>4.011512568512086</v>
      </c>
      <c r="F614" s="209">
        <v>-5.2629266478948833E-2</v>
      </c>
      <c r="G614" s="209">
        <v>0.84783458538185263</v>
      </c>
      <c r="H614" s="209">
        <v>-3.5182361909229506E-2</v>
      </c>
      <c r="I614" s="209">
        <v>9.1887112686106776E-2</v>
      </c>
      <c r="J614" s="210">
        <v>2.4067441553870803</v>
      </c>
      <c r="K614" s="210">
        <v>0</v>
      </c>
      <c r="L614" s="209">
        <v>0</v>
      </c>
      <c r="M614" s="209">
        <v>0</v>
      </c>
      <c r="N614" s="209">
        <v>0</v>
      </c>
      <c r="O614" s="210">
        <v>0</v>
      </c>
      <c r="P614" s="210">
        <v>0</v>
      </c>
      <c r="Q614" s="209">
        <v>0</v>
      </c>
      <c r="R614" s="210">
        <v>0</v>
      </c>
      <c r="S614" s="210">
        <v>0</v>
      </c>
      <c r="T614" s="15">
        <v>0</v>
      </c>
      <c r="U614" s="15">
        <v>2.4067418827628062</v>
      </c>
      <c r="V614" s="15"/>
    </row>
    <row r="615" spans="1:22" x14ac:dyDescent="0.25">
      <c r="A615" s="166" t="s">
        <v>126</v>
      </c>
      <c r="B615" s="268"/>
      <c r="C615" s="524">
        <v>2.0066556311025725E-3</v>
      </c>
      <c r="D615" s="525">
        <v>7.3477322348670872E-4</v>
      </c>
      <c r="E615" s="525">
        <v>3.6916886766199261E-3</v>
      </c>
      <c r="F615" s="525">
        <v>0</v>
      </c>
      <c r="G615" s="525">
        <v>0</v>
      </c>
      <c r="H615" s="525">
        <v>0</v>
      </c>
      <c r="I615" s="525">
        <v>0</v>
      </c>
      <c r="J615" s="536">
        <v>2.013217891288941E-3</v>
      </c>
      <c r="K615" s="536">
        <v>0</v>
      </c>
      <c r="L615" s="525">
        <v>0</v>
      </c>
      <c r="M615" s="525">
        <v>0</v>
      </c>
      <c r="N615" s="525">
        <v>0</v>
      </c>
      <c r="O615" s="536">
        <v>0</v>
      </c>
      <c r="P615" s="165">
        <v>0</v>
      </c>
      <c r="Q615" s="525">
        <v>0</v>
      </c>
      <c r="R615" s="536">
        <v>0</v>
      </c>
      <c r="S615" s="536">
        <v>0</v>
      </c>
      <c r="T615" s="15">
        <v>0</v>
      </c>
      <c r="U615" s="15">
        <v>2.013217891288941E-3</v>
      </c>
      <c r="V615" s="15"/>
    </row>
    <row r="616" spans="1:22" x14ac:dyDescent="0.25">
      <c r="A616" s="166" t="s">
        <v>127</v>
      </c>
      <c r="B616" s="167"/>
      <c r="C616" s="168">
        <v>2.0671000685757047E-3</v>
      </c>
      <c r="D616" s="169">
        <v>1.1026946425980004E-3</v>
      </c>
      <c r="E616" s="169">
        <v>3.6138199010243605E-3</v>
      </c>
      <c r="F616" s="169">
        <v>1.1333642280026596E-4</v>
      </c>
      <c r="G616" s="169">
        <v>1.4039882626581242E-5</v>
      </c>
      <c r="H616" s="169">
        <v>0</v>
      </c>
      <c r="I616" s="169">
        <v>0</v>
      </c>
      <c r="J616" s="170">
        <v>2.0699619357670523E-3</v>
      </c>
      <c r="K616" s="170">
        <v>0</v>
      </c>
      <c r="L616" s="169">
        <v>0</v>
      </c>
      <c r="M616" s="169">
        <v>0</v>
      </c>
      <c r="N616" s="169">
        <v>0</v>
      </c>
      <c r="O616" s="170">
        <v>0</v>
      </c>
      <c r="P616" s="170">
        <v>0</v>
      </c>
      <c r="Q616" s="169">
        <v>0</v>
      </c>
      <c r="R616" s="170">
        <v>0</v>
      </c>
      <c r="S616" s="170">
        <v>0</v>
      </c>
      <c r="T616" s="15">
        <v>0</v>
      </c>
      <c r="U616" s="15">
        <v>2.0699604358583087E-3</v>
      </c>
      <c r="V616" s="15"/>
    </row>
    <row r="617" spans="1:22" x14ac:dyDescent="0.25">
      <c r="A617" s="172" t="s">
        <v>128</v>
      </c>
      <c r="B617" s="207"/>
      <c r="C617" s="208">
        <v>6.0444437473132148E-3</v>
      </c>
      <c r="D617" s="209">
        <v>3.6792141911129166E-2</v>
      </c>
      <c r="E617" s="209">
        <v>-7.7868775595565671E-3</v>
      </c>
      <c r="F617" s="209">
        <v>0</v>
      </c>
      <c r="G617" s="209">
        <v>0</v>
      </c>
      <c r="H617" s="209">
        <v>0</v>
      </c>
      <c r="I617" s="209">
        <v>0</v>
      </c>
      <c r="J617" s="210">
        <v>5.6744044478111363E-3</v>
      </c>
      <c r="K617" s="210">
        <v>0</v>
      </c>
      <c r="L617" s="209">
        <v>0</v>
      </c>
      <c r="M617" s="209">
        <v>0</v>
      </c>
      <c r="N617" s="209">
        <v>0</v>
      </c>
      <c r="O617" s="210">
        <v>0</v>
      </c>
      <c r="P617" s="210">
        <v>0</v>
      </c>
      <c r="Q617" s="209">
        <v>0</v>
      </c>
      <c r="R617" s="210">
        <v>0</v>
      </c>
      <c r="S617" s="210">
        <v>0</v>
      </c>
      <c r="T617" s="15">
        <v>0</v>
      </c>
      <c r="U617" s="15">
        <v>5.6742544569367715E-3</v>
      </c>
      <c r="V617" s="15"/>
    </row>
    <row r="621" spans="1:22" x14ac:dyDescent="0.25">
      <c r="D621" s="148"/>
      <c r="E621" s="148"/>
      <c r="F621" s="148"/>
      <c r="G621" s="148"/>
      <c r="H621" s="148"/>
      <c r="I621" s="148"/>
      <c r="J621" s="148"/>
      <c r="K621" s="148"/>
      <c r="L621" s="148"/>
      <c r="M621" s="148"/>
      <c r="N621" s="148"/>
      <c r="O621" s="148"/>
      <c r="P621" s="148"/>
      <c r="Q621" s="148"/>
      <c r="R621" s="148"/>
      <c r="S621" s="148"/>
    </row>
    <row r="622" spans="1:22" x14ac:dyDescent="0.25">
      <c r="D622" s="148"/>
      <c r="E622" s="148"/>
      <c r="F622" s="148"/>
      <c r="G622" s="148"/>
      <c r="H622" s="148"/>
      <c r="I622" s="148"/>
      <c r="J622" s="148"/>
      <c r="K622" s="148"/>
      <c r="L622" s="148"/>
      <c r="M622" s="148"/>
      <c r="N622" s="148"/>
      <c r="O622" s="148"/>
      <c r="P622" s="148"/>
      <c r="Q622" s="148"/>
      <c r="R622" s="148"/>
      <c r="S622" s="148"/>
    </row>
    <row r="623" spans="1:22" x14ac:dyDescent="0.25">
      <c r="D623" s="148"/>
      <c r="E623" s="148"/>
      <c r="F623" s="148"/>
      <c r="G623" s="148"/>
      <c r="H623" s="148"/>
      <c r="I623" s="148"/>
      <c r="J623" s="148"/>
      <c r="K623" s="148"/>
      <c r="L623" s="148"/>
      <c r="M623" s="148"/>
      <c r="N623" s="148"/>
      <c r="O623" s="148"/>
      <c r="P623" s="148"/>
      <c r="Q623" s="148"/>
      <c r="R623" s="148"/>
      <c r="S623" s="148"/>
    </row>
    <row r="624" spans="1:22" x14ac:dyDescent="0.25">
      <c r="D624" s="148"/>
      <c r="E624" s="148"/>
      <c r="F624" s="148"/>
      <c r="G624" s="148"/>
      <c r="H624" s="148"/>
      <c r="I624" s="148"/>
      <c r="J624" s="148"/>
      <c r="K624" s="148"/>
      <c r="L624" s="148"/>
      <c r="M624" s="148"/>
      <c r="N624" s="148"/>
      <c r="O624" s="148"/>
      <c r="P624" s="148"/>
      <c r="Q624" s="148"/>
      <c r="R624" s="148"/>
      <c r="S624" s="148"/>
    </row>
    <row r="625" spans="4:19" x14ac:dyDescent="0.25">
      <c r="D625" s="148"/>
      <c r="E625" s="148"/>
      <c r="F625" s="148"/>
      <c r="G625" s="148"/>
      <c r="H625" s="148"/>
      <c r="I625" s="148"/>
      <c r="J625" s="148"/>
      <c r="K625" s="148"/>
      <c r="L625" s="148"/>
      <c r="M625" s="148"/>
      <c r="N625" s="148"/>
      <c r="O625" s="148"/>
      <c r="P625" s="148"/>
      <c r="Q625" s="148"/>
      <c r="R625" s="148"/>
      <c r="S625" s="148"/>
    </row>
    <row r="626" spans="4:19" x14ac:dyDescent="0.25">
      <c r="D626" s="148"/>
      <c r="E626" s="148"/>
      <c r="F626" s="148"/>
      <c r="G626" s="148"/>
      <c r="H626" s="148"/>
      <c r="I626" s="148"/>
      <c r="J626" s="148"/>
      <c r="K626" s="148"/>
      <c r="L626" s="148"/>
      <c r="M626" s="148"/>
      <c r="N626" s="148"/>
      <c r="O626" s="148"/>
      <c r="P626" s="148"/>
      <c r="Q626" s="148"/>
      <c r="R626" s="148"/>
      <c r="S626" s="148"/>
    </row>
    <row r="627" spans="4:19" x14ac:dyDescent="0.25">
      <c r="D627" s="148"/>
      <c r="E627" s="148"/>
      <c r="F627" s="148"/>
      <c r="G627" s="148"/>
      <c r="H627" s="148"/>
      <c r="I627" s="148"/>
      <c r="J627" s="148"/>
      <c r="K627" s="148"/>
      <c r="L627" s="148"/>
      <c r="M627" s="148"/>
      <c r="N627" s="148"/>
      <c r="O627" s="148"/>
      <c r="P627" s="148"/>
      <c r="Q627" s="148"/>
      <c r="R627" s="148"/>
      <c r="S627" s="148"/>
    </row>
    <row r="628" spans="4:19" x14ac:dyDescent="0.25">
      <c r="D628" s="148"/>
      <c r="E628" s="148"/>
      <c r="F628" s="148"/>
      <c r="G628" s="148"/>
      <c r="H628" s="148"/>
      <c r="I628" s="148"/>
      <c r="J628" s="148"/>
      <c r="K628" s="148"/>
      <c r="L628" s="148"/>
      <c r="M628" s="148"/>
      <c r="N628" s="148"/>
      <c r="O628" s="148"/>
      <c r="P628" s="148"/>
      <c r="Q628" s="148"/>
      <c r="R628" s="148"/>
      <c r="S628" s="148"/>
    </row>
    <row r="629" spans="4:19" x14ac:dyDescent="0.25">
      <c r="D629" s="148"/>
      <c r="E629" s="148"/>
      <c r="F629" s="148"/>
      <c r="G629" s="148"/>
      <c r="H629" s="148"/>
      <c r="I629" s="148"/>
      <c r="J629" s="148"/>
      <c r="K629" s="148"/>
      <c r="L629" s="148"/>
      <c r="M629" s="148"/>
      <c r="N629" s="148"/>
      <c r="O629" s="148"/>
      <c r="P629" s="148"/>
      <c r="Q629" s="148"/>
      <c r="R629" s="148"/>
      <c r="S629" s="148"/>
    </row>
    <row r="630" spans="4:19" x14ac:dyDescent="0.25">
      <c r="D630" s="148"/>
      <c r="E630" s="148"/>
      <c r="F630" s="148"/>
      <c r="G630" s="148"/>
      <c r="H630" s="148"/>
      <c r="I630" s="148"/>
      <c r="J630" s="148"/>
      <c r="K630" s="148"/>
      <c r="L630" s="148"/>
      <c r="M630" s="148"/>
      <c r="N630" s="148"/>
      <c r="O630" s="148"/>
      <c r="P630" s="148"/>
      <c r="Q630" s="148"/>
      <c r="R630" s="148"/>
      <c r="S630" s="148"/>
    </row>
    <row r="631" spans="4:19" x14ac:dyDescent="0.25">
      <c r="D631" s="148"/>
      <c r="E631" s="148"/>
      <c r="F631" s="148"/>
      <c r="G631" s="148"/>
      <c r="H631" s="148"/>
      <c r="I631" s="148"/>
      <c r="J631" s="148"/>
      <c r="K631" s="148"/>
      <c r="L631" s="148"/>
      <c r="M631" s="148"/>
      <c r="N631" s="148"/>
      <c r="O631" s="148"/>
      <c r="P631" s="148"/>
      <c r="Q631" s="148"/>
      <c r="R631" s="148"/>
      <c r="S631" s="148"/>
    </row>
    <row r="632" spans="4:19" x14ac:dyDescent="0.25">
      <c r="D632" s="148"/>
      <c r="E632" s="148"/>
      <c r="F632" s="148"/>
      <c r="G632" s="148"/>
      <c r="H632" s="148"/>
      <c r="I632" s="148"/>
      <c r="J632" s="148"/>
      <c r="K632" s="148"/>
      <c r="L632" s="148"/>
      <c r="M632" s="148"/>
      <c r="N632" s="148"/>
      <c r="O632" s="148"/>
      <c r="P632" s="148"/>
      <c r="Q632" s="148"/>
      <c r="R632" s="148"/>
      <c r="S632" s="148"/>
    </row>
    <row r="633" spans="4:19" x14ac:dyDescent="0.25">
      <c r="D633" s="148"/>
      <c r="E633" s="148"/>
      <c r="F633" s="148"/>
      <c r="G633" s="148"/>
      <c r="H633" s="148"/>
      <c r="I633" s="148"/>
      <c r="J633" s="148"/>
      <c r="K633" s="148"/>
      <c r="L633" s="148"/>
      <c r="M633" s="148"/>
      <c r="N633" s="148"/>
      <c r="O633" s="148"/>
      <c r="P633" s="148"/>
      <c r="Q633" s="148"/>
      <c r="R633" s="148"/>
      <c r="S633" s="148"/>
    </row>
    <row r="634" spans="4:19" x14ac:dyDescent="0.25">
      <c r="D634" s="148"/>
      <c r="E634" s="148"/>
      <c r="F634" s="148"/>
      <c r="G634" s="148"/>
      <c r="H634" s="148"/>
      <c r="I634" s="148"/>
      <c r="J634" s="148"/>
      <c r="K634" s="148"/>
      <c r="L634" s="148"/>
      <c r="M634" s="148"/>
      <c r="N634" s="148"/>
      <c r="O634" s="148"/>
      <c r="P634" s="148"/>
      <c r="Q634" s="148"/>
      <c r="R634" s="148"/>
      <c r="S634" s="148"/>
    </row>
    <row r="635" spans="4:19" x14ac:dyDescent="0.25">
      <c r="D635" s="148"/>
      <c r="E635" s="148"/>
      <c r="F635" s="148"/>
      <c r="G635" s="148"/>
      <c r="H635" s="148"/>
      <c r="I635" s="148"/>
      <c r="J635" s="148"/>
      <c r="K635" s="148"/>
      <c r="L635" s="148"/>
      <c r="M635" s="148"/>
      <c r="N635" s="148"/>
      <c r="O635" s="148"/>
      <c r="P635" s="148"/>
      <c r="Q635" s="148"/>
      <c r="R635" s="148"/>
      <c r="S635" s="148"/>
    </row>
    <row r="636" spans="4:19" x14ac:dyDescent="0.25">
      <c r="D636" s="148"/>
      <c r="E636" s="148"/>
      <c r="F636" s="148"/>
      <c r="G636" s="148"/>
      <c r="H636" s="148"/>
      <c r="I636" s="148"/>
      <c r="J636" s="148"/>
      <c r="K636" s="148"/>
      <c r="L636" s="148"/>
      <c r="M636" s="148"/>
      <c r="N636" s="148"/>
      <c r="O636" s="148"/>
      <c r="P636" s="148"/>
      <c r="Q636" s="148"/>
      <c r="R636" s="148"/>
      <c r="S636" s="148"/>
    </row>
    <row r="637" spans="4:19" x14ac:dyDescent="0.25">
      <c r="D637" s="148"/>
      <c r="E637" s="148"/>
      <c r="F637" s="148"/>
      <c r="G637" s="148"/>
      <c r="H637" s="148"/>
      <c r="I637" s="148"/>
      <c r="J637" s="148"/>
      <c r="K637" s="148"/>
      <c r="L637" s="148"/>
      <c r="M637" s="148"/>
      <c r="N637" s="148"/>
      <c r="O637" s="148"/>
      <c r="P637" s="148"/>
      <c r="Q637" s="148"/>
      <c r="R637" s="148"/>
      <c r="S637" s="148"/>
    </row>
    <row r="638" spans="4:19" x14ac:dyDescent="0.25">
      <c r="D638" s="148"/>
      <c r="E638" s="148"/>
      <c r="F638" s="148"/>
      <c r="G638" s="148"/>
      <c r="H638" s="148"/>
      <c r="I638" s="148"/>
      <c r="J638" s="148"/>
      <c r="K638" s="148"/>
      <c r="L638" s="148"/>
      <c r="M638" s="148"/>
      <c r="N638" s="148"/>
      <c r="O638" s="148"/>
      <c r="P638" s="148"/>
      <c r="Q638" s="148"/>
      <c r="R638" s="148"/>
      <c r="S638" s="148"/>
    </row>
    <row r="639" spans="4:19" x14ac:dyDescent="0.25">
      <c r="D639" s="148"/>
      <c r="E639" s="148"/>
      <c r="F639" s="148"/>
      <c r="G639" s="148"/>
      <c r="H639" s="148"/>
      <c r="I639" s="148"/>
      <c r="J639" s="148"/>
      <c r="K639" s="148"/>
      <c r="L639" s="148"/>
      <c r="M639" s="148"/>
      <c r="N639" s="148"/>
      <c r="O639" s="148"/>
      <c r="P639" s="148"/>
      <c r="Q639" s="148"/>
      <c r="R639" s="148"/>
      <c r="S639" s="148"/>
    </row>
    <row r="640" spans="4:19" x14ac:dyDescent="0.25">
      <c r="D640" s="148"/>
      <c r="E640" s="148"/>
      <c r="F640" s="148"/>
      <c r="G640" s="148"/>
      <c r="H640" s="148"/>
      <c r="I640" s="148"/>
      <c r="J640" s="148"/>
      <c r="K640" s="148"/>
      <c r="L640" s="148"/>
      <c r="M640" s="148"/>
      <c r="N640" s="148"/>
      <c r="O640" s="148"/>
      <c r="P640" s="148"/>
      <c r="Q640" s="148"/>
      <c r="R640" s="148"/>
      <c r="S640" s="148"/>
    </row>
    <row r="641" spans="4:19" x14ac:dyDescent="0.25">
      <c r="D641" s="148"/>
      <c r="E641" s="148"/>
      <c r="F641" s="148"/>
      <c r="G641" s="148"/>
      <c r="H641" s="148"/>
      <c r="I641" s="148"/>
      <c r="J641" s="148"/>
      <c r="K641" s="148"/>
      <c r="L641" s="148"/>
      <c r="M641" s="148"/>
      <c r="N641" s="148"/>
      <c r="O641" s="148"/>
      <c r="P641" s="148"/>
      <c r="Q641" s="148"/>
      <c r="R641" s="148"/>
      <c r="S641" s="148"/>
    </row>
    <row r="642" spans="4:19" x14ac:dyDescent="0.25">
      <c r="D642" s="148"/>
      <c r="E642" s="148"/>
      <c r="F642" s="148"/>
      <c r="G642" s="148"/>
      <c r="H642" s="148"/>
      <c r="I642" s="148"/>
      <c r="J642" s="148"/>
      <c r="K642" s="148"/>
      <c r="L642" s="148"/>
      <c r="M642" s="148"/>
      <c r="N642" s="148"/>
      <c r="O642" s="148"/>
      <c r="P642" s="148"/>
      <c r="Q642" s="148"/>
      <c r="R642" s="148"/>
      <c r="S642" s="148"/>
    </row>
    <row r="643" spans="4:19" x14ac:dyDescent="0.25">
      <c r="D643" s="148"/>
      <c r="E643" s="148"/>
      <c r="F643" s="148"/>
      <c r="G643" s="148"/>
      <c r="H643" s="148"/>
      <c r="I643" s="148"/>
      <c r="J643" s="148"/>
      <c r="K643" s="148"/>
      <c r="L643" s="148"/>
      <c r="M643" s="148"/>
      <c r="N643" s="148"/>
      <c r="O643" s="148"/>
      <c r="P643" s="148"/>
      <c r="Q643" s="148"/>
      <c r="R643" s="148"/>
      <c r="S643" s="148"/>
    </row>
    <row r="644" spans="4:19" x14ac:dyDescent="0.25">
      <c r="D644" s="148"/>
      <c r="E644" s="148"/>
      <c r="F644" s="148"/>
      <c r="G644" s="148"/>
      <c r="H644" s="148"/>
      <c r="I644" s="148"/>
      <c r="J644" s="148"/>
      <c r="K644" s="148"/>
      <c r="L644" s="148"/>
      <c r="M644" s="148"/>
      <c r="N644" s="148"/>
      <c r="O644" s="148"/>
      <c r="P644" s="148"/>
      <c r="Q644" s="148"/>
      <c r="R644" s="148"/>
      <c r="S644" s="148"/>
    </row>
    <row r="645" spans="4:19" x14ac:dyDescent="0.25">
      <c r="D645" s="148"/>
      <c r="E645" s="148"/>
      <c r="F645" s="148"/>
      <c r="G645" s="148"/>
      <c r="H645" s="148"/>
      <c r="I645" s="148"/>
      <c r="J645" s="148"/>
      <c r="K645" s="148"/>
      <c r="L645" s="148"/>
      <c r="M645" s="148"/>
      <c r="N645" s="148"/>
      <c r="O645" s="148"/>
      <c r="P645" s="148"/>
      <c r="Q645" s="148"/>
      <c r="R645" s="148"/>
      <c r="S645" s="148"/>
    </row>
    <row r="646" spans="4:19" x14ac:dyDescent="0.25">
      <c r="D646" s="148"/>
      <c r="E646" s="148"/>
      <c r="F646" s="148"/>
      <c r="G646" s="148"/>
      <c r="H646" s="148"/>
      <c r="I646" s="148"/>
      <c r="J646" s="148"/>
      <c r="K646" s="148"/>
      <c r="L646" s="148"/>
      <c r="M646" s="148"/>
      <c r="N646" s="148"/>
      <c r="O646" s="148"/>
      <c r="P646" s="148"/>
      <c r="Q646" s="148"/>
      <c r="R646" s="148"/>
      <c r="S646" s="148"/>
    </row>
    <row r="647" spans="4:19" x14ac:dyDescent="0.25">
      <c r="D647" s="148"/>
      <c r="E647" s="148"/>
      <c r="F647" s="148"/>
      <c r="G647" s="148"/>
      <c r="H647" s="148"/>
      <c r="I647" s="148"/>
      <c r="J647" s="148"/>
      <c r="K647" s="148"/>
      <c r="L647" s="148"/>
      <c r="M647" s="148"/>
      <c r="N647" s="148"/>
      <c r="O647" s="148"/>
      <c r="P647" s="148"/>
      <c r="Q647" s="148"/>
      <c r="R647" s="148"/>
      <c r="S647" s="148"/>
    </row>
    <row r="648" spans="4:19" x14ac:dyDescent="0.25">
      <c r="D648" s="148"/>
      <c r="E648" s="148"/>
      <c r="F648" s="148"/>
      <c r="G648" s="148"/>
      <c r="H648" s="148"/>
      <c r="I648" s="148"/>
      <c r="J648" s="148"/>
      <c r="K648" s="148"/>
      <c r="L648" s="148"/>
      <c r="M648" s="148"/>
      <c r="N648" s="148"/>
      <c r="O648" s="148"/>
      <c r="P648" s="148"/>
      <c r="Q648" s="148"/>
      <c r="R648" s="148"/>
      <c r="S648" s="148"/>
    </row>
    <row r="649" spans="4:19" x14ac:dyDescent="0.25">
      <c r="D649" s="148"/>
      <c r="E649" s="148"/>
      <c r="F649" s="148"/>
      <c r="G649" s="148"/>
      <c r="H649" s="148"/>
      <c r="I649" s="148"/>
      <c r="J649" s="148"/>
      <c r="K649" s="148"/>
      <c r="L649" s="148"/>
      <c r="M649" s="148"/>
      <c r="N649" s="148"/>
      <c r="O649" s="148"/>
      <c r="P649" s="148"/>
      <c r="Q649" s="148"/>
      <c r="R649" s="148"/>
      <c r="S649" s="148"/>
    </row>
    <row r="650" spans="4:19" x14ac:dyDescent="0.25">
      <c r="D650" s="148"/>
      <c r="E650" s="148"/>
      <c r="F650" s="148"/>
      <c r="G650" s="148"/>
      <c r="H650" s="148"/>
      <c r="I650" s="148"/>
      <c r="J650" s="148"/>
      <c r="K650" s="148"/>
      <c r="L650" s="148"/>
      <c r="M650" s="148"/>
      <c r="N650" s="148"/>
      <c r="O650" s="148"/>
      <c r="P650" s="148"/>
      <c r="Q650" s="148"/>
      <c r="R650" s="148"/>
      <c r="S650" s="148"/>
    </row>
    <row r="651" spans="4:19" x14ac:dyDescent="0.25">
      <c r="D651" s="148"/>
      <c r="E651" s="148"/>
      <c r="F651" s="148"/>
      <c r="G651" s="148"/>
      <c r="H651" s="148"/>
      <c r="I651" s="148"/>
      <c r="J651" s="148"/>
      <c r="K651" s="148"/>
      <c r="L651" s="148"/>
      <c r="M651" s="148"/>
      <c r="N651" s="148"/>
      <c r="O651" s="148"/>
      <c r="P651" s="148"/>
      <c r="Q651" s="148"/>
      <c r="R651" s="148"/>
      <c r="S651" s="148"/>
    </row>
    <row r="652" spans="4:19" x14ac:dyDescent="0.25">
      <c r="D652" s="148"/>
      <c r="E652" s="148"/>
      <c r="F652" s="148"/>
      <c r="G652" s="148"/>
      <c r="H652" s="148"/>
      <c r="I652" s="148"/>
      <c r="J652" s="148"/>
      <c r="K652" s="148"/>
      <c r="L652" s="148"/>
      <c r="M652" s="148"/>
      <c r="N652" s="148"/>
      <c r="O652" s="148"/>
      <c r="P652" s="148"/>
      <c r="Q652" s="148"/>
      <c r="R652" s="148"/>
      <c r="S652" s="148"/>
    </row>
    <row r="653" spans="4:19" x14ac:dyDescent="0.25">
      <c r="D653" s="148"/>
      <c r="E653" s="148"/>
      <c r="F653" s="148"/>
      <c r="G653" s="148"/>
      <c r="H653" s="148"/>
      <c r="I653" s="148"/>
      <c r="J653" s="148"/>
      <c r="K653" s="148"/>
      <c r="L653" s="148"/>
      <c r="M653" s="148"/>
      <c r="N653" s="148"/>
      <c r="O653" s="148"/>
      <c r="P653" s="148"/>
      <c r="Q653" s="148"/>
      <c r="R653" s="148"/>
      <c r="S653" s="148"/>
    </row>
    <row r="654" spans="4:19" x14ac:dyDescent="0.25">
      <c r="D654" s="148"/>
      <c r="E654" s="148"/>
      <c r="F654" s="148"/>
      <c r="G654" s="148"/>
      <c r="H654" s="148"/>
      <c r="I654" s="148"/>
      <c r="J654" s="148"/>
      <c r="K654" s="148"/>
      <c r="L654" s="148"/>
      <c r="M654" s="148"/>
      <c r="N654" s="148"/>
      <c r="O654" s="148"/>
      <c r="P654" s="148"/>
      <c r="Q654" s="148"/>
      <c r="R654" s="148"/>
      <c r="S654" s="148"/>
    </row>
    <row r="655" spans="4:19" x14ac:dyDescent="0.25">
      <c r="D655" s="148"/>
      <c r="E655" s="148"/>
      <c r="F655" s="148"/>
      <c r="G655" s="148"/>
      <c r="H655" s="148"/>
      <c r="I655" s="148"/>
      <c r="J655" s="148"/>
      <c r="K655" s="148"/>
      <c r="L655" s="148"/>
      <c r="M655" s="148"/>
      <c r="N655" s="148"/>
      <c r="O655" s="148"/>
      <c r="P655" s="148"/>
      <c r="Q655" s="148"/>
      <c r="R655" s="148"/>
      <c r="S655" s="148"/>
    </row>
    <row r="656" spans="4:19" x14ac:dyDescent="0.25">
      <c r="D656" s="148"/>
      <c r="E656" s="148"/>
      <c r="F656" s="148"/>
      <c r="G656" s="148"/>
      <c r="H656" s="148"/>
      <c r="I656" s="148"/>
      <c r="J656" s="148"/>
      <c r="K656" s="148"/>
      <c r="L656" s="148"/>
      <c r="M656" s="148"/>
      <c r="N656" s="148"/>
      <c r="O656" s="148"/>
      <c r="P656" s="148"/>
      <c r="Q656" s="148"/>
      <c r="R656" s="148"/>
      <c r="S656" s="148"/>
    </row>
    <row r="657" spans="4:19" x14ac:dyDescent="0.25">
      <c r="D657" s="148"/>
      <c r="E657" s="148"/>
      <c r="F657" s="148"/>
      <c r="G657" s="148"/>
      <c r="H657" s="148"/>
      <c r="I657" s="148"/>
      <c r="J657" s="148"/>
      <c r="K657" s="148"/>
      <c r="L657" s="148"/>
      <c r="M657" s="148"/>
      <c r="N657" s="148"/>
      <c r="O657" s="148"/>
      <c r="P657" s="148"/>
      <c r="Q657" s="148"/>
      <c r="R657" s="148"/>
      <c r="S657" s="148"/>
    </row>
    <row r="658" spans="4:19" x14ac:dyDescent="0.25">
      <c r="D658" s="148"/>
      <c r="E658" s="148"/>
      <c r="F658" s="148"/>
      <c r="G658" s="148"/>
      <c r="H658" s="148"/>
      <c r="I658" s="148"/>
      <c r="J658" s="148"/>
      <c r="K658" s="148"/>
      <c r="L658" s="148"/>
      <c r="M658" s="148"/>
      <c r="N658" s="148"/>
      <c r="O658" s="148"/>
      <c r="P658" s="148"/>
      <c r="Q658" s="148"/>
      <c r="R658" s="148"/>
      <c r="S658" s="148"/>
    </row>
    <row r="659" spans="4:19" x14ac:dyDescent="0.25">
      <c r="D659" s="148"/>
      <c r="E659" s="148"/>
      <c r="F659" s="148"/>
      <c r="G659" s="148"/>
      <c r="H659" s="148"/>
      <c r="I659" s="148"/>
      <c r="J659" s="148"/>
      <c r="K659" s="148"/>
      <c r="L659" s="148"/>
      <c r="M659" s="148"/>
      <c r="N659" s="148"/>
      <c r="O659" s="148"/>
      <c r="P659" s="148"/>
      <c r="Q659" s="148"/>
      <c r="R659" s="148"/>
      <c r="S659" s="148"/>
    </row>
    <row r="660" spans="4:19" x14ac:dyDescent="0.25">
      <c r="D660" s="148"/>
      <c r="E660" s="148"/>
      <c r="F660" s="148"/>
      <c r="G660" s="148"/>
      <c r="H660" s="148"/>
      <c r="I660" s="148"/>
      <c r="J660" s="148"/>
      <c r="K660" s="148"/>
      <c r="L660" s="148"/>
      <c r="M660" s="148"/>
      <c r="N660" s="148"/>
      <c r="O660" s="148"/>
      <c r="P660" s="148"/>
      <c r="Q660" s="148"/>
      <c r="R660" s="148"/>
      <c r="S660" s="148"/>
    </row>
    <row r="661" spans="4:19" x14ac:dyDescent="0.25">
      <c r="D661" s="148"/>
      <c r="E661" s="148"/>
      <c r="F661" s="148"/>
      <c r="G661" s="148"/>
      <c r="H661" s="148"/>
      <c r="I661" s="148"/>
      <c r="J661" s="148"/>
      <c r="K661" s="148"/>
      <c r="L661" s="148"/>
      <c r="M661" s="148"/>
      <c r="N661" s="148"/>
      <c r="O661" s="148"/>
      <c r="P661" s="148"/>
      <c r="Q661" s="148"/>
      <c r="R661" s="148"/>
      <c r="S661" s="148"/>
    </row>
    <row r="662" spans="4:19" x14ac:dyDescent="0.25">
      <c r="D662" s="148"/>
      <c r="E662" s="148"/>
      <c r="F662" s="148"/>
      <c r="G662" s="148"/>
      <c r="H662" s="148"/>
      <c r="I662" s="148"/>
      <c r="J662" s="148"/>
      <c r="K662" s="148"/>
      <c r="L662" s="148"/>
      <c r="M662" s="148"/>
      <c r="N662" s="148"/>
      <c r="O662" s="148"/>
      <c r="P662" s="148"/>
      <c r="Q662" s="148"/>
      <c r="R662" s="148"/>
      <c r="S662" s="148"/>
    </row>
    <row r="663" spans="4:19" x14ac:dyDescent="0.25">
      <c r="D663" s="148"/>
      <c r="E663" s="148"/>
      <c r="F663" s="148"/>
      <c r="G663" s="148"/>
      <c r="H663" s="148"/>
      <c r="I663" s="148"/>
      <c r="J663" s="148"/>
      <c r="K663" s="148"/>
      <c r="L663" s="148"/>
      <c r="M663" s="148"/>
      <c r="N663" s="148"/>
      <c r="O663" s="148"/>
      <c r="P663" s="148"/>
      <c r="Q663" s="148"/>
      <c r="R663" s="148"/>
      <c r="S663" s="148"/>
    </row>
    <row r="664" spans="4:19" x14ac:dyDescent="0.25">
      <c r="D664" s="148"/>
      <c r="E664" s="148"/>
      <c r="F664" s="148"/>
      <c r="G664" s="148"/>
      <c r="H664" s="148"/>
      <c r="I664" s="148"/>
      <c r="J664" s="148"/>
      <c r="K664" s="148"/>
      <c r="L664" s="148"/>
      <c r="M664" s="148"/>
      <c r="N664" s="148"/>
      <c r="O664" s="148"/>
      <c r="P664" s="148"/>
      <c r="Q664" s="148"/>
      <c r="R664" s="148"/>
      <c r="S664" s="148"/>
    </row>
    <row r="665" spans="4:19" x14ac:dyDescent="0.25">
      <c r="D665" s="148"/>
      <c r="E665" s="148"/>
      <c r="F665" s="148"/>
      <c r="G665" s="148"/>
      <c r="H665" s="148"/>
      <c r="I665" s="148"/>
      <c r="J665" s="148"/>
      <c r="K665" s="148"/>
      <c r="L665" s="148"/>
      <c r="M665" s="148"/>
      <c r="N665" s="148"/>
      <c r="O665" s="148"/>
      <c r="P665" s="148"/>
      <c r="Q665" s="148"/>
      <c r="R665" s="148"/>
      <c r="S665" s="148"/>
    </row>
    <row r="666" spans="4:19" x14ac:dyDescent="0.25">
      <c r="D666" s="148"/>
      <c r="E666" s="148"/>
      <c r="F666" s="148"/>
      <c r="G666" s="148"/>
      <c r="H666" s="148"/>
      <c r="I666" s="148"/>
      <c r="J666" s="148"/>
      <c r="K666" s="148"/>
      <c r="L666" s="148"/>
      <c r="M666" s="148"/>
      <c r="N666" s="148"/>
      <c r="O666" s="148"/>
      <c r="P666" s="148"/>
      <c r="Q666" s="148"/>
      <c r="R666" s="148"/>
      <c r="S666" s="148"/>
    </row>
    <row r="667" spans="4:19" x14ac:dyDescent="0.25">
      <c r="D667" s="148"/>
      <c r="E667" s="148"/>
      <c r="F667" s="148"/>
      <c r="G667" s="148"/>
      <c r="H667" s="148"/>
      <c r="I667" s="148"/>
      <c r="J667" s="148"/>
      <c r="K667" s="148"/>
      <c r="L667" s="148"/>
      <c r="M667" s="148"/>
      <c r="N667" s="148"/>
      <c r="O667" s="148"/>
      <c r="P667" s="148"/>
      <c r="Q667" s="148"/>
      <c r="R667" s="148"/>
      <c r="S667" s="148"/>
    </row>
    <row r="668" spans="4:19" x14ac:dyDescent="0.25">
      <c r="D668" s="148"/>
      <c r="E668" s="148"/>
      <c r="F668" s="148"/>
      <c r="G668" s="148"/>
      <c r="H668" s="148"/>
      <c r="I668" s="148"/>
      <c r="J668" s="148"/>
      <c r="K668" s="148"/>
      <c r="L668" s="148"/>
      <c r="M668" s="148"/>
      <c r="N668" s="148"/>
      <c r="O668" s="148"/>
      <c r="P668" s="148"/>
      <c r="Q668" s="148"/>
      <c r="R668" s="148"/>
      <c r="S668" s="148"/>
    </row>
    <row r="669" spans="4:19" x14ac:dyDescent="0.25">
      <c r="D669" s="148"/>
      <c r="E669" s="148"/>
      <c r="F669" s="148"/>
      <c r="G669" s="148"/>
      <c r="H669" s="148"/>
      <c r="I669" s="148"/>
      <c r="J669" s="148"/>
      <c r="K669" s="148"/>
      <c r="L669" s="148"/>
      <c r="M669" s="148"/>
      <c r="N669" s="148"/>
      <c r="O669" s="148"/>
      <c r="P669" s="148"/>
      <c r="Q669" s="148"/>
      <c r="R669" s="148"/>
      <c r="S669" s="148"/>
    </row>
    <row r="670" spans="4:19" x14ac:dyDescent="0.25">
      <c r="D670" s="148"/>
      <c r="E670" s="148"/>
      <c r="F670" s="148"/>
      <c r="G670" s="148"/>
      <c r="H670" s="148"/>
      <c r="I670" s="148"/>
      <c r="J670" s="148"/>
      <c r="K670" s="148"/>
      <c r="L670" s="148"/>
      <c r="M670" s="148"/>
      <c r="N670" s="148"/>
      <c r="O670" s="148"/>
      <c r="P670" s="148"/>
      <c r="Q670" s="148"/>
      <c r="R670" s="148"/>
      <c r="S670" s="148"/>
    </row>
    <row r="671" spans="4:19" x14ac:dyDescent="0.25">
      <c r="D671" s="148"/>
      <c r="E671" s="148"/>
      <c r="F671" s="148"/>
      <c r="G671" s="148"/>
      <c r="H671" s="148"/>
      <c r="I671" s="148"/>
      <c r="J671" s="148"/>
      <c r="K671" s="148"/>
      <c r="L671" s="148"/>
      <c r="M671" s="148"/>
      <c r="N671" s="148"/>
      <c r="O671" s="148"/>
      <c r="P671" s="148"/>
      <c r="Q671" s="148"/>
      <c r="R671" s="148"/>
      <c r="S671" s="148"/>
    </row>
    <row r="672" spans="4:19" x14ac:dyDescent="0.25">
      <c r="D672" s="148"/>
      <c r="E672" s="148"/>
      <c r="F672" s="148"/>
      <c r="G672" s="148"/>
      <c r="H672" s="148"/>
      <c r="I672" s="148"/>
      <c r="J672" s="148"/>
      <c r="K672" s="148"/>
      <c r="L672" s="148"/>
      <c r="M672" s="148"/>
      <c r="N672" s="148"/>
      <c r="O672" s="148"/>
      <c r="P672" s="148"/>
      <c r="Q672" s="148"/>
      <c r="R672" s="148"/>
      <c r="S672" s="148"/>
    </row>
    <row r="673" spans="4:19" x14ac:dyDescent="0.25">
      <c r="D673" s="148"/>
      <c r="E673" s="148"/>
      <c r="F673" s="148"/>
      <c r="G673" s="148"/>
      <c r="H673" s="148"/>
      <c r="I673" s="148"/>
      <c r="J673" s="148"/>
      <c r="K673" s="148"/>
      <c r="L673" s="148"/>
      <c r="M673" s="148"/>
      <c r="N673" s="148"/>
      <c r="O673" s="148"/>
      <c r="P673" s="148"/>
      <c r="Q673" s="148"/>
      <c r="R673" s="148"/>
      <c r="S673" s="148"/>
    </row>
    <row r="674" spans="4:19" x14ac:dyDescent="0.25">
      <c r="D674" s="148"/>
      <c r="E674" s="148"/>
      <c r="F674" s="148"/>
      <c r="G674" s="148"/>
      <c r="H674" s="148"/>
      <c r="I674" s="148"/>
      <c r="J674" s="148"/>
      <c r="K674" s="148"/>
      <c r="L674" s="148"/>
      <c r="M674" s="148"/>
      <c r="N674" s="148"/>
      <c r="O674" s="148"/>
      <c r="P674" s="148"/>
      <c r="Q674" s="148"/>
      <c r="R674" s="148"/>
      <c r="S674" s="148"/>
    </row>
    <row r="675" spans="4:19" x14ac:dyDescent="0.25">
      <c r="D675" s="148"/>
      <c r="E675" s="148"/>
      <c r="F675" s="148"/>
      <c r="G675" s="148"/>
      <c r="H675" s="148"/>
      <c r="I675" s="148"/>
      <c r="J675" s="148"/>
      <c r="K675" s="148"/>
      <c r="L675" s="148"/>
      <c r="M675" s="148"/>
      <c r="N675" s="148"/>
      <c r="O675" s="148"/>
      <c r="P675" s="148"/>
      <c r="Q675" s="148"/>
      <c r="R675" s="148"/>
      <c r="S675" s="148"/>
    </row>
    <row r="676" spans="4:19" x14ac:dyDescent="0.25">
      <c r="D676" s="148"/>
      <c r="E676" s="148"/>
      <c r="F676" s="148"/>
      <c r="G676" s="148"/>
      <c r="H676" s="148"/>
      <c r="I676" s="148"/>
      <c r="J676" s="148"/>
      <c r="K676" s="148"/>
      <c r="L676" s="148"/>
      <c r="M676" s="148"/>
      <c r="N676" s="148"/>
      <c r="O676" s="148"/>
      <c r="P676" s="148"/>
      <c r="Q676" s="148"/>
      <c r="R676" s="148"/>
      <c r="S676" s="148"/>
    </row>
    <row r="677" spans="4:19" x14ac:dyDescent="0.25">
      <c r="D677" s="148"/>
      <c r="E677" s="148"/>
      <c r="F677" s="148"/>
      <c r="G677" s="148"/>
      <c r="H677" s="148"/>
      <c r="I677" s="148"/>
      <c r="J677" s="148"/>
      <c r="K677" s="148"/>
      <c r="L677" s="148"/>
      <c r="M677" s="148"/>
      <c r="N677" s="148"/>
      <c r="O677" s="148"/>
      <c r="P677" s="148"/>
      <c r="Q677" s="148"/>
      <c r="R677" s="148"/>
      <c r="S677" s="148"/>
    </row>
    <row r="678" spans="4:19" x14ac:dyDescent="0.25">
      <c r="D678" s="148"/>
      <c r="E678" s="148"/>
      <c r="F678" s="148"/>
      <c r="G678" s="148"/>
      <c r="H678" s="148"/>
      <c r="I678" s="148"/>
      <c r="J678" s="148"/>
      <c r="K678" s="148"/>
      <c r="L678" s="148"/>
      <c r="M678" s="148"/>
      <c r="N678" s="148"/>
      <c r="O678" s="148"/>
      <c r="P678" s="148"/>
      <c r="Q678" s="148"/>
      <c r="R678" s="148"/>
      <c r="S678" s="148"/>
    </row>
    <row r="679" spans="4:19" x14ac:dyDescent="0.25">
      <c r="D679" s="148"/>
      <c r="E679" s="148"/>
      <c r="F679" s="148"/>
      <c r="G679" s="148"/>
      <c r="H679" s="148"/>
      <c r="I679" s="148"/>
      <c r="J679" s="148"/>
      <c r="K679" s="148"/>
      <c r="L679" s="148"/>
      <c r="M679" s="148"/>
      <c r="N679" s="148"/>
      <c r="O679" s="148"/>
      <c r="P679" s="148"/>
      <c r="Q679" s="148"/>
      <c r="R679" s="148"/>
      <c r="S679" s="148"/>
    </row>
    <row r="680" spans="4:19" x14ac:dyDescent="0.25">
      <c r="D680" s="148"/>
      <c r="E680" s="148"/>
      <c r="F680" s="148"/>
      <c r="G680" s="148"/>
      <c r="H680" s="148"/>
      <c r="I680" s="148"/>
      <c r="J680" s="148"/>
      <c r="K680" s="148"/>
      <c r="L680" s="148"/>
      <c r="M680" s="148"/>
      <c r="N680" s="148"/>
      <c r="O680" s="148"/>
      <c r="P680" s="148"/>
      <c r="Q680" s="148"/>
      <c r="R680" s="148"/>
      <c r="S680" s="148"/>
    </row>
    <row r="681" spans="4:19" x14ac:dyDescent="0.25">
      <c r="D681" s="148"/>
      <c r="E681" s="148"/>
      <c r="F681" s="148"/>
      <c r="G681" s="148"/>
      <c r="H681" s="148"/>
      <c r="I681" s="148"/>
      <c r="J681" s="148"/>
      <c r="K681" s="148"/>
      <c r="L681" s="148"/>
      <c r="M681" s="148"/>
      <c r="N681" s="148"/>
      <c r="O681" s="148"/>
      <c r="P681" s="148"/>
      <c r="Q681" s="148"/>
      <c r="R681" s="148"/>
      <c r="S681" s="148"/>
    </row>
    <row r="682" spans="4:19" x14ac:dyDescent="0.25">
      <c r="D682" s="148"/>
      <c r="E682" s="148"/>
      <c r="F682" s="148"/>
      <c r="G682" s="148"/>
      <c r="H682" s="148"/>
      <c r="I682" s="148"/>
      <c r="J682" s="148"/>
      <c r="K682" s="148"/>
      <c r="L682" s="148"/>
      <c r="M682" s="148"/>
      <c r="N682" s="148"/>
      <c r="O682" s="148"/>
      <c r="P682" s="148"/>
      <c r="Q682" s="148"/>
      <c r="R682" s="148"/>
      <c r="S682" s="148"/>
    </row>
    <row r="683" spans="4:19" x14ac:dyDescent="0.25">
      <c r="D683" s="148"/>
      <c r="E683" s="148"/>
      <c r="F683" s="148"/>
      <c r="G683" s="148"/>
      <c r="H683" s="148"/>
      <c r="I683" s="148"/>
      <c r="J683" s="148"/>
      <c r="K683" s="148"/>
      <c r="L683" s="148"/>
      <c r="M683" s="148"/>
      <c r="N683" s="148"/>
      <c r="O683" s="148"/>
      <c r="P683" s="148"/>
      <c r="Q683" s="148"/>
      <c r="R683" s="148"/>
      <c r="S683" s="148"/>
    </row>
    <row r="684" spans="4:19" x14ac:dyDescent="0.25">
      <c r="D684" s="148"/>
      <c r="E684" s="148"/>
      <c r="F684" s="148"/>
      <c r="G684" s="148"/>
      <c r="H684" s="148"/>
      <c r="I684" s="148"/>
      <c r="J684" s="148"/>
      <c r="K684" s="148"/>
      <c r="L684" s="148"/>
      <c r="M684" s="148"/>
      <c r="N684" s="148"/>
      <c r="O684" s="148"/>
      <c r="P684" s="148"/>
      <c r="Q684" s="148"/>
      <c r="R684" s="148"/>
      <c r="S684" s="148"/>
    </row>
    <row r="685" spans="4:19" x14ac:dyDescent="0.25">
      <c r="D685" s="148"/>
      <c r="E685" s="148"/>
      <c r="F685" s="148"/>
      <c r="G685" s="148"/>
      <c r="H685" s="148"/>
      <c r="I685" s="148"/>
      <c r="J685" s="148"/>
      <c r="K685" s="148"/>
      <c r="L685" s="148"/>
      <c r="M685" s="148"/>
      <c r="N685" s="148"/>
      <c r="O685" s="148"/>
      <c r="P685" s="148"/>
      <c r="Q685" s="148"/>
      <c r="R685" s="148"/>
      <c r="S685" s="148"/>
    </row>
    <row r="686" spans="4:19" x14ac:dyDescent="0.25">
      <c r="D686" s="148"/>
      <c r="E686" s="148"/>
      <c r="F686" s="148"/>
      <c r="G686" s="148"/>
      <c r="H686" s="148"/>
      <c r="I686" s="148"/>
      <c r="J686" s="148"/>
      <c r="K686" s="148"/>
      <c r="L686" s="148"/>
      <c r="M686" s="148"/>
      <c r="N686" s="148"/>
      <c r="O686" s="148"/>
      <c r="P686" s="148"/>
      <c r="Q686" s="148"/>
      <c r="R686" s="148"/>
      <c r="S686" s="148"/>
    </row>
    <row r="687" spans="4:19" x14ac:dyDescent="0.25">
      <c r="D687" s="148"/>
      <c r="E687" s="148"/>
      <c r="F687" s="148"/>
      <c r="G687" s="148"/>
      <c r="H687" s="148"/>
      <c r="I687" s="148"/>
      <c r="J687" s="148"/>
      <c r="K687" s="148"/>
      <c r="L687" s="148"/>
      <c r="M687" s="148"/>
      <c r="N687" s="148"/>
      <c r="O687" s="148"/>
      <c r="P687" s="148"/>
      <c r="Q687" s="148"/>
      <c r="R687" s="148"/>
      <c r="S687" s="148"/>
    </row>
    <row r="688" spans="4:19" x14ac:dyDescent="0.25">
      <c r="D688" s="148"/>
      <c r="E688" s="148"/>
      <c r="F688" s="148"/>
      <c r="G688" s="148"/>
      <c r="H688" s="148"/>
      <c r="I688" s="148"/>
      <c r="J688" s="148"/>
      <c r="K688" s="148"/>
      <c r="L688" s="148"/>
      <c r="M688" s="148"/>
      <c r="N688" s="148"/>
      <c r="O688" s="148"/>
      <c r="P688" s="148"/>
      <c r="Q688" s="148"/>
      <c r="R688" s="148"/>
      <c r="S688" s="148"/>
    </row>
    <row r="689" spans="4:19" x14ac:dyDescent="0.25">
      <c r="D689" s="148"/>
      <c r="E689" s="148"/>
      <c r="F689" s="148"/>
      <c r="G689" s="148"/>
      <c r="H689" s="148"/>
      <c r="I689" s="148"/>
      <c r="J689" s="148"/>
      <c r="K689" s="148"/>
      <c r="L689" s="148"/>
      <c r="M689" s="148"/>
      <c r="N689" s="148"/>
      <c r="O689" s="148"/>
      <c r="P689" s="148"/>
      <c r="Q689" s="148"/>
      <c r="R689" s="148"/>
      <c r="S689" s="148"/>
    </row>
    <row r="690" spans="4:19" x14ac:dyDescent="0.25">
      <c r="D690" s="148"/>
      <c r="E690" s="148"/>
      <c r="F690" s="148"/>
      <c r="G690" s="148"/>
      <c r="H690" s="148"/>
      <c r="I690" s="148"/>
      <c r="J690" s="148"/>
      <c r="K690" s="148"/>
      <c r="L690" s="148"/>
      <c r="M690" s="148"/>
      <c r="N690" s="148"/>
      <c r="O690" s="148"/>
      <c r="P690" s="148"/>
      <c r="Q690" s="148"/>
      <c r="R690" s="148"/>
      <c r="S690" s="148"/>
    </row>
    <row r="691" spans="4:19" x14ac:dyDescent="0.25">
      <c r="D691" s="148"/>
      <c r="E691" s="148"/>
      <c r="F691" s="148"/>
      <c r="G691" s="148"/>
      <c r="H691" s="148"/>
      <c r="I691" s="148"/>
      <c r="J691" s="148"/>
      <c r="K691" s="148"/>
      <c r="L691" s="148"/>
      <c r="M691" s="148"/>
      <c r="N691" s="148"/>
      <c r="O691" s="148"/>
      <c r="P691" s="148"/>
      <c r="Q691" s="148"/>
      <c r="R691" s="148"/>
      <c r="S691" s="148"/>
    </row>
    <row r="692" spans="4:19" x14ac:dyDescent="0.25">
      <c r="D692" s="148"/>
      <c r="E692" s="148"/>
      <c r="F692" s="148"/>
      <c r="G692" s="148"/>
      <c r="H692" s="148"/>
      <c r="I692" s="148"/>
      <c r="J692" s="148"/>
      <c r="K692" s="148"/>
      <c r="L692" s="148"/>
      <c r="M692" s="148"/>
      <c r="N692" s="148"/>
      <c r="O692" s="148"/>
      <c r="P692" s="148"/>
      <c r="Q692" s="148"/>
      <c r="R692" s="148"/>
      <c r="S692" s="148"/>
    </row>
    <row r="693" spans="4:19" x14ac:dyDescent="0.25">
      <c r="D693" s="148"/>
      <c r="E693" s="148"/>
      <c r="F693" s="148"/>
      <c r="G693" s="148"/>
      <c r="H693" s="148"/>
      <c r="I693" s="148"/>
      <c r="J693" s="148"/>
      <c r="K693" s="148"/>
      <c r="L693" s="148"/>
      <c r="M693" s="148"/>
      <c r="N693" s="148"/>
      <c r="O693" s="148"/>
      <c r="P693" s="148"/>
      <c r="Q693" s="148"/>
      <c r="R693" s="148"/>
      <c r="S693" s="148"/>
    </row>
    <row r="694" spans="4:19" x14ac:dyDescent="0.25">
      <c r="D694" s="148"/>
      <c r="E694" s="148"/>
      <c r="F694" s="148"/>
      <c r="G694" s="148"/>
      <c r="H694" s="148"/>
      <c r="I694" s="148"/>
      <c r="J694" s="148"/>
      <c r="K694" s="148"/>
      <c r="L694" s="148"/>
      <c r="M694" s="148"/>
      <c r="N694" s="148"/>
      <c r="O694" s="148"/>
      <c r="P694" s="148"/>
      <c r="Q694" s="148"/>
      <c r="R694" s="148"/>
      <c r="S694" s="148"/>
    </row>
    <row r="695" spans="4:19" x14ac:dyDescent="0.25">
      <c r="D695" s="148"/>
      <c r="E695" s="148"/>
      <c r="F695" s="148"/>
      <c r="G695" s="148"/>
      <c r="H695" s="148"/>
      <c r="I695" s="148"/>
      <c r="J695" s="148"/>
      <c r="K695" s="148"/>
      <c r="L695" s="148"/>
      <c r="M695" s="148"/>
      <c r="N695" s="148"/>
      <c r="O695" s="148"/>
      <c r="P695" s="148"/>
      <c r="Q695" s="148"/>
      <c r="R695" s="148"/>
      <c r="S695" s="148"/>
    </row>
    <row r="696" spans="4:19" x14ac:dyDescent="0.25">
      <c r="D696" s="148"/>
      <c r="E696" s="148"/>
      <c r="F696" s="148"/>
      <c r="G696" s="148"/>
      <c r="H696" s="148"/>
      <c r="I696" s="148"/>
      <c r="J696" s="148"/>
      <c r="K696" s="148"/>
      <c r="L696" s="148"/>
      <c r="M696" s="148"/>
      <c r="N696" s="148"/>
      <c r="O696" s="148"/>
      <c r="P696" s="148"/>
      <c r="Q696" s="148"/>
      <c r="R696" s="148"/>
      <c r="S696" s="148"/>
    </row>
    <row r="697" spans="4:19" x14ac:dyDescent="0.25">
      <c r="D697" s="148"/>
      <c r="E697" s="148"/>
      <c r="F697" s="148"/>
      <c r="G697" s="148"/>
      <c r="H697" s="148"/>
      <c r="I697" s="148"/>
      <c r="J697" s="148"/>
      <c r="K697" s="148"/>
      <c r="L697" s="148"/>
      <c r="M697" s="148"/>
      <c r="N697" s="148"/>
      <c r="O697" s="148"/>
      <c r="P697" s="148"/>
      <c r="Q697" s="148"/>
      <c r="R697" s="148"/>
      <c r="S697" s="148"/>
    </row>
    <row r="698" spans="4:19" x14ac:dyDescent="0.25">
      <c r="D698" s="148"/>
      <c r="E698" s="148"/>
      <c r="F698" s="148"/>
      <c r="G698" s="148"/>
      <c r="H698" s="148"/>
      <c r="I698" s="148"/>
      <c r="J698" s="148"/>
      <c r="K698" s="148"/>
      <c r="L698" s="148"/>
      <c r="M698" s="148"/>
      <c r="N698" s="148"/>
      <c r="O698" s="148"/>
      <c r="P698" s="148"/>
      <c r="Q698" s="148"/>
      <c r="R698" s="148"/>
      <c r="S698" s="148"/>
    </row>
    <row r="699" spans="4:19" x14ac:dyDescent="0.25">
      <c r="D699" s="148"/>
      <c r="E699" s="148"/>
      <c r="F699" s="148"/>
      <c r="G699" s="148"/>
      <c r="H699" s="148"/>
      <c r="I699" s="148"/>
      <c r="J699" s="148"/>
      <c r="K699" s="148"/>
      <c r="L699" s="148"/>
      <c r="M699" s="148"/>
      <c r="N699" s="148"/>
      <c r="O699" s="148"/>
      <c r="P699" s="148"/>
      <c r="Q699" s="148"/>
      <c r="R699" s="148"/>
      <c r="S699" s="148"/>
    </row>
    <row r="700" spans="4:19" x14ac:dyDescent="0.25">
      <c r="D700" s="148"/>
      <c r="E700" s="148"/>
      <c r="F700" s="148"/>
      <c r="G700" s="148"/>
      <c r="H700" s="148"/>
      <c r="I700" s="148"/>
      <c r="J700" s="148"/>
      <c r="K700" s="148"/>
      <c r="L700" s="148"/>
      <c r="M700" s="148"/>
      <c r="N700" s="148"/>
      <c r="O700" s="148"/>
      <c r="P700" s="148"/>
      <c r="Q700" s="148"/>
      <c r="R700" s="148"/>
      <c r="S700" s="148"/>
    </row>
    <row r="701" spans="4:19" x14ac:dyDescent="0.25">
      <c r="D701" s="148"/>
      <c r="E701" s="148"/>
      <c r="F701" s="148"/>
      <c r="G701" s="148"/>
      <c r="H701" s="148"/>
      <c r="I701" s="148"/>
      <c r="J701" s="148"/>
      <c r="K701" s="148"/>
      <c r="L701" s="148"/>
      <c r="M701" s="148"/>
      <c r="N701" s="148"/>
      <c r="O701" s="148"/>
      <c r="P701" s="148"/>
      <c r="Q701" s="148"/>
      <c r="R701" s="148"/>
      <c r="S701" s="148"/>
    </row>
    <row r="702" spans="4:19" x14ac:dyDescent="0.25">
      <c r="D702" s="148"/>
      <c r="E702" s="148"/>
      <c r="F702" s="148"/>
      <c r="G702" s="148"/>
      <c r="H702" s="148"/>
      <c r="I702" s="148"/>
      <c r="J702" s="148"/>
      <c r="K702" s="148"/>
      <c r="L702" s="148"/>
      <c r="M702" s="148"/>
      <c r="N702" s="148"/>
      <c r="O702" s="148"/>
      <c r="P702" s="148"/>
      <c r="Q702" s="148"/>
      <c r="R702" s="148"/>
      <c r="S702" s="148"/>
    </row>
    <row r="703" spans="4:19" x14ac:dyDescent="0.25">
      <c r="D703" s="148"/>
      <c r="E703" s="148"/>
      <c r="F703" s="148"/>
      <c r="G703" s="148"/>
      <c r="H703" s="148"/>
      <c r="I703" s="148"/>
      <c r="J703" s="148"/>
      <c r="K703" s="148"/>
      <c r="L703" s="148"/>
      <c r="M703" s="148"/>
      <c r="N703" s="148"/>
      <c r="O703" s="148"/>
      <c r="P703" s="148"/>
      <c r="Q703" s="148"/>
      <c r="R703" s="148"/>
      <c r="S703" s="148"/>
    </row>
    <row r="704" spans="4:19" x14ac:dyDescent="0.25">
      <c r="D704" s="148"/>
      <c r="E704" s="148"/>
      <c r="F704" s="148"/>
      <c r="G704" s="148"/>
      <c r="H704" s="148"/>
      <c r="I704" s="148"/>
      <c r="J704" s="148"/>
      <c r="K704" s="148"/>
      <c r="L704" s="148"/>
      <c r="M704" s="148"/>
      <c r="N704" s="148"/>
      <c r="O704" s="148"/>
      <c r="P704" s="148"/>
      <c r="Q704" s="148"/>
      <c r="R704" s="148"/>
      <c r="S704" s="148"/>
    </row>
    <row r="705" spans="4:19" x14ac:dyDescent="0.25">
      <c r="D705" s="148"/>
      <c r="E705" s="148"/>
      <c r="F705" s="148"/>
      <c r="G705" s="148"/>
      <c r="H705" s="148"/>
      <c r="I705" s="148"/>
      <c r="J705" s="148"/>
      <c r="K705" s="148"/>
      <c r="L705" s="148"/>
      <c r="M705" s="148"/>
      <c r="N705" s="148"/>
      <c r="O705" s="148"/>
      <c r="P705" s="148"/>
      <c r="Q705" s="148"/>
      <c r="R705" s="148"/>
      <c r="S705" s="148"/>
    </row>
    <row r="706" spans="4:19" x14ac:dyDescent="0.25">
      <c r="D706" s="148"/>
      <c r="E706" s="148"/>
      <c r="F706" s="148"/>
      <c r="G706" s="148"/>
      <c r="H706" s="148"/>
      <c r="I706" s="148"/>
      <c r="J706" s="148"/>
      <c r="K706" s="148"/>
      <c r="L706" s="148"/>
      <c r="M706" s="148"/>
      <c r="N706" s="148"/>
      <c r="O706" s="148"/>
      <c r="P706" s="148"/>
      <c r="Q706" s="148"/>
      <c r="R706" s="148"/>
      <c r="S706" s="148"/>
    </row>
    <row r="707" spans="4:19" x14ac:dyDescent="0.25">
      <c r="D707" s="148"/>
      <c r="E707" s="148"/>
      <c r="F707" s="148"/>
      <c r="G707" s="148"/>
      <c r="H707" s="148"/>
      <c r="I707" s="148"/>
      <c r="J707" s="148"/>
      <c r="K707" s="148"/>
      <c r="L707" s="148"/>
      <c r="M707" s="148"/>
      <c r="N707" s="148"/>
      <c r="O707" s="148"/>
      <c r="P707" s="148"/>
      <c r="Q707" s="148"/>
      <c r="R707" s="148"/>
      <c r="S707" s="148"/>
    </row>
    <row r="708" spans="4:19" x14ac:dyDescent="0.25">
      <c r="D708" s="148"/>
      <c r="E708" s="148"/>
      <c r="F708" s="148"/>
      <c r="G708" s="148"/>
      <c r="H708" s="148"/>
      <c r="I708" s="148"/>
      <c r="J708" s="148"/>
      <c r="K708" s="148"/>
      <c r="L708" s="148"/>
      <c r="M708" s="148"/>
      <c r="N708" s="148"/>
      <c r="O708" s="148"/>
      <c r="P708" s="148"/>
      <c r="Q708" s="148"/>
      <c r="R708" s="148"/>
      <c r="S708" s="148"/>
    </row>
    <row r="709" spans="4:19" x14ac:dyDescent="0.25">
      <c r="D709" s="148"/>
      <c r="E709" s="148"/>
      <c r="F709" s="148"/>
      <c r="G709" s="148"/>
      <c r="H709" s="148"/>
      <c r="I709" s="148"/>
      <c r="J709" s="148"/>
      <c r="K709" s="148"/>
      <c r="L709" s="148"/>
      <c r="M709" s="148"/>
      <c r="N709" s="148"/>
      <c r="O709" s="148"/>
      <c r="P709" s="148"/>
      <c r="Q709" s="148"/>
      <c r="R709" s="148"/>
      <c r="S709" s="148"/>
    </row>
    <row r="710" spans="4:19" x14ac:dyDescent="0.25">
      <c r="D710" s="148"/>
      <c r="E710" s="148"/>
      <c r="F710" s="148"/>
      <c r="G710" s="148"/>
      <c r="H710" s="148"/>
      <c r="I710" s="148"/>
      <c r="J710" s="148"/>
      <c r="K710" s="148"/>
      <c r="L710" s="148"/>
      <c r="M710" s="148"/>
      <c r="N710" s="148"/>
      <c r="O710" s="148"/>
      <c r="P710" s="148"/>
      <c r="Q710" s="148"/>
      <c r="R710" s="148"/>
      <c r="S710" s="148"/>
    </row>
    <row r="711" spans="4:19" x14ac:dyDescent="0.25">
      <c r="D711" s="148"/>
      <c r="E711" s="148"/>
      <c r="F711" s="148"/>
      <c r="G711" s="148"/>
      <c r="H711" s="148"/>
      <c r="I711" s="148"/>
      <c r="J711" s="148"/>
      <c r="K711" s="148"/>
      <c r="L711" s="148"/>
      <c r="M711" s="148"/>
      <c r="N711" s="148"/>
      <c r="O711" s="148"/>
      <c r="P711" s="148"/>
      <c r="Q711" s="148"/>
      <c r="R711" s="148"/>
      <c r="S711" s="148"/>
    </row>
    <row r="712" spans="4:19" x14ac:dyDescent="0.25">
      <c r="D712" s="148"/>
      <c r="E712" s="148"/>
      <c r="F712" s="148"/>
      <c r="G712" s="148"/>
      <c r="H712" s="148"/>
      <c r="I712" s="148"/>
      <c r="J712" s="148"/>
      <c r="K712" s="148"/>
      <c r="L712" s="148"/>
      <c r="M712" s="148"/>
      <c r="N712" s="148"/>
      <c r="O712" s="148"/>
      <c r="P712" s="148"/>
      <c r="Q712" s="148"/>
      <c r="R712" s="148"/>
      <c r="S712" s="148"/>
    </row>
    <row r="713" spans="4:19" x14ac:dyDescent="0.25">
      <c r="D713" s="148"/>
      <c r="E713" s="148"/>
      <c r="F713" s="148"/>
      <c r="G713" s="148"/>
      <c r="H713" s="148"/>
      <c r="I713" s="148"/>
      <c r="J713" s="148"/>
      <c r="K713" s="148"/>
      <c r="L713" s="148"/>
      <c r="M713" s="148"/>
      <c r="N713" s="148"/>
      <c r="O713" s="148"/>
      <c r="P713" s="148"/>
      <c r="Q713" s="148"/>
      <c r="R713" s="148"/>
      <c r="S713" s="148"/>
    </row>
    <row r="714" spans="4:19" x14ac:dyDescent="0.25">
      <c r="D714" s="148"/>
      <c r="E714" s="148"/>
      <c r="F714" s="148"/>
      <c r="G714" s="148"/>
      <c r="H714" s="148"/>
      <c r="I714" s="148"/>
      <c r="J714" s="148"/>
      <c r="K714" s="148"/>
      <c r="L714" s="148"/>
      <c r="M714" s="148"/>
      <c r="N714" s="148"/>
      <c r="O714" s="148"/>
      <c r="P714" s="148"/>
      <c r="Q714" s="148"/>
      <c r="R714" s="148"/>
      <c r="S714" s="148"/>
    </row>
    <row r="715" spans="4:19" x14ac:dyDescent="0.25">
      <c r="D715" s="148"/>
      <c r="E715" s="148"/>
      <c r="F715" s="148"/>
      <c r="G715" s="148"/>
      <c r="H715" s="148"/>
      <c r="I715" s="148"/>
      <c r="J715" s="148"/>
      <c r="K715" s="148"/>
      <c r="L715" s="148"/>
      <c r="M715" s="148"/>
      <c r="N715" s="148"/>
      <c r="O715" s="148"/>
      <c r="P715" s="148"/>
      <c r="Q715" s="148"/>
      <c r="R715" s="148"/>
      <c r="S715" s="148"/>
    </row>
    <row r="716" spans="4:19" x14ac:dyDescent="0.25">
      <c r="D716" s="148"/>
      <c r="E716" s="148"/>
      <c r="F716" s="148"/>
      <c r="G716" s="148"/>
      <c r="H716" s="148"/>
      <c r="I716" s="148"/>
      <c r="J716" s="148"/>
      <c r="K716" s="148"/>
      <c r="L716" s="148"/>
      <c r="M716" s="148"/>
      <c r="N716" s="148"/>
      <c r="O716" s="148"/>
      <c r="P716" s="148"/>
      <c r="Q716" s="148"/>
      <c r="R716" s="148"/>
      <c r="S716" s="148"/>
    </row>
    <row r="717" spans="4:19" x14ac:dyDescent="0.25">
      <c r="D717" s="148"/>
      <c r="E717" s="148"/>
      <c r="F717" s="148"/>
      <c r="G717" s="148"/>
      <c r="H717" s="148"/>
      <c r="I717" s="148"/>
      <c r="J717" s="148"/>
      <c r="K717" s="148"/>
      <c r="L717" s="148"/>
      <c r="M717" s="148"/>
      <c r="N717" s="148"/>
      <c r="O717" s="148"/>
      <c r="P717" s="148"/>
      <c r="Q717" s="148"/>
      <c r="R717" s="148"/>
      <c r="S717" s="148"/>
    </row>
    <row r="718" spans="4:19" x14ac:dyDescent="0.25">
      <c r="D718" s="148"/>
      <c r="E718" s="148"/>
      <c r="F718" s="148"/>
      <c r="G718" s="148"/>
      <c r="H718" s="148"/>
      <c r="I718" s="148"/>
      <c r="J718" s="148"/>
      <c r="K718" s="148"/>
      <c r="L718" s="148"/>
      <c r="M718" s="148"/>
      <c r="N718" s="148"/>
      <c r="O718" s="148"/>
      <c r="P718" s="148"/>
      <c r="Q718" s="148"/>
      <c r="R718" s="148"/>
      <c r="S718" s="148"/>
    </row>
    <row r="719" spans="4:19" x14ac:dyDescent="0.25">
      <c r="D719" s="148"/>
      <c r="E719" s="148"/>
      <c r="F719" s="148"/>
      <c r="G719" s="148"/>
      <c r="H719" s="148"/>
      <c r="I719" s="148"/>
      <c r="J719" s="148"/>
      <c r="K719" s="148"/>
      <c r="L719" s="148"/>
      <c r="M719" s="148"/>
      <c r="N719" s="148"/>
      <c r="O719" s="148"/>
      <c r="P719" s="148"/>
      <c r="Q719" s="148"/>
      <c r="R719" s="148"/>
      <c r="S719" s="148"/>
    </row>
    <row r="720" spans="4:19" x14ac:dyDescent="0.25">
      <c r="D720" s="148"/>
      <c r="E720" s="148"/>
      <c r="F720" s="148"/>
      <c r="G720" s="148"/>
      <c r="H720" s="148"/>
      <c r="I720" s="148"/>
      <c r="J720" s="148"/>
      <c r="K720" s="148"/>
      <c r="L720" s="148"/>
      <c r="M720" s="148"/>
      <c r="N720" s="148"/>
      <c r="O720" s="148"/>
      <c r="P720" s="148"/>
      <c r="Q720" s="148"/>
      <c r="R720" s="148"/>
      <c r="S720" s="148"/>
    </row>
    <row r="721" spans="4:19" x14ac:dyDescent="0.25">
      <c r="D721" s="148"/>
      <c r="E721" s="148"/>
      <c r="F721" s="148"/>
      <c r="G721" s="148"/>
      <c r="H721" s="148"/>
      <c r="I721" s="148"/>
      <c r="J721" s="148"/>
      <c r="K721" s="148"/>
      <c r="L721" s="148"/>
      <c r="M721" s="148"/>
      <c r="N721" s="148"/>
      <c r="O721" s="148"/>
      <c r="P721" s="148"/>
      <c r="Q721" s="148"/>
      <c r="R721" s="148"/>
      <c r="S721" s="148"/>
    </row>
    <row r="722" spans="4:19" x14ac:dyDescent="0.25">
      <c r="D722" s="148"/>
      <c r="E722" s="148"/>
      <c r="F722" s="148"/>
      <c r="G722" s="148"/>
      <c r="H722" s="148"/>
      <c r="I722" s="148"/>
      <c r="J722" s="148"/>
      <c r="K722" s="148"/>
      <c r="L722" s="148"/>
      <c r="M722" s="148"/>
      <c r="N722" s="148"/>
      <c r="O722" s="148"/>
      <c r="P722" s="148"/>
      <c r="Q722" s="148"/>
      <c r="R722" s="148"/>
      <c r="S722" s="148"/>
    </row>
    <row r="723" spans="4:19" x14ac:dyDescent="0.25">
      <c r="D723" s="148"/>
      <c r="E723" s="148"/>
      <c r="F723" s="148"/>
      <c r="G723" s="148"/>
      <c r="H723" s="148"/>
      <c r="I723" s="148"/>
      <c r="J723" s="148"/>
      <c r="K723" s="148"/>
      <c r="L723" s="148"/>
      <c r="M723" s="148"/>
      <c r="N723" s="148"/>
      <c r="O723" s="148"/>
      <c r="P723" s="148"/>
      <c r="Q723" s="148"/>
      <c r="R723" s="148"/>
      <c r="S723" s="148"/>
    </row>
    <row r="724" spans="4:19" x14ac:dyDescent="0.25">
      <c r="D724" s="148"/>
      <c r="E724" s="148"/>
      <c r="F724" s="148"/>
      <c r="G724" s="148"/>
      <c r="H724" s="148"/>
      <c r="I724" s="148"/>
      <c r="J724" s="148"/>
      <c r="K724" s="148"/>
      <c r="L724" s="148"/>
      <c r="M724" s="148"/>
      <c r="N724" s="148"/>
      <c r="O724" s="148"/>
      <c r="P724" s="148"/>
      <c r="Q724" s="148"/>
      <c r="R724" s="148"/>
      <c r="S724" s="148"/>
    </row>
    <row r="725" spans="4:19" x14ac:dyDescent="0.25">
      <c r="D725" s="148"/>
      <c r="E725" s="148"/>
      <c r="F725" s="148"/>
      <c r="G725" s="148"/>
      <c r="H725" s="148"/>
      <c r="I725" s="148"/>
      <c r="J725" s="148"/>
      <c r="K725" s="148"/>
      <c r="L725" s="148"/>
      <c r="M725" s="148"/>
      <c r="N725" s="148"/>
      <c r="O725" s="148"/>
      <c r="P725" s="148"/>
      <c r="Q725" s="148"/>
      <c r="R725" s="148"/>
      <c r="S725" s="148"/>
    </row>
  </sheetData>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00FF"/>
  </sheetPr>
  <dimension ref="A1:AG668"/>
  <sheetViews>
    <sheetView topLeftCell="A2" workbookViewId="0">
      <pane xSplit="5" ySplit="5" topLeftCell="F7" activePane="bottomRight" state="frozen"/>
      <selection activeCell="A2" sqref="A2"/>
      <selection pane="topRight" activeCell="F2" sqref="F2"/>
      <selection pane="bottomLeft" activeCell="A7" sqref="A7"/>
      <selection pane="bottomRight" activeCell="A2" sqref="A2"/>
    </sheetView>
  </sheetViews>
  <sheetFormatPr defaultRowHeight="12.75" x14ac:dyDescent="0.2"/>
  <cols>
    <col min="1" max="1" width="6.42578125" style="10" customWidth="1"/>
    <col min="2" max="2" width="32" style="11" customWidth="1"/>
    <col min="3" max="3" width="35" style="11" customWidth="1"/>
    <col min="4" max="4" width="10.140625" style="10" customWidth="1"/>
    <col min="5" max="5" width="6.7109375" style="10" customWidth="1"/>
    <col min="6" max="6" width="11.85546875" style="9" customWidth="1"/>
    <col min="7" max="7" width="11.85546875" style="12" customWidth="1"/>
    <col min="8" max="8" width="11.28515625" style="9" customWidth="1"/>
    <col min="9" max="9" width="11.28515625" style="12" customWidth="1"/>
    <col min="10" max="11" width="10.7109375" style="9" customWidth="1"/>
    <col min="12" max="12" width="10.5703125" style="9" customWidth="1"/>
    <col min="13" max="13" width="13.5703125" style="13" customWidth="1"/>
    <col min="14" max="14" width="10.5703125" style="13" customWidth="1"/>
    <col min="15" max="15" width="9.85546875" style="13" customWidth="1"/>
    <col min="16" max="16" width="11.5703125" style="9" customWidth="1"/>
    <col min="17" max="17" width="12.140625" style="12" customWidth="1"/>
    <col min="18" max="18" width="9.5703125" style="9" customWidth="1"/>
    <col min="19" max="19" width="9.5703125" style="12" customWidth="1"/>
    <col min="20" max="20" width="10.85546875" style="9" customWidth="1"/>
    <col min="21" max="21" width="10.85546875" style="12" customWidth="1"/>
    <col min="22" max="22" width="10.5703125" style="9" customWidth="1"/>
    <col min="23" max="23" width="10.5703125" style="12" customWidth="1"/>
    <col min="24" max="25" width="10.28515625" style="9" customWidth="1"/>
    <col min="26" max="26" width="8.7109375" style="9" customWidth="1"/>
    <col min="27" max="27" width="11.42578125" style="13" customWidth="1"/>
    <col min="28" max="28" width="12.42578125" style="13" customWidth="1"/>
    <col min="29" max="29" width="10.140625" style="13" customWidth="1"/>
    <col min="30" max="30" width="11.7109375" style="9" customWidth="1"/>
    <col min="31" max="31" width="12.28515625" style="12" customWidth="1"/>
    <col min="32" max="33" width="8.7109375" style="9" customWidth="1"/>
    <col min="34" max="16384" width="9.140625" style="9"/>
  </cols>
  <sheetData>
    <row r="1" spans="1:33" s="1" customFormat="1" ht="12.75" hidden="1" customHeight="1" x14ac:dyDescent="0.2">
      <c r="A1" s="213"/>
      <c r="B1" s="214"/>
      <c r="C1" s="214"/>
      <c r="D1" s="215"/>
      <c r="E1" s="213"/>
      <c r="F1" s="203">
        <f t="shared" ref="F1" si="0">SUM(H1,J1,L1,M1,N1,R1)</f>
        <v>0</v>
      </c>
      <c r="G1" s="204">
        <f>SUM(I1,K1,O1,P1,Q1,S1)</f>
        <v>0</v>
      </c>
      <c r="H1" s="215"/>
      <c r="I1" s="215"/>
      <c r="J1" s="215"/>
      <c r="K1" s="215"/>
      <c r="L1" s="215"/>
      <c r="M1" s="215"/>
      <c r="N1" s="215"/>
      <c r="O1" s="215"/>
      <c r="P1" s="215"/>
      <c r="Q1" s="215"/>
      <c r="R1" s="215"/>
      <c r="S1" s="215"/>
      <c r="T1" s="205">
        <f t="shared" ref="T1" si="1">SUM(V1,X1,Z1,AA1,AB1,AF1)</f>
        <v>0</v>
      </c>
      <c r="U1" s="206">
        <f t="shared" ref="U1" si="2">SUM(W1,Y1,AC1,AD1,AE1,AG1)</f>
        <v>0</v>
      </c>
      <c r="V1" s="215"/>
      <c r="W1" s="215"/>
      <c r="X1" s="215"/>
      <c r="Y1" s="215"/>
      <c r="Z1" s="215"/>
      <c r="AA1" s="215"/>
      <c r="AB1" s="215"/>
      <c r="AC1" s="215"/>
      <c r="AD1" s="215"/>
      <c r="AE1" s="215"/>
      <c r="AF1" s="215"/>
      <c r="AG1" s="215"/>
    </row>
    <row r="2" spans="1:33" s="1" customFormat="1" ht="18.75" thickBot="1" x14ac:dyDescent="0.3">
      <c r="A2" s="216" t="s">
        <v>881</v>
      </c>
      <c r="B2" s="216"/>
      <c r="C2" s="216"/>
      <c r="D2" s="216"/>
      <c r="E2" s="216"/>
      <c r="F2" s="222" t="s">
        <v>0</v>
      </c>
      <c r="G2" s="195"/>
      <c r="H2" s="195"/>
      <c r="I2" s="195"/>
      <c r="J2" s="195"/>
      <c r="K2" s="195"/>
      <c r="L2" s="195"/>
      <c r="M2" s="195"/>
      <c r="N2" s="196"/>
      <c r="O2" s="195"/>
      <c r="P2" s="195"/>
      <c r="Q2" s="195"/>
      <c r="R2" s="197"/>
      <c r="S2" s="195"/>
      <c r="T2" s="222" t="s">
        <v>1</v>
      </c>
      <c r="U2" s="195"/>
      <c r="V2" s="195"/>
      <c r="W2" s="195"/>
      <c r="X2" s="195"/>
      <c r="Y2" s="195"/>
      <c r="Z2" s="195"/>
      <c r="AA2" s="195"/>
      <c r="AB2" s="196"/>
      <c r="AC2" s="195"/>
      <c r="AD2" s="195"/>
      <c r="AE2" s="195"/>
      <c r="AF2" s="223"/>
      <c r="AG2" s="195"/>
    </row>
    <row r="3" spans="1:33" s="1" customFormat="1" ht="12.75" customHeight="1" thickTop="1" x14ac:dyDescent="0.2">
      <c r="A3" s="217" t="s">
        <v>223</v>
      </c>
      <c r="B3" s="218"/>
      <c r="C3" s="218"/>
      <c r="D3" s="218"/>
      <c r="E3" s="218"/>
      <c r="F3" s="2" t="s">
        <v>2</v>
      </c>
      <c r="G3" s="3"/>
      <c r="H3" s="191"/>
      <c r="I3" s="224"/>
      <c r="J3" s="191"/>
      <c r="K3" s="225"/>
      <c r="L3" s="190" t="s">
        <v>3</v>
      </c>
      <c r="M3" s="192"/>
      <c r="N3" s="193"/>
      <c r="O3" s="4"/>
      <c r="P3" s="5"/>
      <c r="Q3" s="5"/>
      <c r="R3" s="226"/>
      <c r="S3" s="225"/>
      <c r="T3" s="2" t="s">
        <v>2</v>
      </c>
      <c r="U3" s="3"/>
      <c r="V3" s="191"/>
      <c r="W3" s="225"/>
      <c r="X3" s="191"/>
      <c r="Y3" s="225"/>
      <c r="Z3" s="190" t="s">
        <v>3</v>
      </c>
      <c r="AA3" s="192"/>
      <c r="AB3" s="193"/>
      <c r="AC3" s="200"/>
      <c r="AD3" s="201"/>
      <c r="AE3" s="201"/>
      <c r="AF3" s="226"/>
      <c r="AG3" s="225"/>
    </row>
    <row r="4" spans="1:33" s="1" customFormat="1" ht="127.5" x14ac:dyDescent="0.2">
      <c r="A4" s="219" t="s">
        <v>224</v>
      </c>
      <c r="B4" s="220"/>
      <c r="C4" s="220"/>
      <c r="D4" s="220"/>
      <c r="E4" s="220"/>
      <c r="F4" s="187" t="s">
        <v>766</v>
      </c>
      <c r="G4" s="188"/>
      <c r="H4" s="689" t="s">
        <v>194</v>
      </c>
      <c r="I4" s="690"/>
      <c r="J4" s="190" t="s">
        <v>195</v>
      </c>
      <c r="K4" s="189"/>
      <c r="L4" s="202" t="s">
        <v>7</v>
      </c>
      <c r="M4" s="202" t="s">
        <v>196</v>
      </c>
      <c r="N4" s="198" t="s">
        <v>197</v>
      </c>
      <c r="O4" s="194" t="s">
        <v>7</v>
      </c>
      <c r="P4" s="194" t="s">
        <v>196</v>
      </c>
      <c r="Q4" s="194" t="s">
        <v>198</v>
      </c>
      <c r="R4" s="199" t="s">
        <v>199</v>
      </c>
      <c r="S4" s="189"/>
      <c r="T4" s="187" t="s">
        <v>767</v>
      </c>
      <c r="U4" s="188"/>
      <c r="V4" s="190" t="s">
        <v>194</v>
      </c>
      <c r="W4" s="189"/>
      <c r="X4" s="190" t="s">
        <v>195</v>
      </c>
      <c r="Y4" s="189"/>
      <c r="Z4" s="202" t="s">
        <v>7</v>
      </c>
      <c r="AA4" s="202" t="s">
        <v>196</v>
      </c>
      <c r="AB4" s="198" t="s">
        <v>197</v>
      </c>
      <c r="AC4" s="194" t="s">
        <v>7</v>
      </c>
      <c r="AD4" s="194" t="s">
        <v>196</v>
      </c>
      <c r="AE4" s="194" t="s">
        <v>198</v>
      </c>
      <c r="AF4" s="199" t="s">
        <v>199</v>
      </c>
      <c r="AG4" s="189"/>
    </row>
    <row r="5" spans="1:33" s="186" customFormat="1" ht="38.25" customHeight="1" thickBot="1" x14ac:dyDescent="0.25">
      <c r="A5" s="179" t="s">
        <v>4</v>
      </c>
      <c r="B5" s="180" t="s">
        <v>5</v>
      </c>
      <c r="C5" s="221" t="s">
        <v>225</v>
      </c>
      <c r="D5" s="181" t="s">
        <v>193</v>
      </c>
      <c r="E5" s="182" t="s">
        <v>6</v>
      </c>
      <c r="F5" s="315">
        <v>2011</v>
      </c>
      <c r="G5" s="183">
        <v>2012</v>
      </c>
      <c r="H5" s="184">
        <v>2011</v>
      </c>
      <c r="I5" s="185">
        <v>2012</v>
      </c>
      <c r="J5" s="184">
        <v>2011</v>
      </c>
      <c r="K5" s="316">
        <v>2012</v>
      </c>
      <c r="L5" s="317">
        <v>2011</v>
      </c>
      <c r="M5" s="184">
        <v>2011</v>
      </c>
      <c r="N5" s="184">
        <v>2011</v>
      </c>
      <c r="O5" s="185">
        <v>2012</v>
      </c>
      <c r="P5" s="185">
        <v>2012</v>
      </c>
      <c r="Q5" s="316">
        <v>2012</v>
      </c>
      <c r="R5" s="317">
        <v>2011</v>
      </c>
      <c r="S5" s="316">
        <v>2012</v>
      </c>
      <c r="T5" s="315">
        <v>2011</v>
      </c>
      <c r="U5" s="183">
        <v>2012</v>
      </c>
      <c r="V5" s="184">
        <v>2011</v>
      </c>
      <c r="W5" s="185">
        <v>2012</v>
      </c>
      <c r="X5" s="184">
        <v>2011</v>
      </c>
      <c r="Y5" s="316">
        <v>2012</v>
      </c>
      <c r="Z5" s="317">
        <v>2011</v>
      </c>
      <c r="AA5" s="184">
        <v>2011</v>
      </c>
      <c r="AB5" s="184">
        <v>2011</v>
      </c>
      <c r="AC5" s="185">
        <v>2012</v>
      </c>
      <c r="AD5" s="185">
        <v>2012</v>
      </c>
      <c r="AE5" s="316">
        <v>2012</v>
      </c>
      <c r="AF5" s="317">
        <v>2011</v>
      </c>
      <c r="AG5" s="185">
        <v>2012</v>
      </c>
    </row>
    <row r="6" spans="1:33" s="1" customFormat="1" ht="40.5" hidden="1" customHeight="1" thickTop="1" x14ac:dyDescent="0.2">
      <c r="A6" s="6" t="s">
        <v>4</v>
      </c>
      <c r="B6" s="7" t="s">
        <v>5</v>
      </c>
      <c r="C6" s="7" t="s">
        <v>200</v>
      </c>
      <c r="D6" s="6" t="s">
        <v>8</v>
      </c>
      <c r="E6" s="6" t="s">
        <v>9</v>
      </c>
      <c r="F6" s="8" t="s">
        <v>10</v>
      </c>
      <c r="G6" s="8" t="s">
        <v>11</v>
      </c>
      <c r="H6" s="8" t="s">
        <v>12</v>
      </c>
      <c r="I6" s="8" t="s">
        <v>13</v>
      </c>
      <c r="J6" s="8" t="s">
        <v>14</v>
      </c>
      <c r="K6" s="8" t="s">
        <v>15</v>
      </c>
      <c r="L6" s="8" t="s">
        <v>16</v>
      </c>
      <c r="M6" s="8" t="s">
        <v>17</v>
      </c>
      <c r="N6" s="8" t="s">
        <v>18</v>
      </c>
      <c r="O6" s="8" t="s">
        <v>19</v>
      </c>
      <c r="P6" s="8" t="s">
        <v>20</v>
      </c>
      <c r="Q6" s="8" t="s">
        <v>21</v>
      </c>
      <c r="R6" s="8" t="s">
        <v>22</v>
      </c>
      <c r="S6" s="8" t="s">
        <v>23</v>
      </c>
      <c r="T6" s="8" t="s">
        <v>24</v>
      </c>
      <c r="U6" s="8" t="s">
        <v>25</v>
      </c>
      <c r="V6" s="8" t="s">
        <v>26</v>
      </c>
      <c r="W6" s="8" t="s">
        <v>27</v>
      </c>
      <c r="X6" s="8" t="s">
        <v>28</v>
      </c>
      <c r="Y6" s="8" t="s">
        <v>29</v>
      </c>
      <c r="Z6" s="8" t="s">
        <v>30</v>
      </c>
      <c r="AA6" s="8" t="s">
        <v>31</v>
      </c>
      <c r="AB6" s="8" t="s">
        <v>32</v>
      </c>
      <c r="AC6" s="8" t="s">
        <v>33</v>
      </c>
      <c r="AD6" s="8" t="s">
        <v>34</v>
      </c>
      <c r="AE6" s="8" t="s">
        <v>35</v>
      </c>
      <c r="AF6" s="8" t="s">
        <v>36</v>
      </c>
      <c r="AG6" s="8" t="s">
        <v>37</v>
      </c>
    </row>
    <row r="7" spans="1:33" ht="15" customHeight="1" thickTop="1" x14ac:dyDescent="0.2">
      <c r="A7" s="504" t="s">
        <v>38</v>
      </c>
      <c r="B7" s="390" t="s">
        <v>475</v>
      </c>
      <c r="C7" s="409"/>
      <c r="D7" s="330">
        <v>100858</v>
      </c>
      <c r="E7" s="330">
        <v>1</v>
      </c>
      <c r="F7" s="235">
        <f t="shared" ref="F7" si="3">SUM(H7,J7,L7,M7,N7,R7)</f>
        <v>593278</v>
      </c>
      <c r="G7" s="234">
        <f t="shared" ref="G7" si="4">SUM(I7,K7,O7,P7,Q7,S7)</f>
        <v>594315</v>
      </c>
      <c r="H7" s="392">
        <v>587042</v>
      </c>
      <c r="I7" s="393">
        <v>584270</v>
      </c>
      <c r="J7" s="392">
        <v>0</v>
      </c>
      <c r="K7" s="516"/>
      <c r="L7" s="238">
        <v>1355</v>
      </c>
      <c r="M7" s="392"/>
      <c r="N7" s="392">
        <v>4881</v>
      </c>
      <c r="O7" s="393">
        <v>1801</v>
      </c>
      <c r="P7" s="393"/>
      <c r="Q7" s="516">
        <v>8244</v>
      </c>
      <c r="R7" s="392"/>
      <c r="S7" s="516"/>
      <c r="T7" s="236">
        <f t="shared" ref="T7" si="5">SUM(V7,X7,Z7,AA7,AB7,AF7)</f>
        <v>95050</v>
      </c>
      <c r="U7" s="237">
        <f t="shared" ref="U7" si="6">SUM(W7,Y7,AC7,AD7,AE7,AG7)</f>
        <v>111608</v>
      </c>
      <c r="V7" s="392">
        <v>82043</v>
      </c>
      <c r="W7" s="393">
        <v>98049</v>
      </c>
      <c r="X7" s="394">
        <v>1872</v>
      </c>
      <c r="Y7" s="516">
        <v>2053</v>
      </c>
      <c r="Z7" s="392">
        <v>2111</v>
      </c>
      <c r="AA7" s="392"/>
      <c r="AB7" s="392">
        <v>9024</v>
      </c>
      <c r="AC7" s="393">
        <v>1998</v>
      </c>
      <c r="AD7" s="393"/>
      <c r="AE7" s="516">
        <v>9508</v>
      </c>
      <c r="AF7" s="392"/>
      <c r="AG7" s="393"/>
    </row>
    <row r="8" spans="1:33" ht="15" customHeight="1" x14ac:dyDescent="0.2">
      <c r="A8" s="504" t="s">
        <v>38</v>
      </c>
      <c r="B8" s="390" t="s">
        <v>476</v>
      </c>
      <c r="C8" s="409"/>
      <c r="D8" s="330">
        <v>100751</v>
      </c>
      <c r="E8" s="330">
        <v>1</v>
      </c>
      <c r="F8" s="235">
        <f t="shared" ref="F8:F71" si="7">SUM(H8,J8,L8,M8,N8,R8)</f>
        <v>730281</v>
      </c>
      <c r="G8" s="234">
        <f t="shared" ref="G8:G71" si="8">SUM(I8,K8,O8,P8,Q8,S8)</f>
        <v>779443</v>
      </c>
      <c r="H8" s="238">
        <v>684175</v>
      </c>
      <c r="I8" s="239">
        <v>725189</v>
      </c>
      <c r="J8" s="238">
        <v>180</v>
      </c>
      <c r="K8" s="240">
        <v>154</v>
      </c>
      <c r="L8" s="238">
        <v>45450</v>
      </c>
      <c r="M8" s="238">
        <v>476</v>
      </c>
      <c r="N8" s="238">
        <v>0</v>
      </c>
      <c r="O8" s="239">
        <v>53661</v>
      </c>
      <c r="P8" s="239">
        <v>388</v>
      </c>
      <c r="Q8" s="240">
        <v>51</v>
      </c>
      <c r="R8" s="238">
        <v>0</v>
      </c>
      <c r="S8" s="240"/>
      <c r="T8" s="236">
        <f t="shared" ref="T8:T71" si="9">SUM(V8,X8,Z8,AA8,AB8,AF8)</f>
        <v>99028</v>
      </c>
      <c r="U8" s="237">
        <f t="shared" ref="U8:U71" si="10">SUM(W8,Y8,AC8,AD8,AE8,AG8)</f>
        <v>98561</v>
      </c>
      <c r="V8" s="238">
        <v>80866</v>
      </c>
      <c r="W8" s="239">
        <v>79754</v>
      </c>
      <c r="X8" s="241">
        <v>5125</v>
      </c>
      <c r="Y8" s="240">
        <v>3776</v>
      </c>
      <c r="Z8" s="238">
        <v>12701</v>
      </c>
      <c r="AA8" s="238">
        <v>336</v>
      </c>
      <c r="AB8" s="238">
        <v>0</v>
      </c>
      <c r="AC8" s="239">
        <v>14686</v>
      </c>
      <c r="AD8" s="239">
        <v>339</v>
      </c>
      <c r="AE8" s="240">
        <v>6</v>
      </c>
      <c r="AF8" s="238">
        <v>0</v>
      </c>
      <c r="AG8" s="239"/>
    </row>
    <row r="9" spans="1:33" ht="15" customHeight="1" x14ac:dyDescent="0.2">
      <c r="A9" s="504" t="s">
        <v>38</v>
      </c>
      <c r="B9" s="390" t="s">
        <v>477</v>
      </c>
      <c r="C9" s="545" t="s">
        <v>264</v>
      </c>
      <c r="D9" s="330">
        <v>100663</v>
      </c>
      <c r="E9" s="330">
        <v>2</v>
      </c>
      <c r="F9" s="235">
        <f t="shared" si="7"/>
        <v>265083</v>
      </c>
      <c r="G9" s="234">
        <f t="shared" si="8"/>
        <v>267220</v>
      </c>
      <c r="H9" s="238">
        <v>237131</v>
      </c>
      <c r="I9" s="239">
        <v>228637</v>
      </c>
      <c r="J9" s="238">
        <v>182</v>
      </c>
      <c r="K9" s="240">
        <v>517</v>
      </c>
      <c r="L9" s="238">
        <v>27629</v>
      </c>
      <c r="M9" s="238">
        <v>141</v>
      </c>
      <c r="N9" s="238">
        <v>0</v>
      </c>
      <c r="O9" s="239">
        <v>37915</v>
      </c>
      <c r="P9" s="239">
        <v>151</v>
      </c>
      <c r="Q9" s="240"/>
      <c r="R9" s="238"/>
      <c r="S9" s="240"/>
      <c r="T9" s="236">
        <f t="shared" si="9"/>
        <v>46544</v>
      </c>
      <c r="U9" s="237">
        <f t="shared" si="10"/>
        <v>45412</v>
      </c>
      <c r="V9" s="238">
        <v>38860</v>
      </c>
      <c r="W9" s="239">
        <v>36341</v>
      </c>
      <c r="X9" s="241">
        <v>1178</v>
      </c>
      <c r="Y9" s="240">
        <v>719</v>
      </c>
      <c r="Z9" s="238">
        <v>6359</v>
      </c>
      <c r="AA9" s="238">
        <v>147</v>
      </c>
      <c r="AB9" s="238">
        <v>0</v>
      </c>
      <c r="AC9" s="239">
        <v>8178</v>
      </c>
      <c r="AD9" s="239">
        <v>174</v>
      </c>
      <c r="AE9" s="240"/>
      <c r="AF9" s="238"/>
      <c r="AG9" s="239"/>
    </row>
    <row r="10" spans="1:33" ht="15" customHeight="1" x14ac:dyDescent="0.2">
      <c r="A10" s="504" t="s">
        <v>38</v>
      </c>
      <c r="B10" s="390" t="s">
        <v>478</v>
      </c>
      <c r="C10" s="409"/>
      <c r="D10" s="330">
        <v>100706</v>
      </c>
      <c r="E10" s="330">
        <v>2</v>
      </c>
      <c r="F10" s="235">
        <f t="shared" si="7"/>
        <v>155382</v>
      </c>
      <c r="G10" s="234">
        <f t="shared" si="8"/>
        <v>154824</v>
      </c>
      <c r="H10" s="238">
        <v>152840</v>
      </c>
      <c r="I10" s="239">
        <v>152187</v>
      </c>
      <c r="J10" s="238"/>
      <c r="K10" s="240"/>
      <c r="L10" s="238">
        <v>2542</v>
      </c>
      <c r="M10" s="238"/>
      <c r="N10" s="238"/>
      <c r="O10" s="239">
        <v>2637</v>
      </c>
      <c r="P10" s="239"/>
      <c r="Q10" s="240"/>
      <c r="R10" s="238"/>
      <c r="S10" s="240"/>
      <c r="T10" s="236">
        <f t="shared" si="9"/>
        <v>23176</v>
      </c>
      <c r="U10" s="237">
        <f t="shared" si="10"/>
        <v>24968</v>
      </c>
      <c r="V10" s="238">
        <v>19268</v>
      </c>
      <c r="W10" s="239">
        <v>20708</v>
      </c>
      <c r="X10" s="241"/>
      <c r="Y10" s="240"/>
      <c r="Z10" s="238">
        <v>3908</v>
      </c>
      <c r="AA10" s="238"/>
      <c r="AB10" s="238"/>
      <c r="AC10" s="239">
        <v>4260</v>
      </c>
      <c r="AD10" s="239"/>
      <c r="AE10" s="240"/>
      <c r="AF10" s="238"/>
      <c r="AG10" s="239"/>
    </row>
    <row r="11" spans="1:33" ht="15" customHeight="1" x14ac:dyDescent="0.2">
      <c r="A11" s="504" t="s">
        <v>38</v>
      </c>
      <c r="B11" s="390" t="s">
        <v>479</v>
      </c>
      <c r="C11" s="409"/>
      <c r="D11" s="330">
        <v>100654</v>
      </c>
      <c r="E11" s="330">
        <v>3</v>
      </c>
      <c r="F11" s="235">
        <f t="shared" si="7"/>
        <v>140916</v>
      </c>
      <c r="G11" s="234">
        <f t="shared" si="8"/>
        <v>113413</v>
      </c>
      <c r="H11" s="238">
        <v>140916</v>
      </c>
      <c r="I11" s="239">
        <v>112627</v>
      </c>
      <c r="J11" s="238"/>
      <c r="K11" s="240">
        <v>0</v>
      </c>
      <c r="L11" s="238"/>
      <c r="M11" s="238"/>
      <c r="N11" s="238"/>
      <c r="O11" s="239">
        <v>786</v>
      </c>
      <c r="P11" s="239"/>
      <c r="Q11" s="240"/>
      <c r="R11" s="238"/>
      <c r="S11" s="240"/>
      <c r="T11" s="236">
        <f t="shared" si="9"/>
        <v>17299</v>
      </c>
      <c r="U11" s="237">
        <f t="shared" si="10"/>
        <v>14152</v>
      </c>
      <c r="V11" s="238">
        <v>17299</v>
      </c>
      <c r="W11" s="239">
        <v>14101</v>
      </c>
      <c r="X11" s="241"/>
      <c r="Y11" s="240">
        <v>0</v>
      </c>
      <c r="Z11" s="238"/>
      <c r="AA11" s="238"/>
      <c r="AB11" s="238"/>
      <c r="AC11" s="239">
        <v>51</v>
      </c>
      <c r="AD11" s="239"/>
      <c r="AE11" s="240"/>
      <c r="AF11" s="238"/>
      <c r="AG11" s="239"/>
    </row>
    <row r="12" spans="1:33" ht="15" customHeight="1" x14ac:dyDescent="0.2">
      <c r="A12" s="504" t="s">
        <v>38</v>
      </c>
      <c r="B12" s="390" t="s">
        <v>480</v>
      </c>
      <c r="C12" s="409"/>
      <c r="D12" s="330">
        <v>101480</v>
      </c>
      <c r="E12" s="330">
        <v>3</v>
      </c>
      <c r="F12" s="235">
        <f t="shared" si="7"/>
        <v>213835</v>
      </c>
      <c r="G12" s="234">
        <f t="shared" si="8"/>
        <v>211311</v>
      </c>
      <c r="H12" s="238">
        <v>168492</v>
      </c>
      <c r="I12" s="239">
        <v>163559</v>
      </c>
      <c r="J12" s="238">
        <v>3711</v>
      </c>
      <c r="K12" s="240">
        <v>2886</v>
      </c>
      <c r="L12" s="238">
        <v>39076</v>
      </c>
      <c r="M12" s="238">
        <v>2556</v>
      </c>
      <c r="N12" s="238">
        <v>0</v>
      </c>
      <c r="O12" s="239">
        <v>42650</v>
      </c>
      <c r="P12" s="239">
        <v>2216</v>
      </c>
      <c r="Q12" s="240"/>
      <c r="R12" s="238"/>
      <c r="S12" s="240"/>
      <c r="T12" s="236">
        <f t="shared" si="9"/>
        <v>21835</v>
      </c>
      <c r="U12" s="237">
        <f t="shared" si="10"/>
        <v>6044</v>
      </c>
      <c r="V12" s="238">
        <v>10251</v>
      </c>
      <c r="W12" s="239">
        <v>6044</v>
      </c>
      <c r="X12" s="241">
        <v>0</v>
      </c>
      <c r="Y12" s="240"/>
      <c r="Z12" s="238">
        <v>11530</v>
      </c>
      <c r="AA12" s="238">
        <v>54</v>
      </c>
      <c r="AB12" s="238">
        <v>0</v>
      </c>
      <c r="AC12" s="239"/>
      <c r="AD12" s="239"/>
      <c r="AE12" s="240"/>
      <c r="AF12" s="238"/>
      <c r="AG12" s="239"/>
    </row>
    <row r="13" spans="1:33" ht="15" customHeight="1" x14ac:dyDescent="0.2">
      <c r="A13" s="504" t="s">
        <v>38</v>
      </c>
      <c r="B13" s="390" t="s">
        <v>481</v>
      </c>
      <c r="C13" s="409"/>
      <c r="D13" s="330">
        <v>102368</v>
      </c>
      <c r="E13" s="330">
        <v>3</v>
      </c>
      <c r="F13" s="235">
        <f t="shared" si="7"/>
        <v>382545</v>
      </c>
      <c r="G13" s="234">
        <f t="shared" si="8"/>
        <v>295437</v>
      </c>
      <c r="H13" s="238">
        <v>241718</v>
      </c>
      <c r="I13" s="239">
        <v>217477</v>
      </c>
      <c r="J13" s="238">
        <v>2791</v>
      </c>
      <c r="K13" s="240">
        <v>1219</v>
      </c>
      <c r="L13" s="238">
        <v>137892</v>
      </c>
      <c r="M13" s="238">
        <v>0</v>
      </c>
      <c r="N13" s="238">
        <v>144</v>
      </c>
      <c r="O13" s="239">
        <v>76237</v>
      </c>
      <c r="P13" s="239"/>
      <c r="Q13" s="240">
        <v>504</v>
      </c>
      <c r="R13" s="238">
        <v>0</v>
      </c>
      <c r="S13" s="240"/>
      <c r="T13" s="236">
        <f t="shared" si="9"/>
        <v>53610</v>
      </c>
      <c r="U13" s="237">
        <f t="shared" si="10"/>
        <v>39493</v>
      </c>
      <c r="V13" s="238">
        <v>29214</v>
      </c>
      <c r="W13" s="239">
        <v>24496</v>
      </c>
      <c r="X13" s="241">
        <v>930</v>
      </c>
      <c r="Y13" s="240">
        <v>243</v>
      </c>
      <c r="Z13" s="238">
        <v>20382</v>
      </c>
      <c r="AA13" s="238">
        <v>0</v>
      </c>
      <c r="AB13" s="238">
        <v>3084</v>
      </c>
      <c r="AC13" s="239">
        <v>13182</v>
      </c>
      <c r="AD13" s="239"/>
      <c r="AE13" s="240">
        <v>1572</v>
      </c>
      <c r="AF13" s="238">
        <v>0</v>
      </c>
      <c r="AG13" s="239"/>
    </row>
    <row r="14" spans="1:33" ht="15" customHeight="1" x14ac:dyDescent="0.2">
      <c r="A14" s="504" t="s">
        <v>38</v>
      </c>
      <c r="B14" s="390" t="s">
        <v>482</v>
      </c>
      <c r="C14" s="409"/>
      <c r="D14" s="330">
        <v>102094</v>
      </c>
      <c r="E14" s="330">
        <v>3</v>
      </c>
      <c r="F14" s="235">
        <f t="shared" si="7"/>
        <v>272824</v>
      </c>
      <c r="G14" s="234">
        <f t="shared" si="8"/>
        <v>269075</v>
      </c>
      <c r="H14" s="238">
        <v>244935</v>
      </c>
      <c r="I14" s="239">
        <v>243213</v>
      </c>
      <c r="J14" s="238">
        <v>384</v>
      </c>
      <c r="K14" s="240">
        <v>266</v>
      </c>
      <c r="L14" s="238">
        <v>27505</v>
      </c>
      <c r="M14" s="238"/>
      <c r="N14" s="238"/>
      <c r="O14" s="395">
        <v>25596</v>
      </c>
      <c r="P14" s="239"/>
      <c r="Q14" s="240"/>
      <c r="R14" s="238"/>
      <c r="S14" s="240"/>
      <c r="T14" s="236">
        <f t="shared" si="9"/>
        <v>16843</v>
      </c>
      <c r="U14" s="237">
        <f t="shared" si="10"/>
        <v>15249</v>
      </c>
      <c r="V14" s="238">
        <v>12117</v>
      </c>
      <c r="W14" s="239">
        <v>11092</v>
      </c>
      <c r="X14" s="241">
        <v>0</v>
      </c>
      <c r="Y14" s="240"/>
      <c r="Z14" s="238">
        <v>4726</v>
      </c>
      <c r="AA14" s="238"/>
      <c r="AB14" s="238"/>
      <c r="AC14" s="239">
        <v>4157</v>
      </c>
      <c r="AD14" s="239"/>
      <c r="AE14" s="240"/>
      <c r="AF14" s="238"/>
      <c r="AG14" s="239"/>
    </row>
    <row r="15" spans="1:33" ht="15" customHeight="1" x14ac:dyDescent="0.2">
      <c r="A15" s="504" t="s">
        <v>38</v>
      </c>
      <c r="B15" s="390" t="s">
        <v>483</v>
      </c>
      <c r="C15" s="409"/>
      <c r="D15" s="330">
        <v>100724</v>
      </c>
      <c r="E15" s="330">
        <v>4</v>
      </c>
      <c r="F15" s="235">
        <f t="shared" si="7"/>
        <v>156341</v>
      </c>
      <c r="G15" s="234">
        <f t="shared" si="8"/>
        <v>154272</v>
      </c>
      <c r="H15" s="238">
        <v>153807</v>
      </c>
      <c r="I15" s="396">
        <v>145743</v>
      </c>
      <c r="J15" s="238"/>
      <c r="K15" s="397">
        <v>114</v>
      </c>
      <c r="L15" s="238">
        <v>2534</v>
      </c>
      <c r="M15" s="238"/>
      <c r="N15" s="238"/>
      <c r="O15" s="396">
        <v>8415</v>
      </c>
      <c r="P15" s="239"/>
      <c r="Q15" s="240"/>
      <c r="R15" s="238"/>
      <c r="S15" s="240"/>
      <c r="T15" s="236">
        <f t="shared" si="9"/>
        <v>15442</v>
      </c>
      <c r="U15" s="237">
        <f t="shared" si="10"/>
        <v>14063</v>
      </c>
      <c r="V15" s="238">
        <v>10704</v>
      </c>
      <c r="W15" s="396">
        <v>10718</v>
      </c>
      <c r="X15" s="241">
        <v>104</v>
      </c>
      <c r="Y15" s="397">
        <v>249</v>
      </c>
      <c r="Z15" s="238">
        <v>4634</v>
      </c>
      <c r="AA15" s="238"/>
      <c r="AB15" s="238"/>
      <c r="AC15" s="396">
        <v>3096</v>
      </c>
      <c r="AD15" s="239"/>
      <c r="AE15" s="240"/>
      <c r="AF15" s="238"/>
      <c r="AG15" s="239"/>
    </row>
    <row r="16" spans="1:33" ht="15" customHeight="1" x14ac:dyDescent="0.2">
      <c r="A16" s="504" t="s">
        <v>38</v>
      </c>
      <c r="B16" s="390" t="s">
        <v>484</v>
      </c>
      <c r="C16" s="409"/>
      <c r="D16" s="330">
        <v>100830</v>
      </c>
      <c r="E16" s="330">
        <v>4</v>
      </c>
      <c r="F16" s="235">
        <f t="shared" si="7"/>
        <v>114305</v>
      </c>
      <c r="G16" s="234">
        <f t="shared" si="8"/>
        <v>109035.5</v>
      </c>
      <c r="H16" s="238">
        <v>95878</v>
      </c>
      <c r="I16" s="398">
        <v>82228</v>
      </c>
      <c r="J16" s="238">
        <v>3610</v>
      </c>
      <c r="K16" s="399">
        <v>2939</v>
      </c>
      <c r="L16" s="238">
        <v>14817</v>
      </c>
      <c r="M16" s="238">
        <v>0</v>
      </c>
      <c r="N16" s="238">
        <v>0</v>
      </c>
      <c r="O16" s="398">
        <v>23868.5</v>
      </c>
      <c r="P16" s="400"/>
      <c r="Q16" s="401"/>
      <c r="R16" s="238">
        <v>0</v>
      </c>
      <c r="S16" s="401"/>
      <c r="T16" s="236">
        <f t="shared" si="9"/>
        <v>14461</v>
      </c>
      <c r="U16" s="237">
        <f t="shared" si="10"/>
        <v>13044</v>
      </c>
      <c r="V16" s="238">
        <v>10012</v>
      </c>
      <c r="W16" s="398">
        <v>8142</v>
      </c>
      <c r="X16" s="241">
        <v>99</v>
      </c>
      <c r="Y16" s="399">
        <v>159</v>
      </c>
      <c r="Z16" s="238">
        <v>4350</v>
      </c>
      <c r="AA16" s="238">
        <v>0</v>
      </c>
      <c r="AB16" s="238">
        <v>0</v>
      </c>
      <c r="AC16" s="398">
        <v>4743</v>
      </c>
      <c r="AD16" s="400"/>
      <c r="AE16" s="401"/>
      <c r="AF16" s="238">
        <v>0</v>
      </c>
      <c r="AG16" s="400"/>
    </row>
    <row r="17" spans="1:33" ht="15" customHeight="1" x14ac:dyDescent="0.2">
      <c r="A17" s="504" t="s">
        <v>38</v>
      </c>
      <c r="B17" s="390" t="s">
        <v>485</v>
      </c>
      <c r="C17" s="409"/>
      <c r="D17" s="330">
        <v>101879</v>
      </c>
      <c r="E17" s="330">
        <v>4</v>
      </c>
      <c r="F17" s="235">
        <f t="shared" si="7"/>
        <v>161595</v>
      </c>
      <c r="G17" s="234">
        <f t="shared" si="8"/>
        <v>158715</v>
      </c>
      <c r="H17" s="238">
        <v>135985</v>
      </c>
      <c r="I17" s="398">
        <v>131422</v>
      </c>
      <c r="J17" s="238"/>
      <c r="K17" s="399">
        <v>162</v>
      </c>
      <c r="L17" s="238">
        <v>25610</v>
      </c>
      <c r="M17" s="238"/>
      <c r="N17" s="238"/>
      <c r="O17" s="398">
        <v>27131</v>
      </c>
      <c r="P17" s="239"/>
      <c r="Q17" s="240"/>
      <c r="R17" s="238"/>
      <c r="S17" s="240"/>
      <c r="T17" s="236">
        <f t="shared" si="9"/>
        <v>15321</v>
      </c>
      <c r="U17" s="237">
        <f t="shared" si="10"/>
        <v>15238</v>
      </c>
      <c r="V17" s="238">
        <v>5784</v>
      </c>
      <c r="W17" s="398">
        <v>4986</v>
      </c>
      <c r="X17" s="241">
        <v>2865</v>
      </c>
      <c r="Y17" s="399">
        <v>2543</v>
      </c>
      <c r="Z17" s="238">
        <v>6672</v>
      </c>
      <c r="AA17" s="238"/>
      <c r="AB17" s="238"/>
      <c r="AC17" s="398">
        <v>7709</v>
      </c>
      <c r="AD17" s="239"/>
      <c r="AE17" s="240"/>
      <c r="AF17" s="238"/>
      <c r="AG17" s="239"/>
    </row>
    <row r="18" spans="1:33" ht="15" customHeight="1" x14ac:dyDescent="0.2">
      <c r="A18" s="504" t="s">
        <v>38</v>
      </c>
      <c r="B18" s="390" t="s">
        <v>486</v>
      </c>
      <c r="C18" s="409"/>
      <c r="D18" s="330">
        <v>101709</v>
      </c>
      <c r="E18" s="330">
        <v>5</v>
      </c>
      <c r="F18" s="235">
        <f t="shared" si="7"/>
        <v>72476</v>
      </c>
      <c r="G18" s="234">
        <f t="shared" si="8"/>
        <v>72741</v>
      </c>
      <c r="H18" s="238">
        <v>70485</v>
      </c>
      <c r="I18" s="239">
        <v>71221</v>
      </c>
      <c r="J18" s="238">
        <v>147</v>
      </c>
      <c r="K18" s="240">
        <v>174</v>
      </c>
      <c r="L18" s="238">
        <v>1844</v>
      </c>
      <c r="M18" s="238"/>
      <c r="N18" s="238"/>
      <c r="O18" s="239">
        <v>1346</v>
      </c>
      <c r="P18" s="239"/>
      <c r="Q18" s="240"/>
      <c r="R18" s="238"/>
      <c r="S18" s="240"/>
      <c r="T18" s="236">
        <f t="shared" si="9"/>
        <v>11700</v>
      </c>
      <c r="U18" s="237">
        <f t="shared" si="10"/>
        <v>9214</v>
      </c>
      <c r="V18" s="238">
        <v>9958</v>
      </c>
      <c r="W18" s="239">
        <v>7468</v>
      </c>
      <c r="X18" s="241">
        <v>501</v>
      </c>
      <c r="Y18" s="240">
        <v>219</v>
      </c>
      <c r="Z18" s="238">
        <v>1241</v>
      </c>
      <c r="AA18" s="238"/>
      <c r="AB18" s="238"/>
      <c r="AC18" s="239">
        <v>1527</v>
      </c>
      <c r="AD18" s="239"/>
      <c r="AE18" s="240"/>
      <c r="AF18" s="238"/>
      <c r="AG18" s="239"/>
    </row>
    <row r="19" spans="1:33" ht="15" customHeight="1" x14ac:dyDescent="0.2">
      <c r="A19" s="504" t="s">
        <v>38</v>
      </c>
      <c r="B19" s="390" t="s">
        <v>487</v>
      </c>
      <c r="C19" s="409"/>
      <c r="D19" s="330">
        <v>101587</v>
      </c>
      <c r="E19" s="330">
        <v>5</v>
      </c>
      <c r="F19" s="235">
        <f t="shared" si="7"/>
        <v>52280</v>
      </c>
      <c r="G19" s="234">
        <f t="shared" si="8"/>
        <v>53001</v>
      </c>
      <c r="H19" s="238">
        <v>47725</v>
      </c>
      <c r="I19" s="402">
        <v>48129</v>
      </c>
      <c r="J19" s="238">
        <v>652</v>
      </c>
      <c r="K19" s="403">
        <v>438</v>
      </c>
      <c r="L19" s="238">
        <v>3903</v>
      </c>
      <c r="M19" s="238"/>
      <c r="N19" s="238"/>
      <c r="O19" s="402">
        <v>4434</v>
      </c>
      <c r="P19" s="239"/>
      <c r="Q19" s="240"/>
      <c r="R19" s="238"/>
      <c r="S19" s="240"/>
      <c r="T19" s="236">
        <f t="shared" si="9"/>
        <v>46585</v>
      </c>
      <c r="U19" s="237">
        <f t="shared" si="10"/>
        <v>44436</v>
      </c>
      <c r="V19" s="238">
        <v>5125</v>
      </c>
      <c r="W19" s="402">
        <v>5028</v>
      </c>
      <c r="X19" s="241">
        <v>54</v>
      </c>
      <c r="Y19" s="403">
        <v>37</v>
      </c>
      <c r="Z19" s="238">
        <v>41406</v>
      </c>
      <c r="AA19" s="238"/>
      <c r="AB19" s="238"/>
      <c r="AC19" s="402">
        <v>39371</v>
      </c>
      <c r="AD19" s="239"/>
      <c r="AE19" s="240"/>
      <c r="AF19" s="238"/>
      <c r="AG19" s="239"/>
    </row>
    <row r="20" spans="1:33" ht="15" customHeight="1" x14ac:dyDescent="0.2">
      <c r="A20" s="504" t="s">
        <v>38</v>
      </c>
      <c r="B20" s="390" t="s">
        <v>488</v>
      </c>
      <c r="C20" s="410"/>
      <c r="D20" s="411">
        <v>100812</v>
      </c>
      <c r="E20" s="330">
        <v>6</v>
      </c>
      <c r="F20" s="235">
        <f t="shared" si="7"/>
        <v>85702</v>
      </c>
      <c r="G20" s="234">
        <f t="shared" si="8"/>
        <v>83586</v>
      </c>
      <c r="H20" s="238">
        <v>20717</v>
      </c>
      <c r="I20" s="239">
        <v>28246</v>
      </c>
      <c r="J20" s="238">
        <v>3828</v>
      </c>
      <c r="K20" s="240">
        <v>5330</v>
      </c>
      <c r="L20" s="238">
        <v>61157</v>
      </c>
      <c r="M20" s="238"/>
      <c r="N20" s="238"/>
      <c r="O20" s="239">
        <v>50010</v>
      </c>
      <c r="P20" s="239"/>
      <c r="Q20" s="240"/>
      <c r="R20" s="238"/>
      <c r="S20" s="240"/>
      <c r="T20" s="236">
        <f t="shared" si="9"/>
        <v>0</v>
      </c>
      <c r="U20" s="237">
        <f t="shared" si="10"/>
        <v>0</v>
      </c>
      <c r="V20" s="238"/>
      <c r="W20" s="239"/>
      <c r="X20" s="241"/>
      <c r="Y20" s="240"/>
      <c r="Z20" s="238"/>
      <c r="AA20" s="238"/>
      <c r="AB20" s="238"/>
      <c r="AC20" s="239"/>
      <c r="AD20" s="239"/>
      <c r="AE20" s="240"/>
      <c r="AF20" s="238"/>
      <c r="AG20" s="239"/>
    </row>
    <row r="21" spans="1:33" ht="15" customHeight="1" x14ac:dyDescent="0.2">
      <c r="A21" s="504" t="s">
        <v>38</v>
      </c>
      <c r="B21" s="390" t="s">
        <v>489</v>
      </c>
      <c r="C21" s="404"/>
      <c r="D21" s="412">
        <v>101240</v>
      </c>
      <c r="E21" s="413">
        <v>8</v>
      </c>
      <c r="F21" s="235">
        <f t="shared" si="7"/>
        <v>175612</v>
      </c>
      <c r="G21" s="234">
        <f t="shared" si="8"/>
        <v>151427</v>
      </c>
      <c r="H21" s="238">
        <v>56761</v>
      </c>
      <c r="I21" s="239">
        <v>121517</v>
      </c>
      <c r="J21" s="238">
        <v>82100</v>
      </c>
      <c r="K21" s="240">
        <v>52</v>
      </c>
      <c r="L21" s="238">
        <v>36631</v>
      </c>
      <c r="M21" s="238">
        <v>60</v>
      </c>
      <c r="N21" s="238">
        <v>60</v>
      </c>
      <c r="O21" s="239">
        <v>29827</v>
      </c>
      <c r="P21" s="239"/>
      <c r="Q21" s="240">
        <v>31</v>
      </c>
      <c r="R21" s="238"/>
      <c r="S21" s="240"/>
      <c r="T21" s="236">
        <f t="shared" si="9"/>
        <v>0</v>
      </c>
      <c r="U21" s="237">
        <f t="shared" si="10"/>
        <v>0</v>
      </c>
      <c r="V21" s="238"/>
      <c r="W21" s="239"/>
      <c r="X21" s="241"/>
      <c r="Y21" s="240"/>
      <c r="Z21" s="238"/>
      <c r="AA21" s="238"/>
      <c r="AB21" s="238"/>
      <c r="AC21" s="239"/>
      <c r="AD21" s="239"/>
      <c r="AE21" s="240"/>
      <c r="AF21" s="238"/>
      <c r="AG21" s="239"/>
    </row>
    <row r="22" spans="1:33" ht="15" customHeight="1" x14ac:dyDescent="0.2">
      <c r="A22" s="504" t="s">
        <v>38</v>
      </c>
      <c r="B22" s="390" t="s">
        <v>490</v>
      </c>
      <c r="C22" s="414"/>
      <c r="D22" s="412">
        <v>101505</v>
      </c>
      <c r="E22" s="412">
        <v>8</v>
      </c>
      <c r="F22" s="235">
        <f t="shared" si="7"/>
        <v>202921</v>
      </c>
      <c r="G22" s="234">
        <f t="shared" si="8"/>
        <v>189029</v>
      </c>
      <c r="H22" s="238">
        <v>133695</v>
      </c>
      <c r="I22" s="239">
        <v>117372</v>
      </c>
      <c r="J22" s="238">
        <v>24210</v>
      </c>
      <c r="K22" s="240">
        <v>24004</v>
      </c>
      <c r="L22" s="238">
        <v>43392</v>
      </c>
      <c r="M22" s="238">
        <v>1624</v>
      </c>
      <c r="N22" s="238">
        <v>0</v>
      </c>
      <c r="O22" s="239">
        <v>46151</v>
      </c>
      <c r="P22" s="239">
        <v>1502</v>
      </c>
      <c r="Q22" s="240"/>
      <c r="R22" s="238"/>
      <c r="S22" s="240"/>
      <c r="T22" s="236">
        <f t="shared" si="9"/>
        <v>0</v>
      </c>
      <c r="U22" s="237">
        <f t="shared" si="10"/>
        <v>0</v>
      </c>
      <c r="V22" s="238"/>
      <c r="W22" s="239"/>
      <c r="X22" s="241"/>
      <c r="Y22" s="240"/>
      <c r="Z22" s="238"/>
      <c r="AA22" s="238"/>
      <c r="AB22" s="238"/>
      <c r="AC22" s="239"/>
      <c r="AD22" s="239"/>
      <c r="AE22" s="240"/>
      <c r="AF22" s="238"/>
      <c r="AG22" s="239"/>
    </row>
    <row r="23" spans="1:33" ht="15" customHeight="1" x14ac:dyDescent="0.2">
      <c r="A23" s="504" t="s">
        <v>38</v>
      </c>
      <c r="B23" s="390" t="s">
        <v>491</v>
      </c>
      <c r="C23" s="414"/>
      <c r="D23" s="412">
        <v>101514</v>
      </c>
      <c r="E23" s="412">
        <v>8</v>
      </c>
      <c r="F23" s="235">
        <f t="shared" si="7"/>
        <v>262124</v>
      </c>
      <c r="G23" s="234">
        <f t="shared" si="8"/>
        <v>246598</v>
      </c>
      <c r="H23" s="238">
        <v>203325</v>
      </c>
      <c r="I23" s="239">
        <v>193121</v>
      </c>
      <c r="J23" s="238">
        <v>5130</v>
      </c>
      <c r="K23" s="240">
        <v>2991</v>
      </c>
      <c r="L23" s="238">
        <v>31317</v>
      </c>
      <c r="M23" s="238">
        <v>0</v>
      </c>
      <c r="N23" s="238">
        <v>22352</v>
      </c>
      <c r="O23" s="239">
        <v>37652</v>
      </c>
      <c r="P23" s="239"/>
      <c r="Q23" s="240">
        <v>12834</v>
      </c>
      <c r="R23" s="238"/>
      <c r="S23" s="240"/>
      <c r="T23" s="236">
        <f t="shared" si="9"/>
        <v>0</v>
      </c>
      <c r="U23" s="237">
        <f t="shared" si="10"/>
        <v>0</v>
      </c>
      <c r="V23" s="238"/>
      <c r="W23" s="239"/>
      <c r="X23" s="241"/>
      <c r="Y23" s="240"/>
      <c r="Z23" s="238"/>
      <c r="AA23" s="238"/>
      <c r="AB23" s="238"/>
      <c r="AC23" s="239"/>
      <c r="AD23" s="239"/>
      <c r="AE23" s="240"/>
      <c r="AF23" s="238"/>
      <c r="AG23" s="239"/>
    </row>
    <row r="24" spans="1:33" ht="15" customHeight="1" x14ac:dyDescent="0.2">
      <c r="A24" s="504" t="s">
        <v>38</v>
      </c>
      <c r="B24" s="390" t="s">
        <v>492</v>
      </c>
      <c r="C24" s="328" t="s">
        <v>515</v>
      </c>
      <c r="D24" s="412">
        <v>101295</v>
      </c>
      <c r="E24" s="413">
        <v>8</v>
      </c>
      <c r="F24" s="235">
        <f t="shared" si="7"/>
        <v>160667</v>
      </c>
      <c r="G24" s="234">
        <f t="shared" si="8"/>
        <v>146585</v>
      </c>
      <c r="H24" s="238">
        <v>124287</v>
      </c>
      <c r="I24" s="239">
        <v>123755</v>
      </c>
      <c r="J24" s="238">
        <v>8717</v>
      </c>
      <c r="K24" s="240">
        <v>4189</v>
      </c>
      <c r="L24" s="238">
        <v>27606</v>
      </c>
      <c r="M24" s="238">
        <v>0</v>
      </c>
      <c r="N24" s="238">
        <v>57</v>
      </c>
      <c r="O24" s="239">
        <v>18555</v>
      </c>
      <c r="P24" s="239">
        <v>62</v>
      </c>
      <c r="Q24" s="240">
        <v>24</v>
      </c>
      <c r="R24" s="238"/>
      <c r="S24" s="240"/>
      <c r="T24" s="236">
        <f t="shared" si="9"/>
        <v>0</v>
      </c>
      <c r="U24" s="237">
        <f t="shared" si="10"/>
        <v>0</v>
      </c>
      <c r="V24" s="238"/>
      <c r="W24" s="239"/>
      <c r="X24" s="241"/>
      <c r="Y24" s="240"/>
      <c r="Z24" s="238"/>
      <c r="AA24" s="238"/>
      <c r="AB24" s="238"/>
      <c r="AC24" s="239"/>
      <c r="AD24" s="239"/>
      <c r="AE24" s="240"/>
      <c r="AF24" s="238"/>
      <c r="AG24" s="239"/>
    </row>
    <row r="25" spans="1:33" ht="15" customHeight="1" x14ac:dyDescent="0.2">
      <c r="A25" s="504" t="s">
        <v>38</v>
      </c>
      <c r="B25" s="390" t="s">
        <v>493</v>
      </c>
      <c r="C25" s="414"/>
      <c r="D25" s="412">
        <v>102429</v>
      </c>
      <c r="E25" s="412">
        <v>9</v>
      </c>
      <c r="F25" s="235">
        <f t="shared" si="7"/>
        <v>107951</v>
      </c>
      <c r="G25" s="234">
        <f t="shared" si="8"/>
        <v>92494</v>
      </c>
      <c r="H25" s="238">
        <v>30859</v>
      </c>
      <c r="I25" s="239">
        <v>25629</v>
      </c>
      <c r="J25" s="238">
        <v>56848</v>
      </c>
      <c r="K25" s="240">
        <v>45213</v>
      </c>
      <c r="L25" s="238">
        <v>16317</v>
      </c>
      <c r="M25" s="238">
        <v>3927</v>
      </c>
      <c r="N25" s="238">
        <v>0</v>
      </c>
      <c r="O25" s="239">
        <v>17559</v>
      </c>
      <c r="P25" s="239">
        <v>4093</v>
      </c>
      <c r="Q25" s="240"/>
      <c r="R25" s="238"/>
      <c r="S25" s="240"/>
      <c r="T25" s="236">
        <f t="shared" si="9"/>
        <v>0</v>
      </c>
      <c r="U25" s="237">
        <f t="shared" si="10"/>
        <v>0</v>
      </c>
      <c r="V25" s="238"/>
      <c r="W25" s="239"/>
      <c r="X25" s="241"/>
      <c r="Y25" s="240"/>
      <c r="Z25" s="238"/>
      <c r="AA25" s="238"/>
      <c r="AB25" s="238"/>
      <c r="AC25" s="239"/>
      <c r="AD25" s="239"/>
      <c r="AE25" s="240"/>
      <c r="AF25" s="238"/>
      <c r="AG25" s="239"/>
    </row>
    <row r="26" spans="1:33" ht="15" customHeight="1" x14ac:dyDescent="0.2">
      <c r="A26" s="504" t="s">
        <v>38</v>
      </c>
      <c r="B26" s="390" t="s">
        <v>494</v>
      </c>
      <c r="C26" s="406"/>
      <c r="D26" s="412">
        <v>102030</v>
      </c>
      <c r="E26" s="412">
        <v>9</v>
      </c>
      <c r="F26" s="235">
        <f t="shared" si="7"/>
        <v>90362</v>
      </c>
      <c r="G26" s="234">
        <f t="shared" si="8"/>
        <v>86829</v>
      </c>
      <c r="H26" s="238">
        <v>81066</v>
      </c>
      <c r="I26" s="239">
        <v>77325</v>
      </c>
      <c r="J26" s="238">
        <v>1131</v>
      </c>
      <c r="K26" s="240">
        <v>1397</v>
      </c>
      <c r="L26" s="238">
        <v>7055</v>
      </c>
      <c r="M26" s="238">
        <v>0</v>
      </c>
      <c r="N26" s="238">
        <v>1110</v>
      </c>
      <c r="O26" s="239">
        <v>7227</v>
      </c>
      <c r="P26" s="239"/>
      <c r="Q26" s="240">
        <v>880</v>
      </c>
      <c r="R26" s="238"/>
      <c r="S26" s="240"/>
      <c r="T26" s="236">
        <f t="shared" si="9"/>
        <v>0</v>
      </c>
      <c r="U26" s="237">
        <f t="shared" si="10"/>
        <v>0</v>
      </c>
      <c r="V26" s="238"/>
      <c r="W26" s="239"/>
      <c r="X26" s="241"/>
      <c r="Y26" s="240"/>
      <c r="Z26" s="238"/>
      <c r="AA26" s="238"/>
      <c r="AB26" s="238"/>
      <c r="AC26" s="239"/>
      <c r="AD26" s="239"/>
      <c r="AE26" s="240"/>
      <c r="AF26" s="238"/>
      <c r="AG26" s="239"/>
    </row>
    <row r="27" spans="1:33" ht="15" customHeight="1" x14ac:dyDescent="0.2">
      <c r="A27" s="504" t="s">
        <v>38</v>
      </c>
      <c r="B27" s="390" t="s">
        <v>495</v>
      </c>
      <c r="C27" s="328" t="s">
        <v>351</v>
      </c>
      <c r="D27" s="412">
        <v>100760</v>
      </c>
      <c r="E27" s="413">
        <v>9</v>
      </c>
      <c r="F27" s="235">
        <f t="shared" si="7"/>
        <v>62427</v>
      </c>
      <c r="G27" s="234">
        <f t="shared" si="8"/>
        <v>51857</v>
      </c>
      <c r="H27" s="238">
        <v>41513</v>
      </c>
      <c r="I27" s="239">
        <v>37736</v>
      </c>
      <c r="J27" s="238">
        <v>7097</v>
      </c>
      <c r="K27" s="240">
        <v>3256</v>
      </c>
      <c r="L27" s="238">
        <v>13810</v>
      </c>
      <c r="M27" s="238">
        <v>0</v>
      </c>
      <c r="N27" s="238">
        <v>0</v>
      </c>
      <c r="O27" s="239">
        <v>10865</v>
      </c>
      <c r="P27" s="239"/>
      <c r="Q27" s="240"/>
      <c r="R27" s="238">
        <v>7</v>
      </c>
      <c r="S27" s="240"/>
      <c r="T27" s="236">
        <f t="shared" si="9"/>
        <v>0</v>
      </c>
      <c r="U27" s="237">
        <f t="shared" si="10"/>
        <v>0</v>
      </c>
      <c r="V27" s="238"/>
      <c r="W27" s="239"/>
      <c r="X27" s="241"/>
      <c r="Y27" s="240"/>
      <c r="Z27" s="238"/>
      <c r="AA27" s="238"/>
      <c r="AB27" s="238"/>
      <c r="AC27" s="239"/>
      <c r="AD27" s="239"/>
      <c r="AE27" s="240"/>
      <c r="AF27" s="238"/>
      <c r="AG27" s="239"/>
    </row>
    <row r="28" spans="1:33" ht="15" customHeight="1" x14ac:dyDescent="0.2">
      <c r="A28" s="504" t="s">
        <v>38</v>
      </c>
      <c r="B28" s="390" t="s">
        <v>496</v>
      </c>
      <c r="C28" s="404"/>
      <c r="D28" s="412">
        <v>101143</v>
      </c>
      <c r="E28" s="413">
        <v>9</v>
      </c>
      <c r="F28" s="235">
        <f t="shared" si="7"/>
        <v>81749</v>
      </c>
      <c r="G28" s="234">
        <f t="shared" si="8"/>
        <v>70063</v>
      </c>
      <c r="H28" s="238">
        <v>63546</v>
      </c>
      <c r="I28" s="239">
        <v>60332</v>
      </c>
      <c r="J28" s="238">
        <v>11301</v>
      </c>
      <c r="K28" s="240">
        <v>2297</v>
      </c>
      <c r="L28" s="238">
        <v>6902</v>
      </c>
      <c r="M28" s="238">
        <v>0</v>
      </c>
      <c r="N28" s="238">
        <v>0</v>
      </c>
      <c r="O28" s="239">
        <v>7434</v>
      </c>
      <c r="P28" s="239"/>
      <c r="Q28" s="240"/>
      <c r="R28" s="238"/>
      <c r="S28" s="240"/>
      <c r="T28" s="236">
        <f t="shared" si="9"/>
        <v>0</v>
      </c>
      <c r="U28" s="237">
        <f t="shared" si="10"/>
        <v>0</v>
      </c>
      <c r="V28" s="238"/>
      <c r="W28" s="239"/>
      <c r="X28" s="241"/>
      <c r="Y28" s="240"/>
      <c r="Z28" s="238"/>
      <c r="AA28" s="238"/>
      <c r="AB28" s="238"/>
      <c r="AC28" s="239"/>
      <c r="AD28" s="239"/>
      <c r="AE28" s="240"/>
      <c r="AF28" s="238"/>
      <c r="AG28" s="239"/>
    </row>
    <row r="29" spans="1:33" ht="15" customHeight="1" x14ac:dyDescent="0.2">
      <c r="A29" s="504" t="s">
        <v>38</v>
      </c>
      <c r="B29" s="390" t="s">
        <v>497</v>
      </c>
      <c r="C29" s="414"/>
      <c r="D29" s="412">
        <v>101286</v>
      </c>
      <c r="E29" s="412">
        <v>9</v>
      </c>
      <c r="F29" s="235">
        <f t="shared" si="7"/>
        <v>125259</v>
      </c>
      <c r="G29" s="234">
        <f t="shared" si="8"/>
        <v>109789</v>
      </c>
      <c r="H29" s="238">
        <v>84094</v>
      </c>
      <c r="I29" s="239">
        <v>82460</v>
      </c>
      <c r="J29" s="238">
        <v>18691</v>
      </c>
      <c r="K29" s="240">
        <v>6418</v>
      </c>
      <c r="L29" s="238">
        <v>22474</v>
      </c>
      <c r="M29" s="238">
        <v>0</v>
      </c>
      <c r="N29" s="238">
        <v>0</v>
      </c>
      <c r="O29" s="239">
        <v>20911</v>
      </c>
      <c r="P29" s="239"/>
      <c r="Q29" s="240"/>
      <c r="R29" s="238"/>
      <c r="S29" s="240"/>
      <c r="T29" s="236">
        <f t="shared" si="9"/>
        <v>0</v>
      </c>
      <c r="U29" s="237">
        <f t="shared" si="10"/>
        <v>0</v>
      </c>
      <c r="V29" s="238"/>
      <c r="W29" s="239"/>
      <c r="X29" s="241"/>
      <c r="Y29" s="240"/>
      <c r="Z29" s="238"/>
      <c r="AA29" s="238"/>
      <c r="AB29" s="238"/>
      <c r="AC29" s="239"/>
      <c r="AD29" s="239"/>
      <c r="AE29" s="240"/>
      <c r="AF29" s="238"/>
      <c r="AG29" s="239"/>
    </row>
    <row r="30" spans="1:33" ht="15" customHeight="1" x14ac:dyDescent="0.2">
      <c r="A30" s="504" t="s">
        <v>38</v>
      </c>
      <c r="B30" s="390" t="s">
        <v>498</v>
      </c>
      <c r="C30" s="414"/>
      <c r="D30" s="412">
        <v>101161</v>
      </c>
      <c r="E30" s="412">
        <v>9</v>
      </c>
      <c r="F30" s="235">
        <f t="shared" si="7"/>
        <v>117734</v>
      </c>
      <c r="G30" s="234">
        <f t="shared" si="8"/>
        <v>116268</v>
      </c>
      <c r="H30" s="238">
        <v>51533</v>
      </c>
      <c r="I30" s="239">
        <v>54397</v>
      </c>
      <c r="J30" s="238">
        <v>36358</v>
      </c>
      <c r="K30" s="240">
        <v>38079</v>
      </c>
      <c r="L30" s="238">
        <v>22120</v>
      </c>
      <c r="M30" s="238"/>
      <c r="N30" s="238">
        <v>7723</v>
      </c>
      <c r="O30" s="239">
        <v>22229</v>
      </c>
      <c r="P30" s="239"/>
      <c r="Q30" s="240">
        <v>1563</v>
      </c>
      <c r="R30" s="238"/>
      <c r="S30" s="240"/>
      <c r="T30" s="236">
        <f t="shared" si="9"/>
        <v>0</v>
      </c>
      <c r="U30" s="237">
        <f t="shared" si="10"/>
        <v>0</v>
      </c>
      <c r="V30" s="238"/>
      <c r="W30" s="239"/>
      <c r="X30" s="241"/>
      <c r="Y30" s="240"/>
      <c r="Z30" s="238"/>
      <c r="AA30" s="238"/>
      <c r="AB30" s="238"/>
      <c r="AC30" s="239"/>
      <c r="AD30" s="239"/>
      <c r="AE30" s="240"/>
      <c r="AF30" s="238"/>
      <c r="AG30" s="239"/>
    </row>
    <row r="31" spans="1:33" ht="15" customHeight="1" x14ac:dyDescent="0.2">
      <c r="A31" s="504" t="s">
        <v>38</v>
      </c>
      <c r="B31" s="390" t="s">
        <v>499</v>
      </c>
      <c r="C31" s="414"/>
      <c r="D31" s="412">
        <v>101569</v>
      </c>
      <c r="E31" s="412">
        <v>9</v>
      </c>
      <c r="F31" s="235">
        <f t="shared" si="7"/>
        <v>114397</v>
      </c>
      <c r="G31" s="234">
        <f t="shared" si="8"/>
        <v>88129</v>
      </c>
      <c r="H31" s="238">
        <v>100389</v>
      </c>
      <c r="I31" s="239">
        <v>82522</v>
      </c>
      <c r="J31" s="238">
        <v>2623</v>
      </c>
      <c r="K31" s="240">
        <v>772</v>
      </c>
      <c r="L31" s="238">
        <v>11381</v>
      </c>
      <c r="M31" s="238">
        <v>0</v>
      </c>
      <c r="N31" s="238">
        <v>4</v>
      </c>
      <c r="O31" s="239">
        <v>4835</v>
      </c>
      <c r="P31" s="239"/>
      <c r="Q31" s="240"/>
      <c r="R31" s="238"/>
      <c r="S31" s="240"/>
      <c r="T31" s="236">
        <f t="shared" si="9"/>
        <v>0</v>
      </c>
      <c r="U31" s="237">
        <f t="shared" si="10"/>
        <v>0</v>
      </c>
      <c r="V31" s="238"/>
      <c r="W31" s="239"/>
      <c r="X31" s="241"/>
      <c r="Y31" s="240"/>
      <c r="Z31" s="238"/>
      <c r="AA31" s="238"/>
      <c r="AB31" s="238"/>
      <c r="AC31" s="239"/>
      <c r="AD31" s="239"/>
      <c r="AE31" s="240"/>
      <c r="AF31" s="238"/>
      <c r="AG31" s="239"/>
    </row>
    <row r="32" spans="1:33" ht="15" customHeight="1" x14ac:dyDescent="0.2">
      <c r="A32" s="504" t="s">
        <v>38</v>
      </c>
      <c r="B32" s="405" t="s">
        <v>500</v>
      </c>
      <c r="C32" s="406"/>
      <c r="D32" s="330">
        <v>101897</v>
      </c>
      <c r="E32" s="413">
        <v>9</v>
      </c>
      <c r="F32" s="235">
        <f t="shared" si="7"/>
        <v>84621</v>
      </c>
      <c r="G32" s="234">
        <f t="shared" si="8"/>
        <v>75596</v>
      </c>
      <c r="H32" s="238">
        <v>58488</v>
      </c>
      <c r="I32" s="239">
        <v>50754</v>
      </c>
      <c r="J32" s="238">
        <v>5023</v>
      </c>
      <c r="K32" s="240">
        <v>4907</v>
      </c>
      <c r="L32" s="238">
        <v>21110</v>
      </c>
      <c r="M32" s="238">
        <v>0</v>
      </c>
      <c r="N32" s="238">
        <v>0</v>
      </c>
      <c r="O32" s="239">
        <v>19935</v>
      </c>
      <c r="P32" s="239"/>
      <c r="Q32" s="240"/>
      <c r="R32" s="238"/>
      <c r="S32" s="240"/>
      <c r="T32" s="236">
        <f t="shared" si="9"/>
        <v>0</v>
      </c>
      <c r="U32" s="237">
        <f t="shared" si="10"/>
        <v>0</v>
      </c>
      <c r="V32" s="238"/>
      <c r="W32" s="239"/>
      <c r="X32" s="241"/>
      <c r="Y32" s="240"/>
      <c r="Z32" s="238"/>
      <c r="AA32" s="238"/>
      <c r="AB32" s="238"/>
      <c r="AC32" s="239"/>
      <c r="AD32" s="239"/>
      <c r="AE32" s="240"/>
      <c r="AF32" s="238"/>
      <c r="AG32" s="239"/>
    </row>
    <row r="33" spans="1:33" ht="15" customHeight="1" x14ac:dyDescent="0.2">
      <c r="A33" s="504" t="s">
        <v>38</v>
      </c>
      <c r="B33" s="390" t="s">
        <v>501</v>
      </c>
      <c r="C33" s="414"/>
      <c r="D33" s="412">
        <v>101736</v>
      </c>
      <c r="E33" s="412">
        <v>9</v>
      </c>
      <c r="F33" s="235">
        <f t="shared" si="7"/>
        <v>93839</v>
      </c>
      <c r="G33" s="234">
        <f t="shared" si="8"/>
        <v>84098</v>
      </c>
      <c r="H33" s="238">
        <v>83166</v>
      </c>
      <c r="I33" s="239">
        <v>74856</v>
      </c>
      <c r="J33" s="238">
        <v>707</v>
      </c>
      <c r="K33" s="240">
        <v>373</v>
      </c>
      <c r="L33" s="238">
        <v>7806</v>
      </c>
      <c r="M33" s="238">
        <v>420</v>
      </c>
      <c r="N33" s="238">
        <v>1740</v>
      </c>
      <c r="O33" s="239">
        <v>7369</v>
      </c>
      <c r="P33" s="239">
        <v>303</v>
      </c>
      <c r="Q33" s="240">
        <v>1197</v>
      </c>
      <c r="R33" s="238"/>
      <c r="S33" s="240"/>
      <c r="T33" s="236">
        <f t="shared" si="9"/>
        <v>0</v>
      </c>
      <c r="U33" s="237">
        <f t="shared" si="10"/>
        <v>0</v>
      </c>
      <c r="V33" s="238"/>
      <c r="W33" s="239"/>
      <c r="X33" s="241"/>
      <c r="Y33" s="240"/>
      <c r="Z33" s="238"/>
      <c r="AA33" s="238"/>
      <c r="AB33" s="238"/>
      <c r="AC33" s="239"/>
      <c r="AD33" s="239"/>
      <c r="AE33" s="240"/>
      <c r="AF33" s="238"/>
      <c r="AG33" s="239"/>
    </row>
    <row r="34" spans="1:33" ht="15" customHeight="1" x14ac:dyDescent="0.2">
      <c r="A34" s="504" t="s">
        <v>38</v>
      </c>
      <c r="B34" s="390" t="s">
        <v>502</v>
      </c>
      <c r="C34" s="391"/>
      <c r="D34" s="412">
        <v>102067</v>
      </c>
      <c r="E34" s="412">
        <v>9</v>
      </c>
      <c r="F34" s="235">
        <f t="shared" si="7"/>
        <v>138645</v>
      </c>
      <c r="G34" s="234">
        <f t="shared" si="8"/>
        <v>124081</v>
      </c>
      <c r="H34" s="238">
        <v>132221</v>
      </c>
      <c r="I34" s="239">
        <v>120146</v>
      </c>
      <c r="J34" s="238">
        <v>253</v>
      </c>
      <c r="K34" s="240">
        <v>215</v>
      </c>
      <c r="L34" s="238">
        <v>6171</v>
      </c>
      <c r="M34" s="238">
        <v>0</v>
      </c>
      <c r="N34" s="238">
        <v>0</v>
      </c>
      <c r="O34" s="239">
        <v>3720</v>
      </c>
      <c r="P34" s="239"/>
      <c r="Q34" s="240"/>
      <c r="R34" s="238"/>
      <c r="S34" s="240"/>
      <c r="T34" s="236">
        <f t="shared" si="9"/>
        <v>0</v>
      </c>
      <c r="U34" s="237">
        <f t="shared" si="10"/>
        <v>0</v>
      </c>
      <c r="V34" s="238"/>
      <c r="W34" s="239"/>
      <c r="X34" s="241"/>
      <c r="Y34" s="240"/>
      <c r="Z34" s="238"/>
      <c r="AA34" s="238"/>
      <c r="AB34" s="238"/>
      <c r="AC34" s="239"/>
      <c r="AD34" s="239"/>
      <c r="AE34" s="240"/>
      <c r="AF34" s="238"/>
      <c r="AG34" s="239"/>
    </row>
    <row r="35" spans="1:33" ht="15" customHeight="1" x14ac:dyDescent="0.2">
      <c r="A35" s="504" t="s">
        <v>38</v>
      </c>
      <c r="B35" s="390" t="s">
        <v>503</v>
      </c>
      <c r="C35" s="414"/>
      <c r="D35" s="412">
        <v>251260</v>
      </c>
      <c r="E35" s="412">
        <v>9</v>
      </c>
      <c r="F35" s="235">
        <f t="shared" si="7"/>
        <v>133363</v>
      </c>
      <c r="G35" s="234">
        <f t="shared" si="8"/>
        <v>127941</v>
      </c>
      <c r="H35" s="238">
        <v>14963</v>
      </c>
      <c r="I35" s="239">
        <v>14663</v>
      </c>
      <c r="J35" s="238">
        <v>97480</v>
      </c>
      <c r="K35" s="240">
        <v>92420</v>
      </c>
      <c r="L35" s="238">
        <v>20233</v>
      </c>
      <c r="M35" s="238">
        <v>687</v>
      </c>
      <c r="N35" s="238">
        <v>0</v>
      </c>
      <c r="O35" s="239">
        <v>20507</v>
      </c>
      <c r="P35" s="239">
        <v>351</v>
      </c>
      <c r="Q35" s="240"/>
      <c r="R35" s="238"/>
      <c r="S35" s="240"/>
      <c r="T35" s="236">
        <f t="shared" si="9"/>
        <v>0</v>
      </c>
      <c r="U35" s="237">
        <f t="shared" si="10"/>
        <v>0</v>
      </c>
      <c r="V35" s="238"/>
      <c r="W35" s="239"/>
      <c r="X35" s="241"/>
      <c r="Y35" s="240"/>
      <c r="Z35" s="238"/>
      <c r="AA35" s="238"/>
      <c r="AB35" s="238"/>
      <c r="AC35" s="239"/>
      <c r="AD35" s="239"/>
      <c r="AE35" s="240"/>
      <c r="AF35" s="238"/>
      <c r="AG35" s="239"/>
    </row>
    <row r="36" spans="1:33" ht="15" customHeight="1" x14ac:dyDescent="0.2">
      <c r="A36" s="504" t="s">
        <v>38</v>
      </c>
      <c r="B36" s="390" t="s">
        <v>504</v>
      </c>
      <c r="C36" s="391"/>
      <c r="D36" s="412">
        <v>101949</v>
      </c>
      <c r="E36" s="412">
        <v>10</v>
      </c>
      <c r="F36" s="235">
        <f t="shared" si="7"/>
        <v>40708</v>
      </c>
      <c r="G36" s="234">
        <f t="shared" si="8"/>
        <v>34778</v>
      </c>
      <c r="H36" s="392">
        <v>13481</v>
      </c>
      <c r="I36" s="407">
        <v>12083</v>
      </c>
      <c r="J36" s="392">
        <v>25541</v>
      </c>
      <c r="K36" s="408">
        <v>20585</v>
      </c>
      <c r="L36" s="238">
        <v>1686</v>
      </c>
      <c r="M36" s="392">
        <v>0</v>
      </c>
      <c r="N36" s="392">
        <v>0</v>
      </c>
      <c r="O36" s="407">
        <v>2110</v>
      </c>
      <c r="P36" s="407"/>
      <c r="Q36" s="408"/>
      <c r="R36" s="392"/>
      <c r="S36" s="408"/>
      <c r="T36" s="236">
        <f t="shared" si="9"/>
        <v>0</v>
      </c>
      <c r="U36" s="237">
        <f t="shared" si="10"/>
        <v>0</v>
      </c>
      <c r="V36" s="392"/>
      <c r="W36" s="407"/>
      <c r="X36" s="394"/>
      <c r="Y36" s="408"/>
      <c r="Z36" s="392"/>
      <c r="AA36" s="392"/>
      <c r="AB36" s="392"/>
      <c r="AC36" s="407"/>
      <c r="AD36" s="407"/>
      <c r="AE36" s="408"/>
      <c r="AF36" s="392"/>
      <c r="AG36" s="407"/>
    </row>
    <row r="37" spans="1:33" ht="15" customHeight="1" x14ac:dyDescent="0.2">
      <c r="A37" s="504" t="s">
        <v>38</v>
      </c>
      <c r="B37" s="390" t="s">
        <v>505</v>
      </c>
      <c r="C37" s="391"/>
      <c r="D37" s="412">
        <v>101028</v>
      </c>
      <c r="E37" s="412">
        <v>10</v>
      </c>
      <c r="F37" s="235">
        <f t="shared" si="7"/>
        <v>42168</v>
      </c>
      <c r="G37" s="234">
        <f t="shared" si="8"/>
        <v>40613</v>
      </c>
      <c r="H37" s="238">
        <v>38037</v>
      </c>
      <c r="I37" s="239">
        <v>37187</v>
      </c>
      <c r="J37" s="238">
        <v>81</v>
      </c>
      <c r="K37" s="240">
        <v>126</v>
      </c>
      <c r="L37" s="238">
        <v>4050</v>
      </c>
      <c r="M37" s="238">
        <v>0</v>
      </c>
      <c r="N37" s="238">
        <v>0</v>
      </c>
      <c r="O37" s="239">
        <v>3300</v>
      </c>
      <c r="P37" s="239"/>
      <c r="Q37" s="240"/>
      <c r="R37" s="238"/>
      <c r="S37" s="240"/>
      <c r="T37" s="236">
        <f t="shared" si="9"/>
        <v>0</v>
      </c>
      <c r="U37" s="237">
        <f t="shared" si="10"/>
        <v>0</v>
      </c>
      <c r="V37" s="238"/>
      <c r="W37" s="239"/>
      <c r="X37" s="241"/>
      <c r="Y37" s="240"/>
      <c r="Z37" s="238"/>
      <c r="AA37" s="238"/>
      <c r="AB37" s="238"/>
      <c r="AC37" s="239"/>
      <c r="AD37" s="239"/>
      <c r="AE37" s="240"/>
      <c r="AF37" s="238"/>
      <c r="AG37" s="239"/>
    </row>
    <row r="38" spans="1:33" ht="15" customHeight="1" x14ac:dyDescent="0.2">
      <c r="A38" s="504" t="s">
        <v>38</v>
      </c>
      <c r="B38" s="390" t="s">
        <v>506</v>
      </c>
      <c r="C38" s="391"/>
      <c r="D38" s="412">
        <v>101301</v>
      </c>
      <c r="E38" s="412">
        <v>10</v>
      </c>
      <c r="F38" s="235">
        <f t="shared" si="7"/>
        <v>60847</v>
      </c>
      <c r="G38" s="234">
        <f t="shared" si="8"/>
        <v>50996</v>
      </c>
      <c r="H38" s="238">
        <v>39130</v>
      </c>
      <c r="I38" s="239">
        <v>32215</v>
      </c>
      <c r="J38" s="238">
        <v>0</v>
      </c>
      <c r="K38" s="240"/>
      <c r="L38" s="238">
        <v>21717</v>
      </c>
      <c r="M38" s="238">
        <v>0</v>
      </c>
      <c r="N38" s="238">
        <v>0</v>
      </c>
      <c r="O38" s="239">
        <v>18781</v>
      </c>
      <c r="P38" s="239"/>
      <c r="Q38" s="240"/>
      <c r="R38" s="238"/>
      <c r="S38" s="240"/>
      <c r="T38" s="236">
        <f t="shared" si="9"/>
        <v>0</v>
      </c>
      <c r="U38" s="237">
        <f t="shared" si="10"/>
        <v>0</v>
      </c>
      <c r="V38" s="238"/>
      <c r="W38" s="239"/>
      <c r="X38" s="241"/>
      <c r="Y38" s="240"/>
      <c r="Z38" s="238"/>
      <c r="AA38" s="238"/>
      <c r="AB38" s="238"/>
      <c r="AC38" s="239"/>
      <c r="AD38" s="239"/>
      <c r="AE38" s="240"/>
      <c r="AF38" s="238"/>
      <c r="AG38" s="239"/>
    </row>
    <row r="39" spans="1:33" ht="15" customHeight="1" x14ac:dyDescent="0.2">
      <c r="A39" s="504" t="s">
        <v>38</v>
      </c>
      <c r="B39" s="390" t="s">
        <v>507</v>
      </c>
      <c r="C39" s="391"/>
      <c r="D39" s="412">
        <v>101499</v>
      </c>
      <c r="E39" s="412">
        <v>10</v>
      </c>
      <c r="F39" s="235">
        <f t="shared" si="7"/>
        <v>32301</v>
      </c>
      <c r="G39" s="234">
        <f t="shared" si="8"/>
        <v>28184</v>
      </c>
      <c r="H39" s="238">
        <v>13524</v>
      </c>
      <c r="I39" s="239">
        <v>12480</v>
      </c>
      <c r="J39" s="238">
        <v>14635</v>
      </c>
      <c r="K39" s="240">
        <v>11669</v>
      </c>
      <c r="L39" s="238">
        <v>4070</v>
      </c>
      <c r="M39" s="238">
        <v>0</v>
      </c>
      <c r="N39" s="238">
        <v>72</v>
      </c>
      <c r="O39" s="239">
        <v>3253</v>
      </c>
      <c r="P39" s="239"/>
      <c r="Q39" s="240">
        <v>782</v>
      </c>
      <c r="R39" s="238"/>
      <c r="S39" s="240"/>
      <c r="T39" s="236">
        <f t="shared" si="9"/>
        <v>0</v>
      </c>
      <c r="U39" s="237">
        <f t="shared" si="10"/>
        <v>0</v>
      </c>
      <c r="V39" s="238"/>
      <c r="W39" s="239"/>
      <c r="X39" s="241"/>
      <c r="Y39" s="240"/>
      <c r="Z39" s="238"/>
      <c r="AA39" s="238"/>
      <c r="AB39" s="238"/>
      <c r="AC39" s="239"/>
      <c r="AD39" s="239"/>
      <c r="AE39" s="240"/>
      <c r="AF39" s="238"/>
      <c r="AG39" s="239"/>
    </row>
    <row r="40" spans="1:33" ht="15" customHeight="1" x14ac:dyDescent="0.2">
      <c r="A40" s="504" t="s">
        <v>38</v>
      </c>
      <c r="B40" s="390" t="s">
        <v>508</v>
      </c>
      <c r="C40" s="391"/>
      <c r="D40" s="412">
        <v>101602</v>
      </c>
      <c r="E40" s="412">
        <v>10</v>
      </c>
      <c r="F40" s="235">
        <f t="shared" si="7"/>
        <v>47409</v>
      </c>
      <c r="G40" s="234">
        <f t="shared" si="8"/>
        <v>41567</v>
      </c>
      <c r="H40" s="238">
        <v>37114</v>
      </c>
      <c r="I40" s="239">
        <v>32226</v>
      </c>
      <c r="J40" s="238">
        <v>1407</v>
      </c>
      <c r="K40" s="240">
        <v>1088</v>
      </c>
      <c r="L40" s="238">
        <v>8813</v>
      </c>
      <c r="M40" s="238">
        <v>0</v>
      </c>
      <c r="N40" s="238">
        <v>75</v>
      </c>
      <c r="O40" s="239">
        <v>8151</v>
      </c>
      <c r="P40" s="239"/>
      <c r="Q40" s="240">
        <v>102</v>
      </c>
      <c r="R40" s="238"/>
      <c r="S40" s="240"/>
      <c r="T40" s="236">
        <f t="shared" si="9"/>
        <v>0</v>
      </c>
      <c r="U40" s="237">
        <f t="shared" si="10"/>
        <v>0</v>
      </c>
      <c r="V40" s="238"/>
      <c r="W40" s="239"/>
      <c r="X40" s="241"/>
      <c r="Y40" s="240"/>
      <c r="Z40" s="238"/>
      <c r="AA40" s="238"/>
      <c r="AB40" s="238"/>
      <c r="AC40" s="239"/>
      <c r="AD40" s="239"/>
      <c r="AE40" s="240"/>
      <c r="AF40" s="238"/>
      <c r="AG40" s="239"/>
    </row>
    <row r="41" spans="1:33" ht="15" customHeight="1" x14ac:dyDescent="0.2">
      <c r="A41" s="504" t="s">
        <v>38</v>
      </c>
      <c r="B41" s="390" t="s">
        <v>509</v>
      </c>
      <c r="C41" s="391" t="s">
        <v>515</v>
      </c>
      <c r="D41" s="412">
        <v>102076</v>
      </c>
      <c r="E41" s="412">
        <v>10</v>
      </c>
      <c r="F41" s="235">
        <f t="shared" si="7"/>
        <v>59737</v>
      </c>
      <c r="G41" s="234">
        <f t="shared" si="8"/>
        <v>60105</v>
      </c>
      <c r="H41" s="238">
        <v>32898</v>
      </c>
      <c r="I41" s="239">
        <v>34745</v>
      </c>
      <c r="J41" s="238">
        <v>2846</v>
      </c>
      <c r="K41" s="240">
        <v>1272</v>
      </c>
      <c r="L41" s="238">
        <v>23702</v>
      </c>
      <c r="M41" s="238">
        <v>291</v>
      </c>
      <c r="N41" s="238">
        <v>0</v>
      </c>
      <c r="O41" s="239">
        <v>24088</v>
      </c>
      <c r="P41" s="239"/>
      <c r="Q41" s="240"/>
      <c r="R41" s="238"/>
      <c r="S41" s="240"/>
      <c r="T41" s="236">
        <f t="shared" si="9"/>
        <v>0</v>
      </c>
      <c r="U41" s="237">
        <f t="shared" si="10"/>
        <v>0</v>
      </c>
      <c r="V41" s="238"/>
      <c r="W41" s="239"/>
      <c r="X41" s="241"/>
      <c r="Y41" s="240"/>
      <c r="Z41" s="238"/>
      <c r="AA41" s="238"/>
      <c r="AB41" s="238"/>
      <c r="AC41" s="239"/>
      <c r="AD41" s="239"/>
      <c r="AE41" s="240"/>
      <c r="AF41" s="238"/>
      <c r="AG41" s="239"/>
    </row>
    <row r="42" spans="1:33" ht="15" customHeight="1" x14ac:dyDescent="0.2">
      <c r="A42" s="504" t="s">
        <v>38</v>
      </c>
      <c r="B42" s="390" t="s">
        <v>510</v>
      </c>
      <c r="C42" s="414"/>
      <c r="D42" s="412">
        <v>102313</v>
      </c>
      <c r="E42" s="412">
        <v>12</v>
      </c>
      <c r="F42" s="235">
        <f t="shared" si="7"/>
        <v>49502</v>
      </c>
      <c r="G42" s="234">
        <f t="shared" si="8"/>
        <v>40478</v>
      </c>
      <c r="H42" s="238">
        <v>21454</v>
      </c>
      <c r="I42" s="239">
        <v>16490</v>
      </c>
      <c r="J42" s="238">
        <v>24646</v>
      </c>
      <c r="K42" s="240">
        <v>20689</v>
      </c>
      <c r="L42" s="238">
        <v>3402</v>
      </c>
      <c r="M42" s="238">
        <v>0</v>
      </c>
      <c r="N42" s="238">
        <v>0</v>
      </c>
      <c r="O42" s="239">
        <v>3299</v>
      </c>
      <c r="P42" s="239"/>
      <c r="Q42" s="240"/>
      <c r="R42" s="238"/>
      <c r="S42" s="240"/>
      <c r="T42" s="236">
        <f t="shared" si="9"/>
        <v>0</v>
      </c>
      <c r="U42" s="237">
        <f t="shared" si="10"/>
        <v>0</v>
      </c>
      <c r="V42" s="238"/>
      <c r="W42" s="239"/>
      <c r="X42" s="241"/>
      <c r="Y42" s="240"/>
      <c r="Z42" s="238"/>
      <c r="AA42" s="238"/>
      <c r="AB42" s="238"/>
      <c r="AC42" s="239"/>
      <c r="AD42" s="239"/>
      <c r="AE42" s="240"/>
      <c r="AF42" s="238"/>
      <c r="AG42" s="239"/>
    </row>
    <row r="43" spans="1:33" ht="15" customHeight="1" x14ac:dyDescent="0.2">
      <c r="A43" s="504" t="s">
        <v>38</v>
      </c>
      <c r="B43" s="390" t="s">
        <v>511</v>
      </c>
      <c r="C43" s="391"/>
      <c r="D43" s="412">
        <v>101462</v>
      </c>
      <c r="E43" s="412">
        <v>13</v>
      </c>
      <c r="F43" s="235">
        <f t="shared" si="7"/>
        <v>32146</v>
      </c>
      <c r="G43" s="234">
        <f t="shared" si="8"/>
        <v>29049</v>
      </c>
      <c r="H43" s="238">
        <v>24198</v>
      </c>
      <c r="I43" s="239">
        <v>21752</v>
      </c>
      <c r="J43" s="238">
        <v>671</v>
      </c>
      <c r="K43" s="240">
        <v>2565</v>
      </c>
      <c r="L43" s="238">
        <v>7277</v>
      </c>
      <c r="M43" s="238">
        <v>0</v>
      </c>
      <c r="N43" s="238">
        <v>0</v>
      </c>
      <c r="O43" s="239">
        <v>4732</v>
      </c>
      <c r="P43" s="239"/>
      <c r="Q43" s="240"/>
      <c r="R43" s="238"/>
      <c r="S43" s="240"/>
      <c r="T43" s="236">
        <f t="shared" si="9"/>
        <v>0</v>
      </c>
      <c r="U43" s="237">
        <f t="shared" si="10"/>
        <v>0</v>
      </c>
      <c r="V43" s="238"/>
      <c r="W43" s="239"/>
      <c r="X43" s="241"/>
      <c r="Y43" s="240"/>
      <c r="Z43" s="238"/>
      <c r="AA43" s="238"/>
      <c r="AB43" s="238"/>
      <c r="AC43" s="239"/>
      <c r="AD43" s="239"/>
      <c r="AE43" s="240"/>
      <c r="AF43" s="238"/>
      <c r="AG43" s="239"/>
    </row>
    <row r="44" spans="1:33" ht="15" customHeight="1" x14ac:dyDescent="0.2">
      <c r="A44" s="504" t="s">
        <v>38</v>
      </c>
      <c r="B44" s="390" t="s">
        <v>512</v>
      </c>
      <c r="C44" s="414"/>
      <c r="D44" s="412">
        <v>101471</v>
      </c>
      <c r="E44" s="412">
        <v>13</v>
      </c>
      <c r="F44" s="235">
        <f t="shared" si="7"/>
        <v>20136</v>
      </c>
      <c r="G44" s="234">
        <f t="shared" si="8"/>
        <v>18453</v>
      </c>
      <c r="H44" s="238">
        <v>6321</v>
      </c>
      <c r="I44" s="239">
        <v>18453</v>
      </c>
      <c r="J44" s="238">
        <v>13815</v>
      </c>
      <c r="K44" s="240"/>
      <c r="L44" s="238">
        <v>0</v>
      </c>
      <c r="M44" s="238">
        <v>0</v>
      </c>
      <c r="N44" s="238">
        <v>0</v>
      </c>
      <c r="O44" s="239"/>
      <c r="P44" s="239"/>
      <c r="Q44" s="240"/>
      <c r="R44" s="238"/>
      <c r="S44" s="240"/>
      <c r="T44" s="236">
        <f t="shared" si="9"/>
        <v>0</v>
      </c>
      <c r="U44" s="237">
        <f t="shared" si="10"/>
        <v>0</v>
      </c>
      <c r="V44" s="238"/>
      <c r="W44" s="239"/>
      <c r="X44" s="241"/>
      <c r="Y44" s="240"/>
      <c r="Z44" s="238"/>
      <c r="AA44" s="238"/>
      <c r="AB44" s="238"/>
      <c r="AC44" s="239"/>
      <c r="AD44" s="239"/>
      <c r="AE44" s="240"/>
      <c r="AF44" s="238"/>
      <c r="AG44" s="239"/>
    </row>
    <row r="45" spans="1:33" ht="15" customHeight="1" x14ac:dyDescent="0.2">
      <c r="A45" s="504" t="s">
        <v>38</v>
      </c>
      <c r="B45" s="390" t="s">
        <v>513</v>
      </c>
      <c r="C45" s="414"/>
      <c r="D45" s="412">
        <v>101994</v>
      </c>
      <c r="E45" s="412">
        <v>13</v>
      </c>
      <c r="F45" s="235">
        <f t="shared" si="7"/>
        <v>21773</v>
      </c>
      <c r="G45" s="234">
        <f t="shared" si="8"/>
        <v>15562</v>
      </c>
      <c r="H45" s="238">
        <v>18744</v>
      </c>
      <c r="I45" s="239">
        <v>14134</v>
      </c>
      <c r="J45" s="238">
        <v>1318</v>
      </c>
      <c r="K45" s="240">
        <v>1065</v>
      </c>
      <c r="L45" s="238">
        <v>1711</v>
      </c>
      <c r="M45" s="238">
        <v>0</v>
      </c>
      <c r="N45" s="238">
        <v>0</v>
      </c>
      <c r="O45" s="239">
        <v>363</v>
      </c>
      <c r="P45" s="239"/>
      <c r="Q45" s="240"/>
      <c r="R45" s="238"/>
      <c r="S45" s="240"/>
      <c r="T45" s="236">
        <f t="shared" si="9"/>
        <v>0</v>
      </c>
      <c r="U45" s="237">
        <f t="shared" si="10"/>
        <v>0</v>
      </c>
      <c r="V45" s="238"/>
      <c r="W45" s="239"/>
      <c r="X45" s="241"/>
      <c r="Y45" s="240"/>
      <c r="Z45" s="238"/>
      <c r="AA45" s="238"/>
      <c r="AB45" s="238"/>
      <c r="AC45" s="239"/>
      <c r="AD45" s="239"/>
      <c r="AE45" s="240"/>
      <c r="AF45" s="238"/>
      <c r="AG45" s="239"/>
    </row>
    <row r="46" spans="1:33" ht="15" customHeight="1" x14ac:dyDescent="0.2">
      <c r="A46" s="504" t="s">
        <v>38</v>
      </c>
      <c r="B46" s="390" t="s">
        <v>514</v>
      </c>
      <c r="C46" s="391"/>
      <c r="D46" s="330">
        <v>101648</v>
      </c>
      <c r="E46" s="330">
        <v>15</v>
      </c>
      <c r="F46" s="235">
        <f t="shared" si="7"/>
        <v>0</v>
      </c>
      <c r="G46" s="234">
        <f t="shared" si="8"/>
        <v>13020</v>
      </c>
      <c r="H46" s="238"/>
      <c r="I46" s="239">
        <v>13020</v>
      </c>
      <c r="J46" s="238"/>
      <c r="K46" s="240"/>
      <c r="L46" s="238"/>
      <c r="M46" s="238"/>
      <c r="N46" s="238"/>
      <c r="O46" s="239"/>
      <c r="P46" s="239"/>
      <c r="Q46" s="240"/>
      <c r="R46" s="238"/>
      <c r="S46" s="240"/>
      <c r="T46" s="236">
        <f t="shared" si="9"/>
        <v>0</v>
      </c>
      <c r="U46" s="237">
        <f t="shared" si="10"/>
        <v>0</v>
      </c>
      <c r="V46" s="238"/>
      <c r="W46" s="239"/>
      <c r="X46" s="241"/>
      <c r="Y46" s="240"/>
      <c r="Z46" s="238"/>
      <c r="AA46" s="238"/>
      <c r="AB46" s="238"/>
      <c r="AC46" s="239"/>
      <c r="AD46" s="239"/>
      <c r="AE46" s="240"/>
      <c r="AF46" s="238"/>
      <c r="AG46" s="239"/>
    </row>
    <row r="47" spans="1:33" ht="15" customHeight="1" x14ac:dyDescent="0.2">
      <c r="A47" s="512" t="s">
        <v>40</v>
      </c>
      <c r="B47" s="416" t="s">
        <v>516</v>
      </c>
      <c r="C47" s="417"/>
      <c r="D47" s="418">
        <v>106397</v>
      </c>
      <c r="E47" s="418">
        <v>1</v>
      </c>
      <c r="F47" s="235">
        <f t="shared" si="7"/>
        <v>525893</v>
      </c>
      <c r="G47" s="234">
        <f t="shared" si="8"/>
        <v>569634</v>
      </c>
      <c r="H47" s="238">
        <v>492861</v>
      </c>
      <c r="I47" s="239">
        <v>529766</v>
      </c>
      <c r="J47" s="238">
        <v>10230</v>
      </c>
      <c r="K47" s="240">
        <v>8546</v>
      </c>
      <c r="L47" s="238">
        <v>14694</v>
      </c>
      <c r="M47" s="238">
        <v>812</v>
      </c>
      <c r="N47" s="238">
        <v>48</v>
      </c>
      <c r="O47" s="239">
        <v>19485</v>
      </c>
      <c r="P47" s="239">
        <v>872</v>
      </c>
      <c r="Q47" s="240">
        <v>57</v>
      </c>
      <c r="R47" s="238">
        <v>7248</v>
      </c>
      <c r="S47" s="240">
        <v>10908</v>
      </c>
      <c r="T47" s="236">
        <f t="shared" si="9"/>
        <v>77183</v>
      </c>
      <c r="U47" s="237">
        <f t="shared" si="10"/>
        <v>77209</v>
      </c>
      <c r="V47" s="238">
        <v>57218</v>
      </c>
      <c r="W47" s="239">
        <v>58295</v>
      </c>
      <c r="X47" s="241">
        <v>3337</v>
      </c>
      <c r="Y47" s="240">
        <v>3806</v>
      </c>
      <c r="Z47" s="238">
        <v>15458</v>
      </c>
      <c r="AA47" s="238">
        <v>0</v>
      </c>
      <c r="AB47" s="238">
        <v>1170</v>
      </c>
      <c r="AC47" s="239">
        <v>14391</v>
      </c>
      <c r="AD47" s="239">
        <v>0</v>
      </c>
      <c r="AE47" s="240">
        <v>711</v>
      </c>
      <c r="AF47" s="238">
        <v>0</v>
      </c>
      <c r="AG47" s="239">
        <v>6</v>
      </c>
    </row>
    <row r="48" spans="1:33" ht="15" customHeight="1" x14ac:dyDescent="0.2">
      <c r="A48" s="415" t="s">
        <v>40</v>
      </c>
      <c r="B48" s="416" t="s">
        <v>517</v>
      </c>
      <c r="C48" s="417"/>
      <c r="D48" s="418">
        <v>106458</v>
      </c>
      <c r="E48" s="418">
        <v>3</v>
      </c>
      <c r="F48" s="235">
        <f t="shared" si="7"/>
        <v>276297</v>
      </c>
      <c r="G48" s="234">
        <f t="shared" si="8"/>
        <v>277729</v>
      </c>
      <c r="H48" s="238">
        <v>192962</v>
      </c>
      <c r="I48" s="239">
        <v>189355</v>
      </c>
      <c r="J48" s="238">
        <v>24717</v>
      </c>
      <c r="K48" s="240">
        <v>23386</v>
      </c>
      <c r="L48" s="238">
        <v>54383</v>
      </c>
      <c r="M48" s="238">
        <v>4124</v>
      </c>
      <c r="N48" s="238">
        <v>111</v>
      </c>
      <c r="O48" s="239">
        <v>61105</v>
      </c>
      <c r="P48" s="239">
        <v>3799</v>
      </c>
      <c r="Q48" s="240">
        <v>84</v>
      </c>
      <c r="R48" s="238"/>
      <c r="S48" s="240"/>
      <c r="T48" s="236">
        <f t="shared" si="9"/>
        <v>82879</v>
      </c>
      <c r="U48" s="237">
        <f t="shared" si="10"/>
        <v>78495</v>
      </c>
      <c r="V48" s="238">
        <v>24591</v>
      </c>
      <c r="W48" s="239">
        <v>24509</v>
      </c>
      <c r="X48" s="241">
        <v>93</v>
      </c>
      <c r="Y48" s="240">
        <v>25</v>
      </c>
      <c r="Z48" s="238">
        <v>58024</v>
      </c>
      <c r="AA48" s="238">
        <v>66</v>
      </c>
      <c r="AB48" s="238">
        <v>105</v>
      </c>
      <c r="AC48" s="239">
        <v>53841</v>
      </c>
      <c r="AD48" s="239">
        <v>15</v>
      </c>
      <c r="AE48" s="240">
        <v>105</v>
      </c>
      <c r="AF48" s="238">
        <v>0</v>
      </c>
      <c r="AG48" s="239"/>
    </row>
    <row r="49" spans="1:33" ht="15" customHeight="1" x14ac:dyDescent="0.2">
      <c r="A49" s="415" t="s">
        <v>40</v>
      </c>
      <c r="B49" s="416" t="s">
        <v>520</v>
      </c>
      <c r="C49" s="419" t="s">
        <v>549</v>
      </c>
      <c r="D49" s="418">
        <v>106467</v>
      </c>
      <c r="E49" s="420">
        <v>3</v>
      </c>
      <c r="F49" s="235">
        <f t="shared" si="7"/>
        <v>218204</v>
      </c>
      <c r="G49" s="234">
        <f t="shared" si="8"/>
        <v>222862</v>
      </c>
      <c r="H49" s="238">
        <v>163618</v>
      </c>
      <c r="I49" s="239">
        <v>163802</v>
      </c>
      <c r="J49" s="238">
        <v>15756</v>
      </c>
      <c r="K49" s="240">
        <v>10484</v>
      </c>
      <c r="L49" s="238">
        <v>38830</v>
      </c>
      <c r="M49" s="238">
        <v>0</v>
      </c>
      <c r="N49" s="238">
        <v>0</v>
      </c>
      <c r="O49" s="239">
        <v>48576</v>
      </c>
      <c r="P49" s="239">
        <v>0</v>
      </c>
      <c r="Q49" s="240"/>
      <c r="R49" s="238"/>
      <c r="S49" s="240"/>
      <c r="T49" s="236">
        <f t="shared" si="9"/>
        <v>13308</v>
      </c>
      <c r="U49" s="237">
        <f t="shared" si="10"/>
        <v>14909</v>
      </c>
      <c r="V49" s="238">
        <v>5738</v>
      </c>
      <c r="W49" s="239">
        <v>6943</v>
      </c>
      <c r="X49" s="241">
        <v>1371</v>
      </c>
      <c r="Y49" s="240">
        <v>72</v>
      </c>
      <c r="Z49" s="238">
        <v>6181</v>
      </c>
      <c r="AA49" s="238">
        <v>18</v>
      </c>
      <c r="AB49" s="238">
        <v>0</v>
      </c>
      <c r="AC49" s="239">
        <v>7831</v>
      </c>
      <c r="AD49" s="239">
        <v>63</v>
      </c>
      <c r="AE49" s="240"/>
      <c r="AF49" s="238">
        <v>0</v>
      </c>
      <c r="AG49" s="239"/>
    </row>
    <row r="50" spans="1:33" ht="15" customHeight="1" x14ac:dyDescent="0.2">
      <c r="A50" s="415" t="s">
        <v>40</v>
      </c>
      <c r="B50" s="416" t="s">
        <v>518</v>
      </c>
      <c r="C50" s="417" t="s">
        <v>474</v>
      </c>
      <c r="D50" s="418">
        <v>106245</v>
      </c>
      <c r="E50" s="418">
        <v>3</v>
      </c>
      <c r="F50" s="235">
        <f t="shared" si="7"/>
        <v>237224</v>
      </c>
      <c r="G50" s="234">
        <f t="shared" si="8"/>
        <v>237942</v>
      </c>
      <c r="H50" s="238">
        <v>158298</v>
      </c>
      <c r="I50" s="239">
        <v>154177</v>
      </c>
      <c r="J50" s="238">
        <v>18850</v>
      </c>
      <c r="K50" s="240">
        <v>21226</v>
      </c>
      <c r="L50" s="238">
        <v>60076</v>
      </c>
      <c r="M50" s="238">
        <v>0</v>
      </c>
      <c r="N50" s="238">
        <v>0</v>
      </c>
      <c r="O50" s="239">
        <v>62539</v>
      </c>
      <c r="P50" s="239">
        <v>0</v>
      </c>
      <c r="Q50" s="240"/>
      <c r="R50" s="238"/>
      <c r="S50" s="240"/>
      <c r="T50" s="236">
        <f t="shared" si="9"/>
        <v>50303</v>
      </c>
      <c r="U50" s="237">
        <f t="shared" si="10"/>
        <v>46710</v>
      </c>
      <c r="V50" s="238">
        <v>25735</v>
      </c>
      <c r="W50" s="239">
        <v>23620</v>
      </c>
      <c r="X50" s="241">
        <v>13455</v>
      </c>
      <c r="Y50" s="240">
        <v>12934</v>
      </c>
      <c r="Z50" s="238">
        <v>11113</v>
      </c>
      <c r="AA50" s="238">
        <v>0</v>
      </c>
      <c r="AB50" s="238">
        <v>0</v>
      </c>
      <c r="AC50" s="239">
        <v>10156</v>
      </c>
      <c r="AD50" s="239">
        <v>0</v>
      </c>
      <c r="AE50" s="240"/>
      <c r="AF50" s="238">
        <v>0</v>
      </c>
      <c r="AG50" s="239"/>
    </row>
    <row r="51" spans="1:33" ht="15" customHeight="1" x14ac:dyDescent="0.2">
      <c r="A51" s="415" t="s">
        <v>40</v>
      </c>
      <c r="B51" s="416" t="s">
        <v>519</v>
      </c>
      <c r="C51" s="417"/>
      <c r="D51" s="418">
        <v>106704</v>
      </c>
      <c r="E51" s="418">
        <v>3</v>
      </c>
      <c r="F51" s="235">
        <f t="shared" si="7"/>
        <v>272034</v>
      </c>
      <c r="G51" s="234">
        <f t="shared" si="8"/>
        <v>265799</v>
      </c>
      <c r="H51" s="238">
        <v>258206</v>
      </c>
      <c r="I51" s="239">
        <v>253180</v>
      </c>
      <c r="J51" s="238">
        <v>4156</v>
      </c>
      <c r="K51" s="240">
        <v>2293</v>
      </c>
      <c r="L51" s="238">
        <v>9096</v>
      </c>
      <c r="M51" s="238">
        <v>54</v>
      </c>
      <c r="N51" s="238">
        <v>0</v>
      </c>
      <c r="O51" s="239">
        <v>9795</v>
      </c>
      <c r="P51" s="239">
        <v>75</v>
      </c>
      <c r="Q51" s="240"/>
      <c r="R51" s="238">
        <v>522</v>
      </c>
      <c r="S51" s="240">
        <v>456</v>
      </c>
      <c r="T51" s="236">
        <f t="shared" si="9"/>
        <v>33007</v>
      </c>
      <c r="U51" s="237">
        <f t="shared" si="10"/>
        <v>32030</v>
      </c>
      <c r="V51" s="238">
        <v>23206</v>
      </c>
      <c r="W51" s="239">
        <v>23311</v>
      </c>
      <c r="X51" s="241">
        <v>780</v>
      </c>
      <c r="Y51" s="240">
        <v>57</v>
      </c>
      <c r="Z51" s="238">
        <v>6369</v>
      </c>
      <c r="AA51" s="238">
        <v>2652</v>
      </c>
      <c r="AB51" s="238">
        <v>0</v>
      </c>
      <c r="AC51" s="239">
        <v>6610</v>
      </c>
      <c r="AD51" s="239">
        <v>2052</v>
      </c>
      <c r="AE51" s="240"/>
      <c r="AF51" s="238">
        <v>0</v>
      </c>
      <c r="AG51" s="239"/>
    </row>
    <row r="52" spans="1:33" ht="15" customHeight="1" x14ac:dyDescent="0.2">
      <c r="A52" s="415" t="s">
        <v>40</v>
      </c>
      <c r="B52" s="416" t="s">
        <v>521</v>
      </c>
      <c r="C52" s="417"/>
      <c r="D52" s="418">
        <v>107071</v>
      </c>
      <c r="E52" s="418">
        <v>4</v>
      </c>
      <c r="F52" s="235">
        <f t="shared" si="7"/>
        <v>98042</v>
      </c>
      <c r="G52" s="234">
        <f t="shared" si="8"/>
        <v>95989</v>
      </c>
      <c r="H52" s="238">
        <v>88898</v>
      </c>
      <c r="I52" s="239">
        <v>85512</v>
      </c>
      <c r="J52" s="238">
        <v>910</v>
      </c>
      <c r="K52" s="240">
        <v>846</v>
      </c>
      <c r="L52" s="238">
        <v>8234</v>
      </c>
      <c r="M52" s="238">
        <v>0</v>
      </c>
      <c r="N52" s="238">
        <v>0</v>
      </c>
      <c r="O52" s="239">
        <v>9631</v>
      </c>
      <c r="P52" s="239">
        <v>0</v>
      </c>
      <c r="Q52" s="240"/>
      <c r="R52" s="238"/>
      <c r="S52" s="240"/>
      <c r="T52" s="236">
        <f t="shared" si="9"/>
        <v>7980</v>
      </c>
      <c r="U52" s="237">
        <f t="shared" si="10"/>
        <v>8204</v>
      </c>
      <c r="V52" s="238">
        <v>6429</v>
      </c>
      <c r="W52" s="239">
        <v>6110</v>
      </c>
      <c r="X52" s="241">
        <v>1065</v>
      </c>
      <c r="Y52" s="240">
        <v>891</v>
      </c>
      <c r="Z52" s="238">
        <v>486</v>
      </c>
      <c r="AA52" s="238">
        <v>0</v>
      </c>
      <c r="AB52" s="238">
        <v>0</v>
      </c>
      <c r="AC52" s="239">
        <v>1203</v>
      </c>
      <c r="AD52" s="239"/>
      <c r="AE52" s="240"/>
      <c r="AF52" s="238">
        <v>0</v>
      </c>
      <c r="AG52" s="239"/>
    </row>
    <row r="53" spans="1:33" ht="15" customHeight="1" x14ac:dyDescent="0.2">
      <c r="A53" s="415" t="s">
        <v>40</v>
      </c>
      <c r="B53" s="416" t="s">
        <v>522</v>
      </c>
      <c r="C53" s="419"/>
      <c r="D53" s="418">
        <v>107983</v>
      </c>
      <c r="E53" s="427">
        <v>4</v>
      </c>
      <c r="F53" s="235">
        <f t="shared" si="7"/>
        <v>83545</v>
      </c>
      <c r="G53" s="234">
        <f t="shared" si="8"/>
        <v>81381</v>
      </c>
      <c r="H53" s="238">
        <v>73756</v>
      </c>
      <c r="I53" s="239">
        <v>70024</v>
      </c>
      <c r="J53" s="238">
        <v>1819</v>
      </c>
      <c r="K53" s="240">
        <v>2233</v>
      </c>
      <c r="L53" s="238">
        <v>7904</v>
      </c>
      <c r="M53" s="238">
        <v>66</v>
      </c>
      <c r="N53" s="238">
        <v>0</v>
      </c>
      <c r="O53" s="239">
        <v>9076</v>
      </c>
      <c r="P53" s="239">
        <v>48</v>
      </c>
      <c r="Q53" s="240"/>
      <c r="R53" s="238"/>
      <c r="S53" s="240"/>
      <c r="T53" s="236">
        <f t="shared" si="9"/>
        <v>7548</v>
      </c>
      <c r="U53" s="237">
        <f t="shared" si="10"/>
        <v>7831</v>
      </c>
      <c r="V53" s="238">
        <v>2508</v>
      </c>
      <c r="W53" s="239">
        <v>2137</v>
      </c>
      <c r="X53" s="241">
        <v>201</v>
      </c>
      <c r="Y53" s="240">
        <v>177</v>
      </c>
      <c r="Z53" s="238">
        <v>4839</v>
      </c>
      <c r="AA53" s="238">
        <v>0</v>
      </c>
      <c r="AB53" s="238">
        <v>0</v>
      </c>
      <c r="AC53" s="239">
        <v>5517</v>
      </c>
      <c r="AD53" s="239"/>
      <c r="AE53" s="240"/>
      <c r="AF53" s="238">
        <v>0</v>
      </c>
      <c r="AG53" s="239"/>
    </row>
    <row r="54" spans="1:33" ht="15" customHeight="1" x14ac:dyDescent="0.2">
      <c r="A54" s="415" t="s">
        <v>40</v>
      </c>
      <c r="B54" s="416" t="s">
        <v>523</v>
      </c>
      <c r="C54" s="417"/>
      <c r="D54" s="418">
        <v>106485</v>
      </c>
      <c r="E54" s="418">
        <v>5</v>
      </c>
      <c r="F54" s="235">
        <f t="shared" si="7"/>
        <v>72002</v>
      </c>
      <c r="G54" s="234">
        <f t="shared" si="8"/>
        <v>70604</v>
      </c>
      <c r="H54" s="238">
        <v>59147</v>
      </c>
      <c r="I54" s="239">
        <v>57270</v>
      </c>
      <c r="J54" s="238">
        <v>1032</v>
      </c>
      <c r="K54" s="240">
        <v>1011</v>
      </c>
      <c r="L54" s="238">
        <v>8475</v>
      </c>
      <c r="M54" s="238">
        <v>3342</v>
      </c>
      <c r="N54" s="238">
        <v>0</v>
      </c>
      <c r="O54" s="239">
        <v>8567</v>
      </c>
      <c r="P54" s="239">
        <v>3756</v>
      </c>
      <c r="Q54" s="240"/>
      <c r="R54" s="238">
        <v>6</v>
      </c>
      <c r="S54" s="240"/>
      <c r="T54" s="236">
        <f t="shared" si="9"/>
        <v>2079</v>
      </c>
      <c r="U54" s="237">
        <f t="shared" si="10"/>
        <v>2142</v>
      </c>
      <c r="V54" s="238">
        <v>1019</v>
      </c>
      <c r="W54" s="239">
        <v>951</v>
      </c>
      <c r="X54" s="241">
        <v>40</v>
      </c>
      <c r="Y54" s="240"/>
      <c r="Z54" s="238">
        <v>1020</v>
      </c>
      <c r="AA54" s="238">
        <v>0</v>
      </c>
      <c r="AB54" s="238">
        <v>0</v>
      </c>
      <c r="AC54" s="239">
        <v>1191</v>
      </c>
      <c r="AD54" s="239"/>
      <c r="AE54" s="240"/>
      <c r="AF54" s="238">
        <v>0</v>
      </c>
      <c r="AG54" s="239"/>
    </row>
    <row r="55" spans="1:33" ht="15" customHeight="1" x14ac:dyDescent="0.2">
      <c r="A55" s="415" t="s">
        <v>40</v>
      </c>
      <c r="B55" s="416" t="s">
        <v>524</v>
      </c>
      <c r="C55" s="417"/>
      <c r="D55" s="418">
        <v>108092</v>
      </c>
      <c r="E55" s="418">
        <v>6</v>
      </c>
      <c r="F55" s="235">
        <f t="shared" si="7"/>
        <v>191912</v>
      </c>
      <c r="G55" s="234">
        <f t="shared" si="8"/>
        <v>185094</v>
      </c>
      <c r="H55" s="238">
        <v>164036</v>
      </c>
      <c r="I55" s="239">
        <v>158681</v>
      </c>
      <c r="J55" s="238">
        <v>2533</v>
      </c>
      <c r="K55" s="240">
        <v>1944</v>
      </c>
      <c r="L55" s="238">
        <v>24758</v>
      </c>
      <c r="M55" s="238">
        <v>585</v>
      </c>
      <c r="N55" s="238">
        <v>0</v>
      </c>
      <c r="O55" s="239">
        <v>24013</v>
      </c>
      <c r="P55" s="239">
        <v>456</v>
      </c>
      <c r="Q55" s="240"/>
      <c r="R55" s="238"/>
      <c r="S55" s="240"/>
      <c r="T55" s="236">
        <f t="shared" si="9"/>
        <v>0</v>
      </c>
      <c r="U55" s="237">
        <f t="shared" si="10"/>
        <v>0</v>
      </c>
      <c r="V55" s="238">
        <v>0</v>
      </c>
      <c r="W55" s="239">
        <v>0</v>
      </c>
      <c r="X55" s="241">
        <v>0</v>
      </c>
      <c r="Y55" s="240"/>
      <c r="Z55" s="238">
        <v>0</v>
      </c>
      <c r="AA55" s="238">
        <v>0</v>
      </c>
      <c r="AB55" s="238">
        <v>0</v>
      </c>
      <c r="AC55" s="239">
        <v>0</v>
      </c>
      <c r="AD55" s="239"/>
      <c r="AE55" s="240"/>
      <c r="AF55" s="238">
        <v>0</v>
      </c>
      <c r="AG55" s="239"/>
    </row>
    <row r="56" spans="1:33" ht="15" customHeight="1" x14ac:dyDescent="0.2">
      <c r="A56" s="415" t="s">
        <v>40</v>
      </c>
      <c r="B56" s="416" t="s">
        <v>525</v>
      </c>
      <c r="C56" s="417" t="s">
        <v>550</v>
      </c>
      <c r="D56" s="418">
        <v>106412</v>
      </c>
      <c r="E56" s="418">
        <v>6</v>
      </c>
      <c r="F56" s="235">
        <f t="shared" si="7"/>
        <v>88755</v>
      </c>
      <c r="G56" s="234">
        <f t="shared" si="8"/>
        <v>80269</v>
      </c>
      <c r="H56" s="238">
        <v>80929</v>
      </c>
      <c r="I56" s="239">
        <v>71488</v>
      </c>
      <c r="J56" s="238">
        <v>726</v>
      </c>
      <c r="K56" s="240">
        <v>499</v>
      </c>
      <c r="L56" s="238">
        <v>3210</v>
      </c>
      <c r="M56" s="238">
        <v>3890</v>
      </c>
      <c r="N56" s="238">
        <v>0</v>
      </c>
      <c r="O56" s="239">
        <v>8282</v>
      </c>
      <c r="P56" s="239">
        <v>0</v>
      </c>
      <c r="Q56" s="240"/>
      <c r="R56" s="238"/>
      <c r="S56" s="240"/>
      <c r="T56" s="236">
        <f t="shared" si="9"/>
        <v>1885</v>
      </c>
      <c r="U56" s="237">
        <f t="shared" si="10"/>
        <v>1632</v>
      </c>
      <c r="V56" s="238">
        <v>1630</v>
      </c>
      <c r="W56" s="239">
        <v>1257</v>
      </c>
      <c r="X56" s="241">
        <v>0</v>
      </c>
      <c r="Y56" s="240"/>
      <c r="Z56" s="238">
        <v>114</v>
      </c>
      <c r="AA56" s="238">
        <v>141</v>
      </c>
      <c r="AB56" s="238">
        <v>0</v>
      </c>
      <c r="AC56" s="239">
        <v>375</v>
      </c>
      <c r="AD56" s="239"/>
      <c r="AE56" s="240"/>
      <c r="AF56" s="238">
        <v>0</v>
      </c>
      <c r="AG56" s="239"/>
    </row>
    <row r="57" spans="1:33" ht="15" customHeight="1" x14ac:dyDescent="0.2">
      <c r="A57" s="415" t="s">
        <v>40</v>
      </c>
      <c r="B57" s="416" t="s">
        <v>526</v>
      </c>
      <c r="C57" s="419"/>
      <c r="D57" s="428">
        <v>367459</v>
      </c>
      <c r="E57" s="427">
        <v>8</v>
      </c>
      <c r="F57" s="235">
        <f t="shared" si="7"/>
        <v>174073</v>
      </c>
      <c r="G57" s="234">
        <f t="shared" si="8"/>
        <v>169594</v>
      </c>
      <c r="H57" s="238">
        <v>116184</v>
      </c>
      <c r="I57" s="239">
        <v>112056</v>
      </c>
      <c r="J57" s="238">
        <v>22131</v>
      </c>
      <c r="K57" s="240">
        <v>20429</v>
      </c>
      <c r="L57" s="238">
        <v>35650</v>
      </c>
      <c r="M57" s="238">
        <v>108</v>
      </c>
      <c r="N57" s="238">
        <v>0</v>
      </c>
      <c r="O57" s="239">
        <v>36847</v>
      </c>
      <c r="P57" s="239">
        <v>262</v>
      </c>
      <c r="Q57" s="240"/>
      <c r="R57" s="238"/>
      <c r="S57" s="240"/>
      <c r="T57" s="236">
        <f t="shared" si="9"/>
        <v>0</v>
      </c>
      <c r="U57" s="237">
        <f t="shared" si="10"/>
        <v>0</v>
      </c>
      <c r="V57" s="238"/>
      <c r="W57" s="239"/>
      <c r="X57" s="241"/>
      <c r="Y57" s="240"/>
      <c r="Z57" s="238"/>
      <c r="AA57" s="238"/>
      <c r="AB57" s="238"/>
      <c r="AC57" s="239"/>
      <c r="AD57" s="239"/>
      <c r="AE57" s="240"/>
      <c r="AF57" s="238"/>
      <c r="AG57" s="239"/>
    </row>
    <row r="58" spans="1:33" ht="15" customHeight="1" x14ac:dyDescent="0.2">
      <c r="A58" s="421" t="s">
        <v>40</v>
      </c>
      <c r="B58" s="422" t="s">
        <v>527</v>
      </c>
      <c r="C58" s="423"/>
      <c r="D58" s="429">
        <v>107664</v>
      </c>
      <c r="E58" s="430">
        <v>8</v>
      </c>
      <c r="F58" s="235">
        <f t="shared" si="7"/>
        <v>261671</v>
      </c>
      <c r="G58" s="234">
        <f t="shared" si="8"/>
        <v>258245</v>
      </c>
      <c r="H58" s="238">
        <v>176073</v>
      </c>
      <c r="I58" s="239">
        <v>143672</v>
      </c>
      <c r="J58" s="238">
        <v>0</v>
      </c>
      <c r="K58" s="240">
        <v>28755</v>
      </c>
      <c r="L58" s="238">
        <v>85598</v>
      </c>
      <c r="M58" s="238">
        <v>0</v>
      </c>
      <c r="N58" s="238">
        <v>0</v>
      </c>
      <c r="O58" s="239">
        <v>85818</v>
      </c>
      <c r="P58" s="239">
        <v>0</v>
      </c>
      <c r="Q58" s="240"/>
      <c r="R58" s="238"/>
      <c r="S58" s="240"/>
      <c r="T58" s="236">
        <f t="shared" si="9"/>
        <v>0</v>
      </c>
      <c r="U58" s="237">
        <f t="shared" si="10"/>
        <v>0</v>
      </c>
      <c r="V58" s="238"/>
      <c r="W58" s="239"/>
      <c r="X58" s="241"/>
      <c r="Y58" s="240"/>
      <c r="Z58" s="238"/>
      <c r="AA58" s="238"/>
      <c r="AB58" s="238"/>
      <c r="AC58" s="239"/>
      <c r="AD58" s="239"/>
      <c r="AE58" s="240"/>
      <c r="AF58" s="238"/>
      <c r="AG58" s="239"/>
    </row>
    <row r="59" spans="1:33" ht="15" customHeight="1" x14ac:dyDescent="0.2">
      <c r="A59" s="415" t="s">
        <v>40</v>
      </c>
      <c r="B59" s="416" t="s">
        <v>528</v>
      </c>
      <c r="C59" s="431"/>
      <c r="D59" s="428">
        <v>106449</v>
      </c>
      <c r="E59" s="428">
        <v>9</v>
      </c>
      <c r="F59" s="235">
        <f t="shared" si="7"/>
        <v>106239</v>
      </c>
      <c r="G59" s="234">
        <f t="shared" si="8"/>
        <v>103994</v>
      </c>
      <c r="H59" s="238">
        <v>73832</v>
      </c>
      <c r="I59" s="239">
        <v>70911</v>
      </c>
      <c r="J59" s="238">
        <v>9103</v>
      </c>
      <c r="K59" s="240">
        <v>10597</v>
      </c>
      <c r="L59" s="238">
        <v>23304</v>
      </c>
      <c r="M59" s="238">
        <v>0</v>
      </c>
      <c r="N59" s="238">
        <v>0</v>
      </c>
      <c r="O59" s="239">
        <v>22486</v>
      </c>
      <c r="P59" s="239">
        <v>0</v>
      </c>
      <c r="Q59" s="240"/>
      <c r="R59" s="238"/>
      <c r="S59" s="240"/>
      <c r="T59" s="236">
        <f t="shared" si="9"/>
        <v>0</v>
      </c>
      <c r="U59" s="237">
        <f t="shared" si="10"/>
        <v>0</v>
      </c>
      <c r="V59" s="238"/>
      <c r="W59" s="239"/>
      <c r="X59" s="241"/>
      <c r="Y59" s="240"/>
      <c r="Z59" s="238"/>
      <c r="AA59" s="238"/>
      <c r="AB59" s="238"/>
      <c r="AC59" s="239"/>
      <c r="AD59" s="239"/>
      <c r="AE59" s="240"/>
      <c r="AF59" s="238"/>
      <c r="AG59" s="239"/>
    </row>
    <row r="60" spans="1:33" ht="15" customHeight="1" x14ac:dyDescent="0.2">
      <c r="A60" s="415" t="s">
        <v>40</v>
      </c>
      <c r="B60" s="424" t="s">
        <v>529</v>
      </c>
      <c r="C60" s="425"/>
      <c r="D60" s="418">
        <v>106980</v>
      </c>
      <c r="E60" s="418">
        <v>9</v>
      </c>
      <c r="F60" s="235">
        <f t="shared" si="7"/>
        <v>86676</v>
      </c>
      <c r="G60" s="234">
        <f t="shared" si="8"/>
        <v>76543</v>
      </c>
      <c r="H60" s="238">
        <v>75458</v>
      </c>
      <c r="I60" s="239">
        <v>61118</v>
      </c>
      <c r="J60" s="238">
        <v>0</v>
      </c>
      <c r="K60" s="240">
        <v>3518</v>
      </c>
      <c r="L60" s="238">
        <v>11218</v>
      </c>
      <c r="M60" s="238">
        <v>0</v>
      </c>
      <c r="N60" s="238">
        <v>0</v>
      </c>
      <c r="O60" s="239">
        <v>11907</v>
      </c>
      <c r="P60" s="239">
        <v>0</v>
      </c>
      <c r="Q60" s="240"/>
      <c r="R60" s="238"/>
      <c r="S60" s="240"/>
      <c r="T60" s="236">
        <f t="shared" si="9"/>
        <v>0</v>
      </c>
      <c r="U60" s="237">
        <f t="shared" si="10"/>
        <v>0</v>
      </c>
      <c r="V60" s="238"/>
      <c r="W60" s="239"/>
      <c r="X60" s="241"/>
      <c r="Y60" s="240"/>
      <c r="Z60" s="238"/>
      <c r="AA60" s="238"/>
      <c r="AB60" s="238"/>
      <c r="AC60" s="239"/>
      <c r="AD60" s="239"/>
      <c r="AE60" s="240"/>
      <c r="AF60" s="238"/>
      <c r="AG60" s="239"/>
    </row>
    <row r="61" spans="1:33" ht="15" customHeight="1" x14ac:dyDescent="0.2">
      <c r="A61" s="415" t="s">
        <v>40</v>
      </c>
      <c r="B61" s="416" t="s">
        <v>530</v>
      </c>
      <c r="C61" s="431"/>
      <c r="D61" s="428">
        <v>107327</v>
      </c>
      <c r="E61" s="428">
        <v>10</v>
      </c>
      <c r="F61" s="235">
        <f t="shared" si="7"/>
        <v>41015</v>
      </c>
      <c r="G61" s="234">
        <f t="shared" si="8"/>
        <v>37274</v>
      </c>
      <c r="H61" s="238">
        <v>31212</v>
      </c>
      <c r="I61" s="239">
        <v>27691</v>
      </c>
      <c r="J61" s="238">
        <v>3522</v>
      </c>
      <c r="K61" s="240">
        <v>3349</v>
      </c>
      <c r="L61" s="238">
        <v>5795</v>
      </c>
      <c r="M61" s="238">
        <v>486</v>
      </c>
      <c r="N61" s="238">
        <v>0</v>
      </c>
      <c r="O61" s="239">
        <v>6234</v>
      </c>
      <c r="P61" s="239">
        <v>0</v>
      </c>
      <c r="Q61" s="240"/>
      <c r="R61" s="238"/>
      <c r="S61" s="240"/>
      <c r="T61" s="236">
        <f t="shared" si="9"/>
        <v>0</v>
      </c>
      <c r="U61" s="237">
        <f t="shared" si="10"/>
        <v>0</v>
      </c>
      <c r="V61" s="238"/>
      <c r="W61" s="239"/>
      <c r="X61" s="241"/>
      <c r="Y61" s="240"/>
      <c r="Z61" s="238"/>
      <c r="AA61" s="238"/>
      <c r="AB61" s="238"/>
      <c r="AC61" s="239"/>
      <c r="AD61" s="239"/>
      <c r="AE61" s="240"/>
      <c r="AF61" s="238"/>
      <c r="AG61" s="239"/>
    </row>
    <row r="62" spans="1:33" ht="15" customHeight="1" thickBot="1" x14ac:dyDescent="0.25">
      <c r="A62" s="415" t="s">
        <v>40</v>
      </c>
      <c r="B62" s="416" t="s">
        <v>531</v>
      </c>
      <c r="C62" s="431"/>
      <c r="D62" s="428">
        <v>420538</v>
      </c>
      <c r="E62" s="428">
        <v>10</v>
      </c>
      <c r="F62" s="235">
        <f t="shared" si="7"/>
        <v>35572</v>
      </c>
      <c r="G62" s="234">
        <f t="shared" si="8"/>
        <v>35326</v>
      </c>
      <c r="H62" s="238">
        <v>21644</v>
      </c>
      <c r="I62" s="239">
        <v>22261</v>
      </c>
      <c r="J62" s="238">
        <v>940</v>
      </c>
      <c r="K62" s="240">
        <v>900</v>
      </c>
      <c r="L62" s="238">
        <v>12720</v>
      </c>
      <c r="M62" s="238">
        <v>268</v>
      </c>
      <c r="N62" s="238">
        <v>0</v>
      </c>
      <c r="O62" s="239">
        <v>11857</v>
      </c>
      <c r="P62" s="239">
        <v>308</v>
      </c>
      <c r="Q62" s="240"/>
      <c r="R62" s="238"/>
      <c r="S62" s="240"/>
      <c r="T62" s="236">
        <f t="shared" si="9"/>
        <v>0</v>
      </c>
      <c r="U62" s="237">
        <f t="shared" si="10"/>
        <v>0</v>
      </c>
      <c r="V62" s="238"/>
      <c r="W62" s="239"/>
      <c r="X62" s="241"/>
      <c r="Y62" s="240"/>
      <c r="Z62" s="238"/>
      <c r="AA62" s="238"/>
      <c r="AB62" s="238"/>
      <c r="AC62" s="239"/>
      <c r="AD62" s="239"/>
      <c r="AE62" s="240"/>
      <c r="AF62" s="238"/>
      <c r="AG62" s="239"/>
    </row>
    <row r="63" spans="1:33" ht="15" customHeight="1" thickBot="1" x14ac:dyDescent="0.25">
      <c r="A63" s="415" t="s">
        <v>40</v>
      </c>
      <c r="B63" s="416" t="s">
        <v>532</v>
      </c>
      <c r="C63" s="431"/>
      <c r="D63" s="428">
        <v>440402</v>
      </c>
      <c r="E63" s="428">
        <v>10</v>
      </c>
      <c r="F63" s="235">
        <f t="shared" si="7"/>
        <v>44215</v>
      </c>
      <c r="G63" s="234">
        <f t="shared" si="8"/>
        <v>44958</v>
      </c>
      <c r="H63" s="238">
        <v>9167</v>
      </c>
      <c r="I63" s="588">
        <v>13169</v>
      </c>
      <c r="J63" s="238">
        <v>16768</v>
      </c>
      <c r="K63" s="588">
        <v>14478</v>
      </c>
      <c r="L63" s="238">
        <v>17035</v>
      </c>
      <c r="M63" s="238">
        <v>1245</v>
      </c>
      <c r="N63" s="238">
        <v>0</v>
      </c>
      <c r="O63" s="588">
        <v>16394</v>
      </c>
      <c r="P63" s="239">
        <v>917</v>
      </c>
      <c r="Q63" s="240"/>
      <c r="R63" s="238"/>
      <c r="S63" s="240"/>
      <c r="T63" s="236">
        <f t="shared" si="9"/>
        <v>0</v>
      </c>
      <c r="U63" s="237">
        <f t="shared" si="10"/>
        <v>0</v>
      </c>
      <c r="V63" s="238"/>
      <c r="W63" s="239"/>
      <c r="X63" s="241"/>
      <c r="Y63" s="240"/>
      <c r="Z63" s="238"/>
      <c r="AA63" s="238"/>
      <c r="AB63" s="238"/>
      <c r="AC63" s="239"/>
      <c r="AD63" s="239"/>
      <c r="AE63" s="240"/>
      <c r="AF63" s="238"/>
      <c r="AG63" s="239"/>
    </row>
    <row r="64" spans="1:33" ht="15" customHeight="1" x14ac:dyDescent="0.2">
      <c r="A64" s="415" t="s">
        <v>40</v>
      </c>
      <c r="B64" s="416" t="s">
        <v>533</v>
      </c>
      <c r="C64" s="417"/>
      <c r="D64" s="428">
        <v>106625</v>
      </c>
      <c r="E64" s="428">
        <v>10</v>
      </c>
      <c r="F64" s="235">
        <f t="shared" si="7"/>
        <v>62967</v>
      </c>
      <c r="G64" s="234">
        <f t="shared" si="8"/>
        <v>59237</v>
      </c>
      <c r="H64" s="238">
        <v>30003</v>
      </c>
      <c r="I64" s="239">
        <v>35072</v>
      </c>
      <c r="J64" s="238">
        <v>18701</v>
      </c>
      <c r="K64" s="240">
        <v>10188</v>
      </c>
      <c r="L64" s="238">
        <v>11938</v>
      </c>
      <c r="M64" s="238">
        <v>2325</v>
      </c>
      <c r="N64" s="238">
        <v>0</v>
      </c>
      <c r="O64" s="239">
        <v>12048</v>
      </c>
      <c r="P64" s="239">
        <v>1929</v>
      </c>
      <c r="Q64" s="240"/>
      <c r="R64" s="238"/>
      <c r="S64" s="240"/>
      <c r="T64" s="236">
        <f t="shared" si="9"/>
        <v>0</v>
      </c>
      <c r="U64" s="237">
        <f t="shared" si="10"/>
        <v>0</v>
      </c>
      <c r="V64" s="238"/>
      <c r="W64" s="239"/>
      <c r="X64" s="241"/>
      <c r="Y64" s="240"/>
      <c r="Z64" s="238"/>
      <c r="AA64" s="238"/>
      <c r="AB64" s="238"/>
      <c r="AC64" s="239"/>
      <c r="AD64" s="239"/>
      <c r="AE64" s="240"/>
      <c r="AF64" s="238"/>
      <c r="AG64" s="239"/>
    </row>
    <row r="65" spans="1:33" ht="15" customHeight="1" x14ac:dyDescent="0.2">
      <c r="A65" s="415" t="s">
        <v>40</v>
      </c>
      <c r="B65" s="416" t="s">
        <v>534</v>
      </c>
      <c r="C65" s="419"/>
      <c r="D65" s="428">
        <v>107521</v>
      </c>
      <c r="E65" s="428">
        <v>10</v>
      </c>
      <c r="F65" s="235">
        <f t="shared" si="7"/>
        <v>29256</v>
      </c>
      <c r="G65" s="234">
        <f t="shared" si="8"/>
        <v>27738</v>
      </c>
      <c r="H65" s="238">
        <v>21984</v>
      </c>
      <c r="I65" s="239">
        <v>20608</v>
      </c>
      <c r="J65" s="238">
        <v>2058</v>
      </c>
      <c r="K65" s="240">
        <v>1912</v>
      </c>
      <c r="L65" s="238">
        <v>5049</v>
      </c>
      <c r="M65" s="238">
        <v>165</v>
      </c>
      <c r="N65" s="238">
        <v>0</v>
      </c>
      <c r="O65" s="239">
        <v>5179</v>
      </c>
      <c r="P65" s="239">
        <v>39</v>
      </c>
      <c r="Q65" s="240"/>
      <c r="R65" s="238"/>
      <c r="S65" s="240"/>
      <c r="T65" s="236">
        <f t="shared" si="9"/>
        <v>0</v>
      </c>
      <c r="U65" s="237">
        <f t="shared" si="10"/>
        <v>0</v>
      </c>
      <c r="V65" s="238"/>
      <c r="W65" s="239"/>
      <c r="X65" s="241"/>
      <c r="Y65" s="240"/>
      <c r="Z65" s="238"/>
      <c r="AA65" s="238"/>
      <c r="AB65" s="238"/>
      <c r="AC65" s="239"/>
      <c r="AD65" s="239"/>
      <c r="AE65" s="240"/>
      <c r="AF65" s="238"/>
      <c r="AG65" s="239"/>
    </row>
    <row r="66" spans="1:33" ht="15" customHeight="1" x14ac:dyDescent="0.2">
      <c r="A66" s="415" t="s">
        <v>40</v>
      </c>
      <c r="B66" s="416" t="s">
        <v>535</v>
      </c>
      <c r="C66" s="431"/>
      <c r="D66" s="428">
        <v>106795</v>
      </c>
      <c r="E66" s="428">
        <v>10</v>
      </c>
      <c r="F66" s="235">
        <f t="shared" si="7"/>
        <v>31651</v>
      </c>
      <c r="G66" s="234">
        <f t="shared" si="8"/>
        <v>29673</v>
      </c>
      <c r="H66" s="238">
        <v>7474</v>
      </c>
      <c r="I66" s="239">
        <v>6841</v>
      </c>
      <c r="J66" s="238">
        <v>9385</v>
      </c>
      <c r="K66" s="240">
        <v>10375</v>
      </c>
      <c r="L66" s="238">
        <v>11364</v>
      </c>
      <c r="M66" s="238">
        <v>3428</v>
      </c>
      <c r="N66" s="238">
        <v>0</v>
      </c>
      <c r="O66" s="239">
        <v>9752</v>
      </c>
      <c r="P66" s="239">
        <v>2705</v>
      </c>
      <c r="Q66" s="240"/>
      <c r="R66" s="238"/>
      <c r="S66" s="240"/>
      <c r="T66" s="236">
        <f t="shared" si="9"/>
        <v>0</v>
      </c>
      <c r="U66" s="237">
        <f t="shared" si="10"/>
        <v>0</v>
      </c>
      <c r="V66" s="238"/>
      <c r="W66" s="239"/>
      <c r="X66" s="241"/>
      <c r="Y66" s="240"/>
      <c r="Z66" s="238"/>
      <c r="AA66" s="238"/>
      <c r="AB66" s="238"/>
      <c r="AC66" s="239"/>
      <c r="AD66" s="239"/>
      <c r="AE66" s="240"/>
      <c r="AF66" s="238"/>
      <c r="AG66" s="239"/>
    </row>
    <row r="67" spans="1:33" ht="15" customHeight="1" x14ac:dyDescent="0.2">
      <c r="A67" s="415" t="s">
        <v>40</v>
      </c>
      <c r="B67" s="416" t="s">
        <v>536</v>
      </c>
      <c r="C67" s="431"/>
      <c r="D67" s="428">
        <v>106883</v>
      </c>
      <c r="E67" s="428">
        <v>10</v>
      </c>
      <c r="F67" s="235">
        <f t="shared" si="7"/>
        <v>29418</v>
      </c>
      <c r="G67" s="234">
        <f t="shared" si="8"/>
        <v>28122</v>
      </c>
      <c r="H67" s="238">
        <v>17476</v>
      </c>
      <c r="I67" s="239">
        <v>14712</v>
      </c>
      <c r="J67" s="238">
        <v>6563</v>
      </c>
      <c r="K67" s="240">
        <v>6554</v>
      </c>
      <c r="L67" s="238">
        <v>4864</v>
      </c>
      <c r="M67" s="238">
        <v>515</v>
      </c>
      <c r="N67" s="238">
        <v>0</v>
      </c>
      <c r="O67" s="239">
        <v>5884</v>
      </c>
      <c r="P67" s="239">
        <v>972</v>
      </c>
      <c r="Q67" s="240"/>
      <c r="R67" s="238"/>
      <c r="S67" s="240"/>
      <c r="T67" s="236">
        <f t="shared" si="9"/>
        <v>0</v>
      </c>
      <c r="U67" s="237">
        <f t="shared" si="10"/>
        <v>0</v>
      </c>
      <c r="V67" s="238"/>
      <c r="W67" s="239"/>
      <c r="X67" s="241"/>
      <c r="Y67" s="240"/>
      <c r="Z67" s="238"/>
      <c r="AA67" s="238"/>
      <c r="AB67" s="238"/>
      <c r="AC67" s="239"/>
      <c r="AD67" s="239"/>
      <c r="AE67" s="240"/>
      <c r="AF67" s="238"/>
      <c r="AG67" s="239"/>
    </row>
    <row r="68" spans="1:33" ht="15" customHeight="1" x14ac:dyDescent="0.2">
      <c r="A68" s="415" t="s">
        <v>40</v>
      </c>
      <c r="B68" s="416" t="s">
        <v>537</v>
      </c>
      <c r="C68" s="431"/>
      <c r="D68" s="428">
        <v>107318</v>
      </c>
      <c r="E68" s="428">
        <v>10</v>
      </c>
      <c r="F68" s="235">
        <f t="shared" si="7"/>
        <v>38654</v>
      </c>
      <c r="G68" s="234">
        <f t="shared" si="8"/>
        <v>37751</v>
      </c>
      <c r="H68" s="238">
        <v>35966</v>
      </c>
      <c r="I68" s="239">
        <v>36292</v>
      </c>
      <c r="J68" s="238">
        <v>541</v>
      </c>
      <c r="K68" s="240">
        <v>587</v>
      </c>
      <c r="L68" s="238">
        <v>2147</v>
      </c>
      <c r="M68" s="238">
        <v>0</v>
      </c>
      <c r="N68" s="238">
        <v>0</v>
      </c>
      <c r="O68" s="239">
        <v>872</v>
      </c>
      <c r="P68" s="239">
        <v>0</v>
      </c>
      <c r="Q68" s="240"/>
      <c r="R68" s="238"/>
      <c r="S68" s="240"/>
      <c r="T68" s="236">
        <f t="shared" si="9"/>
        <v>0</v>
      </c>
      <c r="U68" s="237">
        <f t="shared" si="10"/>
        <v>0</v>
      </c>
      <c r="V68" s="238"/>
      <c r="W68" s="239"/>
      <c r="X68" s="241"/>
      <c r="Y68" s="240"/>
      <c r="Z68" s="238"/>
      <c r="AA68" s="238"/>
      <c r="AB68" s="238"/>
      <c r="AC68" s="239"/>
      <c r="AD68" s="239"/>
      <c r="AE68" s="240"/>
      <c r="AF68" s="238"/>
      <c r="AG68" s="239"/>
    </row>
    <row r="69" spans="1:33" ht="15" customHeight="1" x14ac:dyDescent="0.2">
      <c r="A69" s="415" t="s">
        <v>40</v>
      </c>
      <c r="B69" s="416" t="s">
        <v>538</v>
      </c>
      <c r="C69" s="431"/>
      <c r="D69" s="428">
        <v>107460</v>
      </c>
      <c r="E69" s="428">
        <v>10</v>
      </c>
      <c r="F69" s="235">
        <f t="shared" si="7"/>
        <v>56323</v>
      </c>
      <c r="G69" s="234">
        <f t="shared" si="8"/>
        <v>52946</v>
      </c>
      <c r="H69" s="238">
        <v>48094</v>
      </c>
      <c r="I69" s="239">
        <v>42947</v>
      </c>
      <c r="J69" s="238">
        <v>2761</v>
      </c>
      <c r="K69" s="240">
        <v>3882</v>
      </c>
      <c r="L69" s="238">
        <v>5468</v>
      </c>
      <c r="M69" s="238">
        <v>0</v>
      </c>
      <c r="N69" s="238">
        <v>0</v>
      </c>
      <c r="O69" s="239">
        <v>6117</v>
      </c>
      <c r="P69" s="239">
        <v>0</v>
      </c>
      <c r="Q69" s="240"/>
      <c r="R69" s="238"/>
      <c r="S69" s="240"/>
      <c r="T69" s="236">
        <f t="shared" si="9"/>
        <v>0</v>
      </c>
      <c r="U69" s="237">
        <f t="shared" si="10"/>
        <v>0</v>
      </c>
      <c r="V69" s="238"/>
      <c r="W69" s="239"/>
      <c r="X69" s="241"/>
      <c r="Y69" s="240"/>
      <c r="Z69" s="238"/>
      <c r="AA69" s="238"/>
      <c r="AB69" s="238"/>
      <c r="AC69" s="239"/>
      <c r="AD69" s="239"/>
      <c r="AE69" s="240"/>
      <c r="AF69" s="238"/>
      <c r="AG69" s="239"/>
    </row>
    <row r="70" spans="1:33" ht="15" customHeight="1" x14ac:dyDescent="0.2">
      <c r="A70" s="415" t="s">
        <v>40</v>
      </c>
      <c r="B70" s="416" t="s">
        <v>539</v>
      </c>
      <c r="C70" s="431"/>
      <c r="D70" s="428">
        <v>107549</v>
      </c>
      <c r="E70" s="428">
        <v>10</v>
      </c>
      <c r="F70" s="235">
        <f t="shared" si="7"/>
        <v>38954</v>
      </c>
      <c r="G70" s="234">
        <f t="shared" si="8"/>
        <v>37215</v>
      </c>
      <c r="H70" s="238">
        <v>23560</v>
      </c>
      <c r="I70" s="239">
        <v>21770</v>
      </c>
      <c r="J70" s="238">
        <v>1633</v>
      </c>
      <c r="K70" s="240">
        <v>1285</v>
      </c>
      <c r="L70" s="238">
        <v>12321</v>
      </c>
      <c r="M70" s="238">
        <v>1440</v>
      </c>
      <c r="N70" s="238">
        <v>0</v>
      </c>
      <c r="O70" s="239">
        <v>13080</v>
      </c>
      <c r="P70" s="239">
        <v>1080</v>
      </c>
      <c r="Q70" s="240"/>
      <c r="R70" s="238"/>
      <c r="S70" s="240"/>
      <c r="T70" s="236">
        <f t="shared" si="9"/>
        <v>0</v>
      </c>
      <c r="U70" s="237">
        <f t="shared" si="10"/>
        <v>0</v>
      </c>
      <c r="V70" s="238"/>
      <c r="W70" s="239"/>
      <c r="X70" s="241"/>
      <c r="Y70" s="240"/>
      <c r="Z70" s="238"/>
      <c r="AA70" s="238"/>
      <c r="AB70" s="238"/>
      <c r="AC70" s="239"/>
      <c r="AD70" s="239"/>
      <c r="AE70" s="240"/>
      <c r="AF70" s="238"/>
      <c r="AG70" s="239"/>
    </row>
    <row r="71" spans="1:33" ht="15" customHeight="1" x14ac:dyDescent="0.2">
      <c r="A71" s="415" t="s">
        <v>40</v>
      </c>
      <c r="B71" s="416" t="s">
        <v>540</v>
      </c>
      <c r="C71" s="431"/>
      <c r="D71" s="428">
        <v>107619</v>
      </c>
      <c r="E71" s="428">
        <v>10</v>
      </c>
      <c r="F71" s="235">
        <f t="shared" si="7"/>
        <v>40016</v>
      </c>
      <c r="G71" s="234">
        <f t="shared" si="8"/>
        <v>35395</v>
      </c>
      <c r="H71" s="238">
        <v>35892</v>
      </c>
      <c r="I71" s="239">
        <v>31779</v>
      </c>
      <c r="J71" s="238">
        <v>0</v>
      </c>
      <c r="K71" s="240">
        <v>0</v>
      </c>
      <c r="L71" s="238">
        <v>2877</v>
      </c>
      <c r="M71" s="238">
        <v>1011</v>
      </c>
      <c r="N71" s="238">
        <v>236</v>
      </c>
      <c r="O71" s="239">
        <v>2530</v>
      </c>
      <c r="P71" s="239">
        <v>949</v>
      </c>
      <c r="Q71" s="240">
        <v>137</v>
      </c>
      <c r="R71" s="238"/>
      <c r="S71" s="240"/>
      <c r="T71" s="236">
        <f t="shared" si="9"/>
        <v>0</v>
      </c>
      <c r="U71" s="237">
        <f t="shared" si="10"/>
        <v>0</v>
      </c>
      <c r="V71" s="238"/>
      <c r="W71" s="239"/>
      <c r="X71" s="241"/>
      <c r="Y71" s="240"/>
      <c r="Z71" s="238"/>
      <c r="AA71" s="238"/>
      <c r="AB71" s="238"/>
      <c r="AC71" s="239"/>
      <c r="AD71" s="239"/>
      <c r="AE71" s="240"/>
      <c r="AF71" s="238"/>
      <c r="AG71" s="239"/>
    </row>
    <row r="72" spans="1:33" ht="15" customHeight="1" x14ac:dyDescent="0.2">
      <c r="A72" s="415" t="s">
        <v>40</v>
      </c>
      <c r="B72" s="416" t="s">
        <v>541</v>
      </c>
      <c r="C72" s="431"/>
      <c r="D72" s="428">
        <v>107743</v>
      </c>
      <c r="E72" s="428">
        <v>10</v>
      </c>
      <c r="F72" s="235">
        <f t="shared" ref="F72:F124" si="11">SUM(H72,J72,L72,M72,N72,R72)</f>
        <v>20833</v>
      </c>
      <c r="G72" s="234">
        <f t="shared" ref="G72:G124" si="12">SUM(I72,K72,O72,P72,Q72,S72)</f>
        <v>19033</v>
      </c>
      <c r="H72" s="238">
        <v>11925</v>
      </c>
      <c r="I72" s="239">
        <v>11285</v>
      </c>
      <c r="J72" s="238">
        <v>5078</v>
      </c>
      <c r="K72" s="240">
        <v>4180</v>
      </c>
      <c r="L72" s="238">
        <v>3623</v>
      </c>
      <c r="M72" s="238">
        <v>207</v>
      </c>
      <c r="N72" s="238">
        <v>0</v>
      </c>
      <c r="O72" s="239">
        <v>3289</v>
      </c>
      <c r="P72" s="239">
        <v>207</v>
      </c>
      <c r="Q72" s="240">
        <v>72</v>
      </c>
      <c r="R72" s="238"/>
      <c r="S72" s="240"/>
      <c r="T72" s="236">
        <f t="shared" ref="T72:T123" si="13">SUM(V72,X72,Z72,AA72,AB72,AF72)</f>
        <v>0</v>
      </c>
      <c r="U72" s="237">
        <f t="shared" ref="U72:U123" si="14">SUM(W72,Y72,AC72,AD72,AE72,AG72)</f>
        <v>0</v>
      </c>
      <c r="V72" s="238"/>
      <c r="W72" s="239"/>
      <c r="X72" s="241"/>
      <c r="Y72" s="240"/>
      <c r="Z72" s="238"/>
      <c r="AA72" s="238"/>
      <c r="AB72" s="238"/>
      <c r="AC72" s="239"/>
      <c r="AD72" s="239"/>
      <c r="AE72" s="240"/>
      <c r="AF72" s="238"/>
      <c r="AG72" s="239"/>
    </row>
    <row r="73" spans="1:33" ht="15" customHeight="1" x14ac:dyDescent="0.2">
      <c r="A73" s="415" t="s">
        <v>40</v>
      </c>
      <c r="B73" s="416" t="s">
        <v>542</v>
      </c>
      <c r="C73" s="431"/>
      <c r="D73" s="428">
        <v>107974</v>
      </c>
      <c r="E73" s="428">
        <v>10</v>
      </c>
      <c r="F73" s="235">
        <f t="shared" si="11"/>
        <v>41745</v>
      </c>
      <c r="G73" s="234">
        <f t="shared" si="12"/>
        <v>40341</v>
      </c>
      <c r="H73" s="238">
        <v>33028</v>
      </c>
      <c r="I73" s="239">
        <v>29376</v>
      </c>
      <c r="J73" s="238">
        <v>807</v>
      </c>
      <c r="K73" s="240">
        <v>3251</v>
      </c>
      <c r="L73" s="238">
        <v>7859</v>
      </c>
      <c r="M73" s="238">
        <v>0</v>
      </c>
      <c r="N73" s="238">
        <v>0</v>
      </c>
      <c r="O73" s="239">
        <v>7690</v>
      </c>
      <c r="P73" s="239">
        <v>0</v>
      </c>
      <c r="Q73" s="240"/>
      <c r="R73" s="238">
        <v>51</v>
      </c>
      <c r="S73" s="240">
        <v>24</v>
      </c>
      <c r="T73" s="236">
        <f t="shared" si="13"/>
        <v>0</v>
      </c>
      <c r="U73" s="237">
        <f t="shared" si="14"/>
        <v>0</v>
      </c>
      <c r="V73" s="238"/>
      <c r="W73" s="239"/>
      <c r="X73" s="241"/>
      <c r="Y73" s="240"/>
      <c r="Z73" s="238"/>
      <c r="AA73" s="238"/>
      <c r="AB73" s="238"/>
      <c r="AC73" s="239"/>
      <c r="AD73" s="239"/>
      <c r="AE73" s="240"/>
      <c r="AF73" s="238"/>
      <c r="AG73" s="239"/>
    </row>
    <row r="74" spans="1:33" ht="15" customHeight="1" x14ac:dyDescent="0.2">
      <c r="A74" s="415" t="s">
        <v>40</v>
      </c>
      <c r="B74" s="416" t="s">
        <v>543</v>
      </c>
      <c r="C74" s="431"/>
      <c r="D74" s="428">
        <v>107637</v>
      </c>
      <c r="E74" s="428">
        <v>10</v>
      </c>
      <c r="F74" s="235">
        <f t="shared" si="11"/>
        <v>46869</v>
      </c>
      <c r="G74" s="234">
        <f t="shared" si="12"/>
        <v>41903</v>
      </c>
      <c r="H74" s="238">
        <v>39854</v>
      </c>
      <c r="I74" s="239">
        <v>36366</v>
      </c>
      <c r="J74" s="238">
        <v>2808</v>
      </c>
      <c r="K74" s="240">
        <v>2208</v>
      </c>
      <c r="L74" s="238">
        <v>4207</v>
      </c>
      <c r="M74" s="238">
        <v>0</v>
      </c>
      <c r="N74" s="238">
        <v>0</v>
      </c>
      <c r="O74" s="239">
        <v>3329</v>
      </c>
      <c r="P74" s="239">
        <v>0</v>
      </c>
      <c r="Q74" s="240"/>
      <c r="R74" s="238"/>
      <c r="S74" s="240"/>
      <c r="T74" s="236">
        <f t="shared" si="13"/>
        <v>0</v>
      </c>
      <c r="U74" s="237">
        <f t="shared" si="14"/>
        <v>0</v>
      </c>
      <c r="V74" s="238"/>
      <c r="W74" s="239"/>
      <c r="X74" s="241"/>
      <c r="Y74" s="240"/>
      <c r="Z74" s="238"/>
      <c r="AA74" s="238"/>
      <c r="AB74" s="238"/>
      <c r="AC74" s="239"/>
      <c r="AD74" s="239"/>
      <c r="AE74" s="240"/>
      <c r="AF74" s="238"/>
      <c r="AG74" s="239"/>
    </row>
    <row r="75" spans="1:33" ht="15" customHeight="1" x14ac:dyDescent="0.2">
      <c r="A75" s="415" t="s">
        <v>40</v>
      </c>
      <c r="B75" s="416" t="s">
        <v>544</v>
      </c>
      <c r="C75" s="431"/>
      <c r="D75" s="428">
        <v>107992</v>
      </c>
      <c r="E75" s="428">
        <v>10</v>
      </c>
      <c r="F75" s="235">
        <f t="shared" si="11"/>
        <v>42257</v>
      </c>
      <c r="G75" s="234">
        <f t="shared" si="12"/>
        <v>39815</v>
      </c>
      <c r="H75" s="238">
        <v>18096</v>
      </c>
      <c r="I75" s="239">
        <v>17693</v>
      </c>
      <c r="J75" s="238">
        <v>14516</v>
      </c>
      <c r="K75" s="240">
        <v>13487</v>
      </c>
      <c r="L75" s="238">
        <v>9645</v>
      </c>
      <c r="M75" s="238">
        <v>0</v>
      </c>
      <c r="N75" s="238">
        <v>0</v>
      </c>
      <c r="O75" s="239">
        <v>8635</v>
      </c>
      <c r="P75" s="239">
        <v>0</v>
      </c>
      <c r="Q75" s="240"/>
      <c r="R75" s="238"/>
      <c r="S75" s="240"/>
      <c r="T75" s="236">
        <f t="shared" si="13"/>
        <v>0</v>
      </c>
      <c r="U75" s="237">
        <f t="shared" si="14"/>
        <v>0</v>
      </c>
      <c r="V75" s="238"/>
      <c r="W75" s="239"/>
      <c r="X75" s="241"/>
      <c r="Y75" s="240"/>
      <c r="Z75" s="238"/>
      <c r="AA75" s="238"/>
      <c r="AB75" s="238"/>
      <c r="AC75" s="239"/>
      <c r="AD75" s="239"/>
      <c r="AE75" s="240"/>
      <c r="AF75" s="238"/>
      <c r="AG75" s="239"/>
    </row>
    <row r="76" spans="1:33" ht="15" customHeight="1" thickBot="1" x14ac:dyDescent="0.25">
      <c r="A76" s="415" t="s">
        <v>40</v>
      </c>
      <c r="B76" s="416" t="s">
        <v>545</v>
      </c>
      <c r="C76" s="431"/>
      <c r="D76" s="428">
        <v>106999</v>
      </c>
      <c r="E76" s="428">
        <v>10</v>
      </c>
      <c r="F76" s="235">
        <f t="shared" si="11"/>
        <v>38625</v>
      </c>
      <c r="G76" s="234">
        <f t="shared" si="12"/>
        <v>33447</v>
      </c>
      <c r="H76" s="238">
        <v>30402</v>
      </c>
      <c r="I76" s="239">
        <v>26370</v>
      </c>
      <c r="J76" s="238">
        <v>1310</v>
      </c>
      <c r="K76" s="240">
        <v>1379</v>
      </c>
      <c r="L76" s="238">
        <v>6913</v>
      </c>
      <c r="M76" s="238">
        <v>0</v>
      </c>
      <c r="N76" s="238">
        <v>0</v>
      </c>
      <c r="O76" s="239">
        <v>5698</v>
      </c>
      <c r="P76" s="239">
        <v>0</v>
      </c>
      <c r="Q76" s="240"/>
      <c r="R76" s="238"/>
      <c r="S76" s="240"/>
      <c r="T76" s="236">
        <f t="shared" si="13"/>
        <v>0</v>
      </c>
      <c r="U76" s="237">
        <f t="shared" si="14"/>
        <v>0</v>
      </c>
      <c r="V76" s="238"/>
      <c r="W76" s="239"/>
      <c r="X76" s="241"/>
      <c r="Y76" s="240"/>
      <c r="Z76" s="238"/>
      <c r="AA76" s="238"/>
      <c r="AB76" s="238"/>
      <c r="AC76" s="239"/>
      <c r="AD76" s="239"/>
      <c r="AE76" s="240"/>
      <c r="AF76" s="238"/>
      <c r="AG76" s="239"/>
    </row>
    <row r="77" spans="1:33" ht="13.5" thickBot="1" x14ac:dyDescent="0.25">
      <c r="A77" s="415" t="s">
        <v>40</v>
      </c>
      <c r="B77" s="416" t="s">
        <v>546</v>
      </c>
      <c r="C77" s="431"/>
      <c r="D77" s="428">
        <v>107725</v>
      </c>
      <c r="E77" s="428">
        <v>10</v>
      </c>
      <c r="F77" s="235">
        <f t="shared" si="11"/>
        <v>31481</v>
      </c>
      <c r="G77" s="234">
        <f t="shared" si="12"/>
        <v>29135</v>
      </c>
      <c r="H77" s="238">
        <v>31220</v>
      </c>
      <c r="I77" s="588">
        <v>23315</v>
      </c>
      <c r="J77" s="238">
        <v>0</v>
      </c>
      <c r="K77" s="588">
        <v>2539</v>
      </c>
      <c r="L77" s="238">
        <v>9</v>
      </c>
      <c r="M77" s="238">
        <v>252</v>
      </c>
      <c r="N77" s="238">
        <v>0</v>
      </c>
      <c r="O77" s="588">
        <v>2669</v>
      </c>
      <c r="P77" s="588">
        <v>612</v>
      </c>
      <c r="Q77" s="240"/>
      <c r="R77" s="238"/>
      <c r="S77" s="240"/>
      <c r="T77" s="236">
        <f t="shared" si="13"/>
        <v>0</v>
      </c>
      <c r="U77" s="237">
        <f t="shared" si="14"/>
        <v>0</v>
      </c>
      <c r="V77" s="238"/>
      <c r="W77" s="239"/>
      <c r="X77" s="241"/>
      <c r="Y77" s="240"/>
      <c r="Z77" s="238"/>
      <c r="AA77" s="238"/>
      <c r="AB77" s="238"/>
      <c r="AC77" s="239"/>
      <c r="AD77" s="239"/>
      <c r="AE77" s="240"/>
      <c r="AF77" s="238"/>
      <c r="AG77" s="239"/>
    </row>
    <row r="78" spans="1:33" x14ac:dyDescent="0.2">
      <c r="A78" s="415" t="s">
        <v>40</v>
      </c>
      <c r="B78" s="416" t="s">
        <v>547</v>
      </c>
      <c r="C78" s="431"/>
      <c r="D78" s="428">
        <v>107585</v>
      </c>
      <c r="E78" s="428">
        <v>10</v>
      </c>
      <c r="F78" s="235">
        <f t="shared" si="11"/>
        <v>57941</v>
      </c>
      <c r="G78" s="234">
        <f t="shared" si="12"/>
        <v>51642</v>
      </c>
      <c r="H78" s="238">
        <v>55241</v>
      </c>
      <c r="I78" s="239">
        <v>49179</v>
      </c>
      <c r="J78" s="238">
        <v>0</v>
      </c>
      <c r="K78" s="240">
        <v>0</v>
      </c>
      <c r="L78" s="238">
        <v>2700</v>
      </c>
      <c r="M78" s="238">
        <v>0</v>
      </c>
      <c r="N78" s="238">
        <v>0</v>
      </c>
      <c r="O78" s="239">
        <v>2463</v>
      </c>
      <c r="P78" s="239">
        <v>0</v>
      </c>
      <c r="Q78" s="240"/>
      <c r="R78" s="238"/>
      <c r="S78" s="240"/>
      <c r="T78" s="236">
        <f t="shared" si="13"/>
        <v>0</v>
      </c>
      <c r="U78" s="237">
        <f t="shared" si="14"/>
        <v>0</v>
      </c>
      <c r="V78" s="238"/>
      <c r="W78" s="239"/>
      <c r="X78" s="241"/>
      <c r="Y78" s="240"/>
      <c r="Z78" s="238"/>
      <c r="AA78" s="238"/>
      <c r="AB78" s="238"/>
      <c r="AC78" s="239"/>
      <c r="AD78" s="239"/>
      <c r="AE78" s="240"/>
      <c r="AF78" s="238"/>
      <c r="AG78" s="239"/>
    </row>
    <row r="79" spans="1:33" x14ac:dyDescent="0.2">
      <c r="A79" s="415" t="s">
        <v>40</v>
      </c>
      <c r="B79" s="416" t="s">
        <v>548</v>
      </c>
      <c r="C79" s="417"/>
      <c r="D79" s="418">
        <v>106263</v>
      </c>
      <c r="E79" s="418">
        <v>15</v>
      </c>
      <c r="F79" s="235">
        <f t="shared" si="11"/>
        <v>0</v>
      </c>
      <c r="G79" s="234">
        <f t="shared" si="12"/>
        <v>20081</v>
      </c>
      <c r="H79" s="238"/>
      <c r="I79" s="239">
        <v>20081</v>
      </c>
      <c r="J79" s="238"/>
      <c r="K79" s="240">
        <v>0</v>
      </c>
      <c r="L79" s="238"/>
      <c r="M79" s="238"/>
      <c r="N79" s="238"/>
      <c r="O79" s="239">
        <v>0</v>
      </c>
      <c r="P79" s="239">
        <v>0</v>
      </c>
      <c r="Q79" s="240"/>
      <c r="R79" s="238"/>
      <c r="S79" s="240"/>
      <c r="T79" s="236">
        <f t="shared" si="13"/>
        <v>0</v>
      </c>
      <c r="U79" s="237">
        <f t="shared" si="14"/>
        <v>52831</v>
      </c>
      <c r="V79" s="238"/>
      <c r="W79" s="239">
        <v>52831</v>
      </c>
      <c r="X79" s="241"/>
      <c r="Y79" s="240"/>
      <c r="Z79" s="238"/>
      <c r="AA79" s="238"/>
      <c r="AB79" s="238"/>
      <c r="AC79" s="239"/>
      <c r="AD79" s="239"/>
      <c r="AE79" s="240"/>
      <c r="AF79" s="238"/>
      <c r="AG79" s="239"/>
    </row>
    <row r="80" spans="1:33" ht="12.75" customHeight="1" x14ac:dyDescent="0.25">
      <c r="A80" s="469" t="s">
        <v>41</v>
      </c>
      <c r="B80" s="470" t="s">
        <v>705</v>
      </c>
      <c r="C80" s="471"/>
      <c r="D80" s="449">
        <v>130943</v>
      </c>
      <c r="E80" s="449">
        <v>1</v>
      </c>
      <c r="F80" s="235">
        <f t="shared" si="11"/>
        <v>525599</v>
      </c>
      <c r="G80" s="234">
        <f t="shared" si="12"/>
        <v>538809</v>
      </c>
      <c r="H80" s="472">
        <v>509681</v>
      </c>
      <c r="I80" s="513">
        <v>524634</v>
      </c>
      <c r="J80" s="473"/>
      <c r="K80" s="517">
        <v>0</v>
      </c>
      <c r="L80" s="473">
        <v>15918</v>
      </c>
      <c r="M80" s="473">
        <v>0</v>
      </c>
      <c r="N80" s="473">
        <v>0</v>
      </c>
      <c r="O80" s="474">
        <v>14175</v>
      </c>
      <c r="P80" s="474">
        <v>0</v>
      </c>
      <c r="Q80" s="475">
        <v>0</v>
      </c>
      <c r="R80" s="473">
        <v>0</v>
      </c>
      <c r="S80" s="475"/>
      <c r="T80" s="236">
        <f t="shared" si="13"/>
        <v>51744</v>
      </c>
      <c r="U80" s="237">
        <f t="shared" si="14"/>
        <v>50956</v>
      </c>
      <c r="V80" s="473">
        <v>48822</v>
      </c>
      <c r="W80" s="474">
        <v>48130</v>
      </c>
      <c r="X80" s="476"/>
      <c r="Y80" s="475"/>
      <c r="Z80" s="473">
        <v>2922</v>
      </c>
      <c r="AA80" s="473">
        <v>0</v>
      </c>
      <c r="AB80" s="473">
        <v>0</v>
      </c>
      <c r="AC80" s="474">
        <v>2826</v>
      </c>
      <c r="AD80" s="474"/>
      <c r="AE80" s="475"/>
      <c r="AF80" s="473">
        <v>0</v>
      </c>
      <c r="AG80" s="474"/>
    </row>
    <row r="81" spans="1:33" ht="12.75" customHeight="1" x14ac:dyDescent="0.25">
      <c r="A81" s="511" t="s">
        <v>41</v>
      </c>
      <c r="B81" s="470" t="s">
        <v>706</v>
      </c>
      <c r="C81" s="485" t="s">
        <v>549</v>
      </c>
      <c r="D81" s="449">
        <v>130934</v>
      </c>
      <c r="E81" s="480">
        <v>3</v>
      </c>
      <c r="F81" s="235">
        <f t="shared" si="11"/>
        <v>105618</v>
      </c>
      <c r="G81" s="234">
        <f t="shared" si="12"/>
        <v>110033</v>
      </c>
      <c r="H81" s="472">
        <v>103887</v>
      </c>
      <c r="I81" s="513">
        <v>108405</v>
      </c>
      <c r="J81" s="473"/>
      <c r="K81" s="517"/>
      <c r="L81" s="473">
        <v>1731</v>
      </c>
      <c r="M81" s="473">
        <v>0</v>
      </c>
      <c r="N81" s="473">
        <v>0</v>
      </c>
      <c r="O81" s="474">
        <v>1628</v>
      </c>
      <c r="P81" s="474"/>
      <c r="Q81" s="475"/>
      <c r="R81" s="473"/>
      <c r="S81" s="475"/>
      <c r="T81" s="236">
        <f t="shared" si="13"/>
        <v>11247</v>
      </c>
      <c r="U81" s="237">
        <f t="shared" si="14"/>
        <v>4537</v>
      </c>
      <c r="V81" s="473">
        <v>7767</v>
      </c>
      <c r="W81" s="474">
        <v>4384</v>
      </c>
      <c r="X81" s="476"/>
      <c r="Y81" s="475"/>
      <c r="Z81" s="473">
        <v>3480</v>
      </c>
      <c r="AA81" s="473">
        <v>0</v>
      </c>
      <c r="AB81" s="473"/>
      <c r="AC81" s="474">
        <v>153</v>
      </c>
      <c r="AD81" s="474"/>
      <c r="AE81" s="475"/>
      <c r="AF81" s="473"/>
      <c r="AG81" s="474"/>
    </row>
    <row r="82" spans="1:33" ht="12.75" customHeight="1" x14ac:dyDescent="0.25">
      <c r="A82" s="477" t="s">
        <v>41</v>
      </c>
      <c r="B82" s="478" t="s">
        <v>707</v>
      </c>
      <c r="C82" s="479"/>
      <c r="D82" s="452">
        <v>130916</v>
      </c>
      <c r="E82" s="450">
        <v>8</v>
      </c>
      <c r="F82" s="235">
        <f t="shared" si="11"/>
        <v>157752</v>
      </c>
      <c r="G82" s="234">
        <f t="shared" si="12"/>
        <v>153406</v>
      </c>
      <c r="H82" s="472">
        <v>136779</v>
      </c>
      <c r="I82" s="513">
        <v>136725</v>
      </c>
      <c r="J82" s="473"/>
      <c r="K82" s="517"/>
      <c r="L82" s="473">
        <v>13550</v>
      </c>
      <c r="M82" s="473">
        <v>276</v>
      </c>
      <c r="N82" s="473">
        <v>7147</v>
      </c>
      <c r="O82" s="474">
        <v>15378</v>
      </c>
      <c r="P82" s="474">
        <v>888</v>
      </c>
      <c r="Q82" s="475">
        <v>415</v>
      </c>
      <c r="R82" s="473"/>
      <c r="S82" s="475"/>
      <c r="T82" s="236">
        <f t="shared" si="13"/>
        <v>0</v>
      </c>
      <c r="U82" s="237">
        <f t="shared" si="14"/>
        <v>0</v>
      </c>
      <c r="V82" s="473"/>
      <c r="W82" s="474"/>
      <c r="X82" s="476"/>
      <c r="Y82" s="475"/>
      <c r="Z82" s="473"/>
      <c r="AA82" s="473"/>
      <c r="AB82" s="473"/>
      <c r="AC82" s="474"/>
      <c r="AD82" s="474"/>
      <c r="AE82" s="475"/>
      <c r="AF82" s="473"/>
      <c r="AG82" s="474"/>
    </row>
    <row r="83" spans="1:33" ht="12.75" customHeight="1" x14ac:dyDescent="0.25">
      <c r="A83" s="509" t="s">
        <v>41</v>
      </c>
      <c r="B83" s="481" t="s">
        <v>708</v>
      </c>
      <c r="C83" s="482"/>
      <c r="D83" s="452">
        <v>130891</v>
      </c>
      <c r="E83" s="452">
        <v>9</v>
      </c>
      <c r="F83" s="235">
        <f t="shared" si="11"/>
        <v>104175</v>
      </c>
      <c r="G83" s="234">
        <f t="shared" si="12"/>
        <v>98938</v>
      </c>
      <c r="H83" s="472">
        <v>85980</v>
      </c>
      <c r="I83" s="513">
        <v>82447</v>
      </c>
      <c r="J83" s="473"/>
      <c r="K83" s="517"/>
      <c r="L83" s="473">
        <v>14675</v>
      </c>
      <c r="M83" s="473">
        <v>379</v>
      </c>
      <c r="N83" s="473">
        <v>3141</v>
      </c>
      <c r="O83" s="474">
        <v>16057</v>
      </c>
      <c r="P83" s="474"/>
      <c r="Q83" s="475">
        <v>434</v>
      </c>
      <c r="R83" s="473"/>
      <c r="S83" s="475"/>
      <c r="T83" s="236">
        <f t="shared" si="13"/>
        <v>0</v>
      </c>
      <c r="U83" s="237">
        <f t="shared" si="14"/>
        <v>0</v>
      </c>
      <c r="V83" s="473"/>
      <c r="W83" s="474"/>
      <c r="X83" s="476"/>
      <c r="Y83" s="475"/>
      <c r="Z83" s="473"/>
      <c r="AA83" s="473"/>
      <c r="AB83" s="473"/>
      <c r="AC83" s="474"/>
      <c r="AD83" s="474"/>
      <c r="AE83" s="475"/>
      <c r="AF83" s="473"/>
      <c r="AG83" s="474"/>
    </row>
    <row r="84" spans="1:33" ht="12.75" customHeight="1" x14ac:dyDescent="0.25">
      <c r="A84" s="509" t="s">
        <v>41</v>
      </c>
      <c r="B84" s="483" t="s">
        <v>709</v>
      </c>
      <c r="C84" s="484"/>
      <c r="D84" s="452">
        <v>130907</v>
      </c>
      <c r="E84" s="452">
        <v>9</v>
      </c>
      <c r="F84" s="235">
        <f t="shared" si="11"/>
        <v>74593</v>
      </c>
      <c r="G84" s="234">
        <f t="shared" si="12"/>
        <v>70905</v>
      </c>
      <c r="H84" s="472">
        <v>58755</v>
      </c>
      <c r="I84" s="513">
        <v>55152</v>
      </c>
      <c r="J84" s="473"/>
      <c r="K84" s="517"/>
      <c r="L84" s="473">
        <v>9412</v>
      </c>
      <c r="M84" s="473">
        <v>131</v>
      </c>
      <c r="N84" s="473">
        <v>6295</v>
      </c>
      <c r="O84" s="474">
        <v>15330</v>
      </c>
      <c r="P84" s="474"/>
      <c r="Q84" s="475">
        <v>423</v>
      </c>
      <c r="R84" s="473"/>
      <c r="S84" s="475"/>
      <c r="T84" s="236">
        <f t="shared" si="13"/>
        <v>0</v>
      </c>
      <c r="U84" s="237">
        <f t="shared" si="14"/>
        <v>0</v>
      </c>
      <c r="V84" s="473"/>
      <c r="W84" s="474"/>
      <c r="X84" s="476"/>
      <c r="Y84" s="475"/>
      <c r="Z84" s="473"/>
      <c r="AA84" s="473"/>
      <c r="AB84" s="473"/>
      <c r="AC84" s="474"/>
      <c r="AD84" s="474"/>
      <c r="AE84" s="475"/>
      <c r="AF84" s="473"/>
      <c r="AG84" s="474"/>
    </row>
    <row r="85" spans="1:33" x14ac:dyDescent="0.2">
      <c r="A85" s="507" t="s">
        <v>42</v>
      </c>
      <c r="B85" s="441" t="s">
        <v>611</v>
      </c>
      <c r="C85" s="442"/>
      <c r="D85" s="440">
        <v>133951</v>
      </c>
      <c r="E85" s="368">
        <v>1</v>
      </c>
      <c r="F85" s="235">
        <f t="shared" si="11"/>
        <v>980018</v>
      </c>
      <c r="G85" s="234">
        <f t="shared" si="12"/>
        <v>1013973</v>
      </c>
      <c r="H85" s="231">
        <v>626050</v>
      </c>
      <c r="I85" s="443">
        <v>633796</v>
      </c>
      <c r="J85" s="231">
        <v>157723</v>
      </c>
      <c r="K85" s="444">
        <v>157163</v>
      </c>
      <c r="L85" s="231">
        <v>193967</v>
      </c>
      <c r="M85" s="231"/>
      <c r="N85" s="231">
        <v>2278</v>
      </c>
      <c r="O85" s="443">
        <v>220196</v>
      </c>
      <c r="P85" s="443"/>
      <c r="Q85" s="444">
        <v>2818</v>
      </c>
      <c r="R85" s="231"/>
      <c r="S85" s="233"/>
      <c r="T85" s="236">
        <f t="shared" si="13"/>
        <v>188255</v>
      </c>
      <c r="U85" s="237">
        <f t="shared" si="14"/>
        <v>191172</v>
      </c>
      <c r="V85" s="231">
        <v>123627</v>
      </c>
      <c r="W85" s="443">
        <v>127906</v>
      </c>
      <c r="X85" s="326">
        <v>29986</v>
      </c>
      <c r="Y85" s="444">
        <v>30319</v>
      </c>
      <c r="Z85" s="231">
        <v>34159</v>
      </c>
      <c r="AA85" s="231"/>
      <c r="AB85" s="231">
        <v>483</v>
      </c>
      <c r="AC85" s="443">
        <v>32260</v>
      </c>
      <c r="AD85" s="443"/>
      <c r="AE85" s="444">
        <v>687</v>
      </c>
      <c r="AF85" s="231"/>
      <c r="AG85" s="232"/>
    </row>
    <row r="86" spans="1:33" x14ac:dyDescent="0.2">
      <c r="A86" s="507" t="s">
        <v>42</v>
      </c>
      <c r="B86" s="441" t="s">
        <v>612</v>
      </c>
      <c r="C86" s="442"/>
      <c r="D86" s="440">
        <v>134097</v>
      </c>
      <c r="E86" s="368">
        <v>1</v>
      </c>
      <c r="F86" s="235">
        <f t="shared" si="11"/>
        <v>1008210</v>
      </c>
      <c r="G86" s="234">
        <f t="shared" si="12"/>
        <v>1004971</v>
      </c>
      <c r="H86" s="231">
        <v>838335</v>
      </c>
      <c r="I86" s="443">
        <v>822232</v>
      </c>
      <c r="J86" s="231">
        <v>66443</v>
      </c>
      <c r="K86" s="444">
        <v>67057</v>
      </c>
      <c r="L86" s="231">
        <v>40110</v>
      </c>
      <c r="M86" s="231"/>
      <c r="N86" s="231">
        <v>63322</v>
      </c>
      <c r="O86" s="443">
        <v>55354</v>
      </c>
      <c r="P86" s="443"/>
      <c r="Q86" s="444">
        <v>60328</v>
      </c>
      <c r="R86" s="231"/>
      <c r="S86" s="233"/>
      <c r="T86" s="236">
        <f t="shared" si="13"/>
        <v>185434</v>
      </c>
      <c r="U86" s="237">
        <f t="shared" si="14"/>
        <v>183540</v>
      </c>
      <c r="V86" s="231">
        <v>151416</v>
      </c>
      <c r="W86" s="443">
        <v>149191</v>
      </c>
      <c r="X86" s="326">
        <v>10318</v>
      </c>
      <c r="Y86" s="444">
        <v>13509</v>
      </c>
      <c r="Z86" s="231">
        <v>22623</v>
      </c>
      <c r="AA86" s="231"/>
      <c r="AB86" s="231">
        <v>1077</v>
      </c>
      <c r="AC86" s="443">
        <v>19455</v>
      </c>
      <c r="AD86" s="443"/>
      <c r="AE86" s="444">
        <v>1385</v>
      </c>
      <c r="AF86" s="231"/>
      <c r="AG86" s="232"/>
    </row>
    <row r="87" spans="1:33" x14ac:dyDescent="0.2">
      <c r="A87" s="507" t="s">
        <v>42</v>
      </c>
      <c r="B87" s="441" t="s">
        <v>613</v>
      </c>
      <c r="C87" s="442"/>
      <c r="D87" s="440">
        <v>132903</v>
      </c>
      <c r="E87" s="368">
        <v>1</v>
      </c>
      <c r="F87" s="235">
        <f t="shared" si="11"/>
        <v>1343366</v>
      </c>
      <c r="G87" s="234">
        <f t="shared" si="12"/>
        <v>1368469</v>
      </c>
      <c r="H87" s="231">
        <v>827028</v>
      </c>
      <c r="I87" s="443">
        <v>823559</v>
      </c>
      <c r="J87" s="231">
        <v>101814</v>
      </c>
      <c r="K87" s="444">
        <v>94437</v>
      </c>
      <c r="L87" s="231">
        <v>414524</v>
      </c>
      <c r="M87" s="231"/>
      <c r="N87" s="231"/>
      <c r="O87" s="443">
        <v>450473</v>
      </c>
      <c r="P87" s="443"/>
      <c r="Q87" s="444"/>
      <c r="R87" s="231"/>
      <c r="S87" s="233"/>
      <c r="T87" s="236">
        <f t="shared" si="13"/>
        <v>142457</v>
      </c>
      <c r="U87" s="237">
        <f t="shared" si="14"/>
        <v>141738</v>
      </c>
      <c r="V87" s="231">
        <v>73305.5</v>
      </c>
      <c r="W87" s="443">
        <v>74860</v>
      </c>
      <c r="X87" s="326">
        <v>12216.5</v>
      </c>
      <c r="Y87" s="444">
        <v>10548</v>
      </c>
      <c r="Z87" s="231">
        <v>56935</v>
      </c>
      <c r="AA87" s="231"/>
      <c r="AB87" s="231"/>
      <c r="AC87" s="443">
        <v>56330</v>
      </c>
      <c r="AD87" s="443"/>
      <c r="AE87" s="444"/>
      <c r="AF87" s="231"/>
      <c r="AG87" s="232"/>
    </row>
    <row r="88" spans="1:33" x14ac:dyDescent="0.2">
      <c r="A88" s="507" t="s">
        <v>42</v>
      </c>
      <c r="B88" s="441" t="s">
        <v>614</v>
      </c>
      <c r="C88" s="442"/>
      <c r="D88" s="440">
        <v>134130</v>
      </c>
      <c r="E88" s="368">
        <v>1</v>
      </c>
      <c r="F88" s="235">
        <f t="shared" si="11"/>
        <v>953541</v>
      </c>
      <c r="G88" s="234">
        <f t="shared" si="12"/>
        <v>978126</v>
      </c>
      <c r="H88" s="231">
        <v>815465</v>
      </c>
      <c r="I88" s="443">
        <v>782542</v>
      </c>
      <c r="J88" s="231"/>
      <c r="K88" s="444"/>
      <c r="L88" s="231">
        <v>114854</v>
      </c>
      <c r="M88" s="231"/>
      <c r="N88" s="231">
        <v>17169</v>
      </c>
      <c r="O88" s="443">
        <v>178248</v>
      </c>
      <c r="P88" s="443"/>
      <c r="Q88" s="444">
        <v>10913</v>
      </c>
      <c r="R88" s="231">
        <v>6053</v>
      </c>
      <c r="S88" s="233">
        <v>6423</v>
      </c>
      <c r="T88" s="236">
        <f t="shared" si="13"/>
        <v>317112</v>
      </c>
      <c r="U88" s="237">
        <f t="shared" si="14"/>
        <v>348931</v>
      </c>
      <c r="V88" s="231">
        <v>265271</v>
      </c>
      <c r="W88" s="443">
        <v>275402</v>
      </c>
      <c r="X88" s="326"/>
      <c r="Y88" s="444"/>
      <c r="Z88" s="231">
        <v>45713</v>
      </c>
      <c r="AA88" s="231"/>
      <c r="AB88" s="231">
        <v>6128</v>
      </c>
      <c r="AC88" s="443">
        <v>70468</v>
      </c>
      <c r="AD88" s="443"/>
      <c r="AE88" s="444">
        <v>3061</v>
      </c>
      <c r="AF88" s="231"/>
      <c r="AG88" s="232"/>
    </row>
    <row r="89" spans="1:33" x14ac:dyDescent="0.2">
      <c r="A89" s="507" t="s">
        <v>42</v>
      </c>
      <c r="B89" s="441" t="s">
        <v>615</v>
      </c>
      <c r="C89" s="442"/>
      <c r="D89" s="440">
        <v>137351</v>
      </c>
      <c r="E89" s="368">
        <v>1</v>
      </c>
      <c r="F89" s="235">
        <f t="shared" si="11"/>
        <v>1017967</v>
      </c>
      <c r="G89" s="234">
        <f t="shared" si="12"/>
        <v>1024672</v>
      </c>
      <c r="H89" s="231">
        <v>668322</v>
      </c>
      <c r="I89" s="443">
        <v>659364</v>
      </c>
      <c r="J89" s="231">
        <v>122188</v>
      </c>
      <c r="K89" s="444">
        <v>116420</v>
      </c>
      <c r="L89" s="231">
        <v>221485</v>
      </c>
      <c r="M89" s="231"/>
      <c r="N89" s="231">
        <v>5972</v>
      </c>
      <c r="O89" s="443">
        <v>243426</v>
      </c>
      <c r="P89" s="443"/>
      <c r="Q89" s="444">
        <v>5462</v>
      </c>
      <c r="R89" s="231"/>
      <c r="S89" s="233"/>
      <c r="T89" s="236">
        <f t="shared" si="13"/>
        <v>185896</v>
      </c>
      <c r="U89" s="237">
        <f t="shared" si="14"/>
        <v>189843</v>
      </c>
      <c r="V89" s="231">
        <v>127463</v>
      </c>
      <c r="W89" s="443">
        <v>129157</v>
      </c>
      <c r="X89" s="326">
        <v>16823</v>
      </c>
      <c r="Y89" s="444">
        <v>14782</v>
      </c>
      <c r="Z89" s="231">
        <v>41610</v>
      </c>
      <c r="AA89" s="231"/>
      <c r="AB89" s="231"/>
      <c r="AC89" s="443">
        <v>45833</v>
      </c>
      <c r="AD89" s="443"/>
      <c r="AE89" s="444">
        <v>71</v>
      </c>
      <c r="AF89" s="231"/>
      <c r="AG89" s="232"/>
    </row>
    <row r="90" spans="1:33" x14ac:dyDescent="0.2">
      <c r="A90" s="507" t="s">
        <v>42</v>
      </c>
      <c r="B90" s="441" t="s">
        <v>616</v>
      </c>
      <c r="C90" s="442" t="s">
        <v>263</v>
      </c>
      <c r="D90" s="440">
        <v>133669</v>
      </c>
      <c r="E90" s="368">
        <v>2</v>
      </c>
      <c r="F90" s="235">
        <f t="shared" si="11"/>
        <v>599677</v>
      </c>
      <c r="G90" s="234">
        <f t="shared" si="12"/>
        <v>616805</v>
      </c>
      <c r="H90" s="231">
        <v>453166</v>
      </c>
      <c r="I90" s="443">
        <v>455129</v>
      </c>
      <c r="J90" s="231">
        <v>101742</v>
      </c>
      <c r="K90" s="444">
        <v>88339</v>
      </c>
      <c r="L90" s="231">
        <v>43380</v>
      </c>
      <c r="M90" s="231"/>
      <c r="N90" s="231">
        <v>1389</v>
      </c>
      <c r="O90" s="443">
        <v>71808</v>
      </c>
      <c r="P90" s="443"/>
      <c r="Q90" s="444">
        <v>1529</v>
      </c>
      <c r="R90" s="231"/>
      <c r="S90" s="233"/>
      <c r="T90" s="236">
        <f t="shared" si="13"/>
        <v>78558</v>
      </c>
      <c r="U90" s="237">
        <f t="shared" si="14"/>
        <v>79498</v>
      </c>
      <c r="V90" s="231">
        <v>47144</v>
      </c>
      <c r="W90" s="443">
        <v>47012</v>
      </c>
      <c r="X90" s="326">
        <v>12530</v>
      </c>
      <c r="Y90" s="444">
        <v>11644</v>
      </c>
      <c r="Z90" s="231">
        <v>17717</v>
      </c>
      <c r="AA90" s="231"/>
      <c r="AB90" s="231">
        <v>1167</v>
      </c>
      <c r="AC90" s="443">
        <v>19847</v>
      </c>
      <c r="AD90" s="443"/>
      <c r="AE90" s="444">
        <v>995</v>
      </c>
      <c r="AF90" s="231"/>
      <c r="AG90" s="232"/>
    </row>
    <row r="91" spans="1:33" x14ac:dyDescent="0.2">
      <c r="A91" s="507" t="s">
        <v>42</v>
      </c>
      <c r="B91" s="441" t="s">
        <v>617</v>
      </c>
      <c r="C91" s="442" t="s">
        <v>622</v>
      </c>
      <c r="D91" s="440">
        <v>133650</v>
      </c>
      <c r="E91" s="368">
        <v>3</v>
      </c>
      <c r="F91" s="235">
        <f t="shared" si="11"/>
        <v>324142</v>
      </c>
      <c r="G91" s="234">
        <f t="shared" si="12"/>
        <v>302446</v>
      </c>
      <c r="H91" s="231">
        <v>321294</v>
      </c>
      <c r="I91" s="443">
        <v>297873</v>
      </c>
      <c r="J91" s="231">
        <v>2740</v>
      </c>
      <c r="K91" s="444">
        <v>3281</v>
      </c>
      <c r="L91" s="231">
        <v>108</v>
      </c>
      <c r="M91" s="231"/>
      <c r="N91" s="231"/>
      <c r="O91" s="443">
        <v>1150</v>
      </c>
      <c r="P91" s="443"/>
      <c r="Q91" s="444">
        <v>142</v>
      </c>
      <c r="R91" s="231"/>
      <c r="S91" s="233"/>
      <c r="T91" s="236">
        <f t="shared" si="13"/>
        <v>50148</v>
      </c>
      <c r="U91" s="237">
        <f t="shared" si="14"/>
        <v>50799</v>
      </c>
      <c r="V91" s="231">
        <v>30345</v>
      </c>
      <c r="W91" s="443">
        <v>30267</v>
      </c>
      <c r="X91" s="326">
        <v>19327</v>
      </c>
      <c r="Y91" s="444">
        <v>18681</v>
      </c>
      <c r="Z91" s="231">
        <v>476</v>
      </c>
      <c r="AA91" s="231"/>
      <c r="AB91" s="231"/>
      <c r="AC91" s="443">
        <v>1848</v>
      </c>
      <c r="AD91" s="443"/>
      <c r="AE91" s="444">
        <v>3</v>
      </c>
      <c r="AF91" s="231"/>
      <c r="AG91" s="232"/>
    </row>
    <row r="92" spans="1:33" x14ac:dyDescent="0.2">
      <c r="A92" s="507" t="s">
        <v>42</v>
      </c>
      <c r="B92" s="441" t="s">
        <v>618</v>
      </c>
      <c r="C92" s="442"/>
      <c r="D92" s="440">
        <v>136172</v>
      </c>
      <c r="E92" s="368">
        <v>3</v>
      </c>
      <c r="F92" s="235">
        <f t="shared" si="11"/>
        <v>382476</v>
      </c>
      <c r="G92" s="234">
        <f t="shared" si="12"/>
        <v>378545</v>
      </c>
      <c r="H92" s="231">
        <v>358792</v>
      </c>
      <c r="I92" s="443">
        <v>344165</v>
      </c>
      <c r="J92" s="231">
        <v>3819</v>
      </c>
      <c r="K92" s="444">
        <v>4238</v>
      </c>
      <c r="L92" s="231">
        <v>19841</v>
      </c>
      <c r="M92" s="231"/>
      <c r="N92" s="231">
        <v>24</v>
      </c>
      <c r="O92" s="443">
        <v>30142</v>
      </c>
      <c r="P92" s="443"/>
      <c r="Q92" s="444"/>
      <c r="R92" s="231"/>
      <c r="S92" s="233"/>
      <c r="T92" s="236">
        <f t="shared" si="13"/>
        <v>32544</v>
      </c>
      <c r="U92" s="237">
        <f t="shared" si="14"/>
        <v>31146</v>
      </c>
      <c r="V92" s="231">
        <v>27219</v>
      </c>
      <c r="W92" s="443">
        <v>24190</v>
      </c>
      <c r="X92" s="326">
        <v>2097</v>
      </c>
      <c r="Y92" s="444">
        <v>2030</v>
      </c>
      <c r="Z92" s="231">
        <v>3228</v>
      </c>
      <c r="AA92" s="231"/>
      <c r="AB92" s="231"/>
      <c r="AC92" s="443">
        <v>4926</v>
      </c>
      <c r="AD92" s="443"/>
      <c r="AE92" s="444"/>
      <c r="AF92" s="231"/>
      <c r="AG92" s="232"/>
    </row>
    <row r="93" spans="1:33" x14ac:dyDescent="0.2">
      <c r="A93" s="507" t="s">
        <v>42</v>
      </c>
      <c r="B93" s="441" t="s">
        <v>619</v>
      </c>
      <c r="C93" s="442"/>
      <c r="D93" s="440">
        <v>138354</v>
      </c>
      <c r="E93" s="368">
        <v>3</v>
      </c>
      <c r="F93" s="235">
        <f t="shared" si="11"/>
        <v>255719.5</v>
      </c>
      <c r="G93" s="234">
        <f t="shared" si="12"/>
        <v>259745</v>
      </c>
      <c r="H93" s="231">
        <v>130788.5</v>
      </c>
      <c r="I93" s="443">
        <v>144503</v>
      </c>
      <c r="J93" s="231">
        <v>2234</v>
      </c>
      <c r="K93" s="444">
        <v>2583</v>
      </c>
      <c r="L93" s="231">
        <v>108087</v>
      </c>
      <c r="M93" s="231"/>
      <c r="N93" s="231">
        <v>14610</v>
      </c>
      <c r="O93" s="443">
        <v>93682</v>
      </c>
      <c r="P93" s="443"/>
      <c r="Q93" s="444">
        <v>18977</v>
      </c>
      <c r="R93" s="231"/>
      <c r="S93" s="233"/>
      <c r="T93" s="236">
        <f t="shared" si="13"/>
        <v>31883.5</v>
      </c>
      <c r="U93" s="237">
        <f t="shared" si="14"/>
        <v>32409</v>
      </c>
      <c r="V93" s="231">
        <v>8739.5</v>
      </c>
      <c r="W93" s="443">
        <v>9524</v>
      </c>
      <c r="X93" s="326">
        <v>312</v>
      </c>
      <c r="Y93" s="444">
        <v>289</v>
      </c>
      <c r="Z93" s="231">
        <v>19723</v>
      </c>
      <c r="AA93" s="231"/>
      <c r="AB93" s="231">
        <v>3109</v>
      </c>
      <c r="AC93" s="443">
        <v>17470.5</v>
      </c>
      <c r="AD93" s="443"/>
      <c r="AE93" s="444">
        <v>5125.5</v>
      </c>
      <c r="AF93" s="231"/>
      <c r="AG93" s="232"/>
    </row>
    <row r="94" spans="1:33" x14ac:dyDescent="0.2">
      <c r="A94" s="507" t="s">
        <v>42</v>
      </c>
      <c r="B94" s="441" t="s">
        <v>620</v>
      </c>
      <c r="C94" s="442"/>
      <c r="D94" s="440">
        <v>433660</v>
      </c>
      <c r="E94" s="368">
        <v>4</v>
      </c>
      <c r="F94" s="235">
        <f t="shared" si="11"/>
        <v>288563</v>
      </c>
      <c r="G94" s="234">
        <f t="shared" si="12"/>
        <v>304412</v>
      </c>
      <c r="H94" s="231">
        <v>230793</v>
      </c>
      <c r="I94" s="443">
        <v>241917</v>
      </c>
      <c r="J94" s="231">
        <v>7617</v>
      </c>
      <c r="K94" s="444">
        <v>8867</v>
      </c>
      <c r="L94" s="231">
        <v>50153</v>
      </c>
      <c r="M94" s="238"/>
      <c r="N94" s="231"/>
      <c r="O94" s="443">
        <v>53621</v>
      </c>
      <c r="P94" s="445"/>
      <c r="Q94" s="444">
        <v>7</v>
      </c>
      <c r="R94" s="231"/>
      <c r="S94" s="233"/>
      <c r="T94" s="236">
        <f t="shared" si="13"/>
        <v>23963</v>
      </c>
      <c r="U94" s="237">
        <f t="shared" si="14"/>
        <v>22521</v>
      </c>
      <c r="V94" s="231">
        <v>12943</v>
      </c>
      <c r="W94" s="443">
        <v>11528</v>
      </c>
      <c r="X94" s="326">
        <v>1639</v>
      </c>
      <c r="Y94" s="444">
        <v>2352</v>
      </c>
      <c r="Z94" s="231">
        <v>9381</v>
      </c>
      <c r="AA94" s="238"/>
      <c r="AB94" s="231"/>
      <c r="AC94" s="443">
        <v>8641</v>
      </c>
      <c r="AD94" s="445"/>
      <c r="AE94" s="444"/>
      <c r="AF94" s="231"/>
      <c r="AG94" s="232"/>
    </row>
    <row r="95" spans="1:33" x14ac:dyDescent="0.2">
      <c r="A95" s="507" t="s">
        <v>42</v>
      </c>
      <c r="B95" s="441" t="s">
        <v>621</v>
      </c>
      <c r="C95" s="442"/>
      <c r="D95" s="440">
        <v>262129</v>
      </c>
      <c r="E95" s="368">
        <v>6</v>
      </c>
      <c r="F95" s="235">
        <f t="shared" si="11"/>
        <v>28208</v>
      </c>
      <c r="G95" s="234">
        <f t="shared" si="12"/>
        <v>28520</v>
      </c>
      <c r="H95" s="231">
        <v>28208</v>
      </c>
      <c r="I95" s="443">
        <v>28520</v>
      </c>
      <c r="J95" s="231"/>
      <c r="K95" s="444"/>
      <c r="L95" s="238"/>
      <c r="M95" s="238"/>
      <c r="N95" s="238"/>
      <c r="O95" s="445"/>
      <c r="P95" s="445"/>
      <c r="Q95" s="446"/>
      <c r="R95" s="231"/>
      <c r="S95" s="233"/>
      <c r="T95" s="236">
        <f t="shared" si="13"/>
        <v>0</v>
      </c>
      <c r="U95" s="237">
        <f t="shared" si="14"/>
        <v>0</v>
      </c>
      <c r="V95" s="231"/>
      <c r="W95" s="443"/>
      <c r="X95" s="326"/>
      <c r="Y95" s="444"/>
      <c r="Z95" s="238"/>
      <c r="AA95" s="238"/>
      <c r="AB95" s="238"/>
      <c r="AC95" s="445"/>
      <c r="AD95" s="445"/>
      <c r="AE95" s="446"/>
      <c r="AF95" s="231"/>
      <c r="AG95" s="232"/>
    </row>
    <row r="96" spans="1:33" ht="15" x14ac:dyDescent="0.25">
      <c r="A96" s="589" t="s">
        <v>42</v>
      </c>
      <c r="B96" s="590" t="s">
        <v>884</v>
      </c>
      <c r="C96" s="591"/>
      <c r="D96" s="549">
        <v>133021</v>
      </c>
      <c r="E96" s="551">
        <v>7</v>
      </c>
      <c r="F96" s="235">
        <f t="shared" si="11"/>
        <v>46079</v>
      </c>
      <c r="G96" s="234">
        <f t="shared" si="12"/>
        <v>45256</v>
      </c>
      <c r="H96" s="238">
        <v>10067</v>
      </c>
      <c r="I96" s="592">
        <v>25504</v>
      </c>
      <c r="J96" s="238">
        <v>1709</v>
      </c>
      <c r="K96" s="593">
        <v>2549</v>
      </c>
      <c r="L96" s="238">
        <v>6298</v>
      </c>
      <c r="M96" s="238">
        <v>0</v>
      </c>
      <c r="N96" s="238">
        <v>28002</v>
      </c>
      <c r="O96" s="594">
        <v>5907</v>
      </c>
      <c r="P96" s="601">
        <v>0</v>
      </c>
      <c r="Q96" s="602">
        <v>11296</v>
      </c>
      <c r="R96" s="238">
        <v>3</v>
      </c>
      <c r="S96" s="595">
        <v>0</v>
      </c>
      <c r="T96" s="236">
        <f t="shared" si="13"/>
        <v>0</v>
      </c>
      <c r="U96" s="237">
        <f t="shared" si="14"/>
        <v>0</v>
      </c>
      <c r="V96" s="238"/>
      <c r="W96" s="239"/>
      <c r="X96" s="241"/>
      <c r="Y96" s="240"/>
      <c r="Z96" s="238"/>
      <c r="AA96" s="238"/>
      <c r="AB96" s="238"/>
      <c r="AC96" s="239"/>
      <c r="AD96" s="239"/>
      <c r="AE96" s="240"/>
      <c r="AF96" s="238"/>
      <c r="AG96" s="239"/>
    </row>
    <row r="97" spans="1:33" ht="15" x14ac:dyDescent="0.25">
      <c r="A97" s="577" t="s">
        <v>42</v>
      </c>
      <c r="B97" s="590" t="s">
        <v>885</v>
      </c>
      <c r="C97" s="596"/>
      <c r="D97" s="549">
        <v>133386</v>
      </c>
      <c r="E97" s="551">
        <v>7</v>
      </c>
      <c r="F97" s="235">
        <f t="shared" si="11"/>
        <v>377587</v>
      </c>
      <c r="G97" s="234">
        <f t="shared" si="12"/>
        <v>330531</v>
      </c>
      <c r="H97" s="238">
        <v>281729</v>
      </c>
      <c r="I97" s="592">
        <v>237200</v>
      </c>
      <c r="J97" s="238">
        <v>0</v>
      </c>
      <c r="K97" s="593">
        <v>0</v>
      </c>
      <c r="L97" s="238">
        <v>95837</v>
      </c>
      <c r="M97" s="238">
        <v>0</v>
      </c>
      <c r="N97" s="238">
        <v>21</v>
      </c>
      <c r="O97" s="594">
        <v>93331</v>
      </c>
      <c r="P97" s="601">
        <v>0</v>
      </c>
      <c r="Q97" s="602">
        <v>0</v>
      </c>
      <c r="R97" s="238">
        <v>0</v>
      </c>
      <c r="S97" s="595">
        <v>0</v>
      </c>
      <c r="T97" s="236">
        <f t="shared" si="13"/>
        <v>0</v>
      </c>
      <c r="U97" s="237">
        <f t="shared" si="14"/>
        <v>0</v>
      </c>
      <c r="V97" s="238"/>
      <c r="W97" s="239"/>
      <c r="X97" s="241"/>
      <c r="Y97" s="240"/>
      <c r="Z97" s="238"/>
      <c r="AA97" s="238"/>
      <c r="AB97" s="238"/>
      <c r="AC97" s="239"/>
      <c r="AD97" s="239"/>
      <c r="AE97" s="240"/>
      <c r="AF97" s="238"/>
      <c r="AG97" s="239"/>
    </row>
    <row r="98" spans="1:33" ht="15" x14ac:dyDescent="0.25">
      <c r="A98" s="589" t="s">
        <v>42</v>
      </c>
      <c r="B98" s="590" t="s">
        <v>886</v>
      </c>
      <c r="C98" s="596"/>
      <c r="D98" s="582">
        <v>133508</v>
      </c>
      <c r="E98" s="582">
        <v>7</v>
      </c>
      <c r="F98" s="235">
        <f t="shared" si="11"/>
        <v>365357</v>
      </c>
      <c r="G98" s="234">
        <f t="shared" si="12"/>
        <v>330462</v>
      </c>
      <c r="H98" s="238">
        <v>282235</v>
      </c>
      <c r="I98" s="592">
        <v>253017</v>
      </c>
      <c r="J98" s="238">
        <v>12797</v>
      </c>
      <c r="K98" s="593">
        <v>11119</v>
      </c>
      <c r="L98" s="238">
        <v>54151</v>
      </c>
      <c r="M98" s="238">
        <v>108</v>
      </c>
      <c r="N98" s="238">
        <v>9097</v>
      </c>
      <c r="O98" s="594">
        <v>56475</v>
      </c>
      <c r="P98" s="601">
        <v>33</v>
      </c>
      <c r="Q98" s="602">
        <v>3604</v>
      </c>
      <c r="R98" s="238">
        <v>6969</v>
      </c>
      <c r="S98" s="595">
        <v>6214</v>
      </c>
      <c r="T98" s="236">
        <f t="shared" si="13"/>
        <v>0</v>
      </c>
      <c r="U98" s="237">
        <f t="shared" si="14"/>
        <v>0</v>
      </c>
      <c r="V98" s="238"/>
      <c r="W98" s="239"/>
      <c r="X98" s="241"/>
      <c r="Y98" s="240"/>
      <c r="Z98" s="238"/>
      <c r="AA98" s="238"/>
      <c r="AB98" s="238"/>
      <c r="AC98" s="239"/>
      <c r="AD98" s="239"/>
      <c r="AE98" s="240"/>
      <c r="AF98" s="238"/>
      <c r="AG98" s="239"/>
    </row>
    <row r="99" spans="1:33" ht="15" x14ac:dyDescent="0.25">
      <c r="A99" s="589" t="s">
        <v>42</v>
      </c>
      <c r="B99" s="590" t="s">
        <v>887</v>
      </c>
      <c r="C99" s="597"/>
      <c r="D99" s="549">
        <v>133702</v>
      </c>
      <c r="E99" s="556">
        <v>7</v>
      </c>
      <c r="F99" s="235">
        <f t="shared" si="11"/>
        <v>682953</v>
      </c>
      <c r="G99" s="234">
        <f t="shared" si="12"/>
        <v>637591</v>
      </c>
      <c r="H99" s="238">
        <v>377862</v>
      </c>
      <c r="I99" s="592">
        <v>388530</v>
      </c>
      <c r="J99" s="238">
        <v>8017</v>
      </c>
      <c r="K99" s="593">
        <v>16780</v>
      </c>
      <c r="L99" s="238">
        <v>297074</v>
      </c>
      <c r="M99" s="238">
        <v>0</v>
      </c>
      <c r="N99" s="238">
        <v>0</v>
      </c>
      <c r="O99" s="594">
        <v>232281</v>
      </c>
      <c r="P99" s="601">
        <v>0</v>
      </c>
      <c r="Q99" s="602">
        <v>0</v>
      </c>
      <c r="R99" s="238">
        <v>0</v>
      </c>
      <c r="S99" s="595">
        <v>0</v>
      </c>
      <c r="T99" s="236">
        <f t="shared" si="13"/>
        <v>0</v>
      </c>
      <c r="U99" s="237">
        <f t="shared" si="14"/>
        <v>0</v>
      </c>
      <c r="V99" s="238"/>
      <c r="W99" s="239"/>
      <c r="X99" s="241"/>
      <c r="Y99" s="240"/>
      <c r="Z99" s="238"/>
      <c r="AA99" s="238"/>
      <c r="AB99" s="238"/>
      <c r="AC99" s="239"/>
      <c r="AD99" s="239"/>
      <c r="AE99" s="240"/>
      <c r="AF99" s="238"/>
      <c r="AG99" s="239"/>
    </row>
    <row r="100" spans="1:33" ht="15" x14ac:dyDescent="0.25">
      <c r="A100" s="589" t="s">
        <v>42</v>
      </c>
      <c r="B100" s="590" t="s">
        <v>888</v>
      </c>
      <c r="C100" s="597"/>
      <c r="D100" s="549">
        <v>134608</v>
      </c>
      <c r="E100" s="556">
        <v>7</v>
      </c>
      <c r="F100" s="235">
        <f t="shared" si="11"/>
        <v>341318</v>
      </c>
      <c r="G100" s="234">
        <f t="shared" si="12"/>
        <v>339318</v>
      </c>
      <c r="H100" s="238">
        <v>248045</v>
      </c>
      <c r="I100" s="592">
        <v>249634</v>
      </c>
      <c r="J100" s="238">
        <v>10489</v>
      </c>
      <c r="K100" s="593">
        <v>10563</v>
      </c>
      <c r="L100" s="238">
        <v>61964</v>
      </c>
      <c r="M100" s="238">
        <v>0</v>
      </c>
      <c r="N100" s="238">
        <v>20468</v>
      </c>
      <c r="O100" s="594">
        <v>66815</v>
      </c>
      <c r="P100" s="601">
        <v>2961</v>
      </c>
      <c r="Q100" s="602">
        <v>8932</v>
      </c>
      <c r="R100" s="238">
        <v>352</v>
      </c>
      <c r="S100" s="595">
        <v>413</v>
      </c>
      <c r="T100" s="236">
        <f t="shared" si="13"/>
        <v>0</v>
      </c>
      <c r="U100" s="237">
        <f t="shared" si="14"/>
        <v>0</v>
      </c>
      <c r="V100" s="238"/>
      <c r="W100" s="239"/>
      <c r="X100" s="241"/>
      <c r="Y100" s="240"/>
      <c r="Z100" s="238"/>
      <c r="AA100" s="238"/>
      <c r="AB100" s="238"/>
      <c r="AC100" s="239"/>
      <c r="AD100" s="239"/>
      <c r="AE100" s="240"/>
      <c r="AF100" s="238"/>
      <c r="AG100" s="239"/>
    </row>
    <row r="101" spans="1:33" ht="15" x14ac:dyDescent="0.25">
      <c r="A101" s="577" t="s">
        <v>42</v>
      </c>
      <c r="B101" s="590" t="s">
        <v>889</v>
      </c>
      <c r="C101" s="591"/>
      <c r="D101" s="549">
        <v>135717</v>
      </c>
      <c r="E101" s="551">
        <v>7</v>
      </c>
      <c r="F101" s="235">
        <f t="shared" si="11"/>
        <v>1654124</v>
      </c>
      <c r="G101" s="234">
        <f t="shared" si="12"/>
        <v>1596112</v>
      </c>
      <c r="H101" s="238">
        <v>1203140</v>
      </c>
      <c r="I101" s="592">
        <v>1331322</v>
      </c>
      <c r="J101" s="238">
        <v>12930</v>
      </c>
      <c r="K101" s="593">
        <v>12456</v>
      </c>
      <c r="L101" s="238">
        <v>397912</v>
      </c>
      <c r="M101" s="238">
        <v>0</v>
      </c>
      <c r="N101" s="238">
        <v>40142</v>
      </c>
      <c r="O101" s="594">
        <v>234009</v>
      </c>
      <c r="P101" s="601">
        <v>0</v>
      </c>
      <c r="Q101" s="602">
        <v>18325</v>
      </c>
      <c r="R101" s="238">
        <v>0</v>
      </c>
      <c r="S101" s="595">
        <v>0</v>
      </c>
      <c r="T101" s="236">
        <f t="shared" si="13"/>
        <v>0</v>
      </c>
      <c r="U101" s="237">
        <f t="shared" si="14"/>
        <v>0</v>
      </c>
      <c r="V101" s="238"/>
      <c r="W101" s="239"/>
      <c r="X101" s="241"/>
      <c r="Y101" s="240"/>
      <c r="Z101" s="238"/>
      <c r="AA101" s="238"/>
      <c r="AB101" s="238"/>
      <c r="AC101" s="239"/>
      <c r="AD101" s="239"/>
      <c r="AE101" s="240"/>
      <c r="AF101" s="238"/>
      <c r="AG101" s="239"/>
    </row>
    <row r="102" spans="1:33" ht="15" x14ac:dyDescent="0.25">
      <c r="A102" s="589" t="s">
        <v>42</v>
      </c>
      <c r="B102" s="590" t="s">
        <v>890</v>
      </c>
      <c r="C102" s="591"/>
      <c r="D102" s="603">
        <v>136233</v>
      </c>
      <c r="E102" s="551">
        <v>7</v>
      </c>
      <c r="F102" s="235">
        <f t="shared" si="11"/>
        <v>162396</v>
      </c>
      <c r="G102" s="234">
        <f t="shared" si="12"/>
        <v>152096</v>
      </c>
      <c r="H102" s="238">
        <v>97094</v>
      </c>
      <c r="I102" s="592">
        <v>94296</v>
      </c>
      <c r="J102" s="238">
        <v>17614</v>
      </c>
      <c r="K102" s="593">
        <v>18249</v>
      </c>
      <c r="L102" s="238">
        <v>24364</v>
      </c>
      <c r="M102" s="238">
        <v>0</v>
      </c>
      <c r="N102" s="238">
        <v>13640</v>
      </c>
      <c r="O102" s="594">
        <v>29614</v>
      </c>
      <c r="P102" s="601">
        <v>0</v>
      </c>
      <c r="Q102" s="602">
        <v>5202</v>
      </c>
      <c r="R102" s="238">
        <v>9684</v>
      </c>
      <c r="S102" s="595">
        <v>4735</v>
      </c>
      <c r="T102" s="236">
        <f t="shared" si="13"/>
        <v>0</v>
      </c>
      <c r="U102" s="237">
        <f t="shared" si="14"/>
        <v>0</v>
      </c>
      <c r="V102" s="238"/>
      <c r="W102" s="239"/>
      <c r="X102" s="241"/>
      <c r="Y102" s="240"/>
      <c r="Z102" s="238"/>
      <c r="AA102" s="238"/>
      <c r="AB102" s="238"/>
      <c r="AC102" s="239"/>
      <c r="AD102" s="239"/>
      <c r="AE102" s="240"/>
      <c r="AF102" s="238"/>
      <c r="AG102" s="239"/>
    </row>
    <row r="103" spans="1:33" ht="15" x14ac:dyDescent="0.25">
      <c r="A103" s="589" t="s">
        <v>42</v>
      </c>
      <c r="B103" s="590" t="s">
        <v>891</v>
      </c>
      <c r="C103" s="591"/>
      <c r="D103" s="549">
        <v>137078</v>
      </c>
      <c r="E103" s="551">
        <v>7</v>
      </c>
      <c r="F103" s="235">
        <f t="shared" si="11"/>
        <v>679694</v>
      </c>
      <c r="G103" s="234">
        <f t="shared" si="12"/>
        <v>644360</v>
      </c>
      <c r="H103" s="238">
        <v>365714</v>
      </c>
      <c r="I103" s="592">
        <v>377076</v>
      </c>
      <c r="J103" s="238">
        <v>0</v>
      </c>
      <c r="K103" s="593">
        <v>0</v>
      </c>
      <c r="L103" s="238">
        <v>254204</v>
      </c>
      <c r="M103" s="238">
        <v>426</v>
      </c>
      <c r="N103" s="238">
        <v>54550</v>
      </c>
      <c r="O103" s="594">
        <v>249405</v>
      </c>
      <c r="P103" s="601">
        <v>183</v>
      </c>
      <c r="Q103" s="602">
        <v>17686</v>
      </c>
      <c r="R103" s="238">
        <v>4800</v>
      </c>
      <c r="S103" s="595">
        <v>10</v>
      </c>
      <c r="T103" s="236">
        <f t="shared" si="13"/>
        <v>0</v>
      </c>
      <c r="U103" s="237">
        <f t="shared" si="14"/>
        <v>0</v>
      </c>
      <c r="V103" s="238"/>
      <c r="W103" s="239"/>
      <c r="X103" s="241"/>
      <c r="Y103" s="240"/>
      <c r="Z103" s="238"/>
      <c r="AA103" s="238"/>
      <c r="AB103" s="238"/>
      <c r="AC103" s="239"/>
      <c r="AD103" s="239"/>
      <c r="AE103" s="240"/>
      <c r="AF103" s="238"/>
      <c r="AG103" s="239"/>
    </row>
    <row r="104" spans="1:33" ht="15" x14ac:dyDescent="0.25">
      <c r="A104" s="589" t="s">
        <v>42</v>
      </c>
      <c r="B104" s="590" t="s">
        <v>892</v>
      </c>
      <c r="C104" s="591"/>
      <c r="D104" s="549">
        <v>132693</v>
      </c>
      <c r="E104" s="551">
        <v>8</v>
      </c>
      <c r="F104" s="235">
        <f t="shared" si="11"/>
        <v>372944</v>
      </c>
      <c r="G104" s="234">
        <f t="shared" si="12"/>
        <v>346766</v>
      </c>
      <c r="H104" s="238">
        <v>219853</v>
      </c>
      <c r="I104" s="592">
        <v>242795</v>
      </c>
      <c r="J104" s="238">
        <v>7202</v>
      </c>
      <c r="K104" s="593">
        <v>7846</v>
      </c>
      <c r="L104" s="238">
        <v>111667</v>
      </c>
      <c r="M104" s="238">
        <v>0</v>
      </c>
      <c r="N104" s="238">
        <v>34222</v>
      </c>
      <c r="O104" s="594">
        <v>70366</v>
      </c>
      <c r="P104" s="601">
        <v>0</v>
      </c>
      <c r="Q104" s="602">
        <v>25759</v>
      </c>
      <c r="R104" s="238">
        <v>0</v>
      </c>
      <c r="S104" s="595">
        <v>0</v>
      </c>
      <c r="T104" s="236">
        <f t="shared" si="13"/>
        <v>0</v>
      </c>
      <c r="U104" s="237">
        <f t="shared" si="14"/>
        <v>0</v>
      </c>
      <c r="V104" s="238"/>
      <c r="W104" s="239"/>
      <c r="X104" s="241"/>
      <c r="Y104" s="240"/>
      <c r="Z104" s="238"/>
      <c r="AA104" s="238"/>
      <c r="AB104" s="238"/>
      <c r="AC104" s="239"/>
      <c r="AD104" s="239"/>
      <c r="AE104" s="240"/>
      <c r="AF104" s="238"/>
      <c r="AG104" s="239"/>
    </row>
    <row r="105" spans="1:33" ht="15" x14ac:dyDescent="0.25">
      <c r="A105" s="589" t="s">
        <v>42</v>
      </c>
      <c r="B105" s="590" t="s">
        <v>893</v>
      </c>
      <c r="C105" s="598" t="s">
        <v>912</v>
      </c>
      <c r="D105" s="549">
        <v>132709</v>
      </c>
      <c r="E105" s="551">
        <v>8</v>
      </c>
      <c r="F105" s="235">
        <f t="shared" si="11"/>
        <v>921681</v>
      </c>
      <c r="G105" s="234">
        <f t="shared" si="12"/>
        <v>901286</v>
      </c>
      <c r="H105" s="238">
        <v>694714</v>
      </c>
      <c r="I105" s="592">
        <v>694543</v>
      </c>
      <c r="J105" s="238">
        <v>58276</v>
      </c>
      <c r="K105" s="593">
        <v>62917</v>
      </c>
      <c r="L105" s="238">
        <v>93235</v>
      </c>
      <c r="M105" s="238">
        <v>1035</v>
      </c>
      <c r="N105" s="238">
        <v>73014</v>
      </c>
      <c r="O105" s="594">
        <v>107949</v>
      </c>
      <c r="P105" s="601">
        <v>713</v>
      </c>
      <c r="Q105" s="602">
        <v>34675</v>
      </c>
      <c r="R105" s="238">
        <v>1407</v>
      </c>
      <c r="S105" s="595">
        <v>489</v>
      </c>
      <c r="T105" s="236">
        <f t="shared" si="13"/>
        <v>0</v>
      </c>
      <c r="U105" s="237">
        <f t="shared" si="14"/>
        <v>0</v>
      </c>
      <c r="V105" s="238"/>
      <c r="W105" s="239"/>
      <c r="X105" s="241"/>
      <c r="Y105" s="240"/>
      <c r="Z105" s="238"/>
      <c r="AA105" s="238"/>
      <c r="AB105" s="238"/>
      <c r="AC105" s="239"/>
      <c r="AD105" s="239"/>
      <c r="AE105" s="240"/>
      <c r="AF105" s="238"/>
      <c r="AG105" s="239"/>
    </row>
    <row r="106" spans="1:33" ht="15" x14ac:dyDescent="0.25">
      <c r="A106" s="589" t="s">
        <v>42</v>
      </c>
      <c r="B106" s="590" t="s">
        <v>894</v>
      </c>
      <c r="C106" s="596"/>
      <c r="D106" s="582">
        <v>132851</v>
      </c>
      <c r="E106" s="582">
        <v>8</v>
      </c>
      <c r="F106" s="235">
        <f t="shared" si="11"/>
        <v>184131</v>
      </c>
      <c r="G106" s="234">
        <f t="shared" si="12"/>
        <v>174855</v>
      </c>
      <c r="H106" s="238">
        <v>129758</v>
      </c>
      <c r="I106" s="592">
        <v>127387</v>
      </c>
      <c r="J106" s="238">
        <v>0</v>
      </c>
      <c r="K106" s="593">
        <v>0</v>
      </c>
      <c r="L106" s="238">
        <v>42119</v>
      </c>
      <c r="M106" s="238">
        <v>0</v>
      </c>
      <c r="N106" s="238">
        <v>12254</v>
      </c>
      <c r="O106" s="594">
        <v>26566</v>
      </c>
      <c r="P106" s="601">
        <v>15185</v>
      </c>
      <c r="Q106" s="602">
        <v>5717</v>
      </c>
      <c r="R106" s="238">
        <v>0</v>
      </c>
      <c r="S106" s="595">
        <v>0</v>
      </c>
      <c r="T106" s="236">
        <f t="shared" si="13"/>
        <v>0</v>
      </c>
      <c r="U106" s="237">
        <f t="shared" si="14"/>
        <v>0</v>
      </c>
      <c r="V106" s="238"/>
      <c r="W106" s="239"/>
      <c r="X106" s="241"/>
      <c r="Y106" s="240"/>
      <c r="Z106" s="238"/>
      <c r="AA106" s="238"/>
      <c r="AB106" s="238"/>
      <c r="AC106" s="239"/>
      <c r="AD106" s="239"/>
      <c r="AE106" s="240"/>
      <c r="AF106" s="238"/>
      <c r="AG106" s="239"/>
    </row>
    <row r="107" spans="1:33" ht="15" x14ac:dyDescent="0.25">
      <c r="A107" s="589" t="s">
        <v>42</v>
      </c>
      <c r="B107" s="590" t="s">
        <v>895</v>
      </c>
      <c r="C107" s="596"/>
      <c r="D107" s="549">
        <v>134495</v>
      </c>
      <c r="E107" s="551">
        <v>8</v>
      </c>
      <c r="F107" s="235">
        <f t="shared" si="11"/>
        <v>603772</v>
      </c>
      <c r="G107" s="234">
        <f t="shared" si="12"/>
        <v>586943</v>
      </c>
      <c r="H107" s="238">
        <v>474178</v>
      </c>
      <c r="I107" s="592">
        <v>460847</v>
      </c>
      <c r="J107" s="238">
        <v>14273</v>
      </c>
      <c r="K107" s="593">
        <v>15416</v>
      </c>
      <c r="L107" s="238">
        <v>69571</v>
      </c>
      <c r="M107" s="238">
        <v>0</v>
      </c>
      <c r="N107" s="238">
        <v>45750</v>
      </c>
      <c r="O107" s="594">
        <v>72983</v>
      </c>
      <c r="P107" s="601">
        <v>0</v>
      </c>
      <c r="Q107" s="602">
        <v>37697</v>
      </c>
      <c r="R107" s="238">
        <v>0</v>
      </c>
      <c r="S107" s="595">
        <v>0</v>
      </c>
      <c r="T107" s="236">
        <f t="shared" si="13"/>
        <v>0</v>
      </c>
      <c r="U107" s="237">
        <f t="shared" si="14"/>
        <v>0</v>
      </c>
      <c r="V107" s="238"/>
      <c r="W107" s="239"/>
      <c r="X107" s="241"/>
      <c r="Y107" s="240"/>
      <c r="Z107" s="238"/>
      <c r="AA107" s="238"/>
      <c r="AB107" s="238"/>
      <c r="AC107" s="239"/>
      <c r="AD107" s="239"/>
      <c r="AE107" s="240"/>
      <c r="AF107" s="238"/>
      <c r="AG107" s="239"/>
    </row>
    <row r="108" spans="1:33" ht="15" x14ac:dyDescent="0.25">
      <c r="A108" s="589" t="s">
        <v>42</v>
      </c>
      <c r="B108" s="590" t="s">
        <v>896</v>
      </c>
      <c r="C108" s="598" t="s">
        <v>912</v>
      </c>
      <c r="D108" s="549">
        <v>136358</v>
      </c>
      <c r="E108" s="551">
        <v>8</v>
      </c>
      <c r="F108" s="235">
        <f t="shared" si="11"/>
        <v>592459</v>
      </c>
      <c r="G108" s="234">
        <f t="shared" si="12"/>
        <v>570968</v>
      </c>
      <c r="H108" s="238">
        <v>464781</v>
      </c>
      <c r="I108" s="592">
        <v>468491</v>
      </c>
      <c r="J108" s="238">
        <v>12088</v>
      </c>
      <c r="K108" s="593">
        <v>10357</v>
      </c>
      <c r="L108" s="238">
        <v>100613</v>
      </c>
      <c r="M108" s="238">
        <v>1947</v>
      </c>
      <c r="N108" s="238">
        <v>13030</v>
      </c>
      <c r="O108" s="594">
        <v>85542</v>
      </c>
      <c r="P108" s="601">
        <v>840</v>
      </c>
      <c r="Q108" s="602">
        <v>5738</v>
      </c>
      <c r="R108" s="238">
        <v>0</v>
      </c>
      <c r="S108" s="595">
        <v>0</v>
      </c>
      <c r="T108" s="236">
        <f t="shared" si="13"/>
        <v>0</v>
      </c>
      <c r="U108" s="237">
        <f t="shared" si="14"/>
        <v>0</v>
      </c>
      <c r="V108" s="238"/>
      <c r="W108" s="239"/>
      <c r="X108" s="241"/>
      <c r="Y108" s="240"/>
      <c r="Z108" s="238"/>
      <c r="AA108" s="238"/>
      <c r="AB108" s="238"/>
      <c r="AC108" s="239"/>
      <c r="AD108" s="239"/>
      <c r="AE108" s="240"/>
      <c r="AF108" s="238"/>
      <c r="AG108" s="239"/>
    </row>
    <row r="109" spans="1:33" ht="15" x14ac:dyDescent="0.25">
      <c r="A109" s="589" t="s">
        <v>42</v>
      </c>
      <c r="B109" s="590" t="s">
        <v>897</v>
      </c>
      <c r="C109" s="596"/>
      <c r="D109" s="549">
        <v>136400</v>
      </c>
      <c r="E109" s="551">
        <v>8</v>
      </c>
      <c r="F109" s="235">
        <f t="shared" si="11"/>
        <v>222781</v>
      </c>
      <c r="G109" s="234">
        <f t="shared" si="12"/>
        <v>209399</v>
      </c>
      <c r="H109" s="238">
        <v>179472</v>
      </c>
      <c r="I109" s="592">
        <v>162049</v>
      </c>
      <c r="J109" s="238">
        <v>7663</v>
      </c>
      <c r="K109" s="593">
        <v>9035</v>
      </c>
      <c r="L109" s="238">
        <v>35150</v>
      </c>
      <c r="M109" s="238">
        <v>0</v>
      </c>
      <c r="N109" s="238">
        <v>496</v>
      </c>
      <c r="O109" s="594">
        <v>38007</v>
      </c>
      <c r="P109" s="601">
        <v>0</v>
      </c>
      <c r="Q109" s="602">
        <v>308</v>
      </c>
      <c r="R109" s="238">
        <v>0</v>
      </c>
      <c r="S109" s="595">
        <v>0</v>
      </c>
      <c r="T109" s="236">
        <f t="shared" si="13"/>
        <v>0</v>
      </c>
      <c r="U109" s="237">
        <f t="shared" si="14"/>
        <v>0</v>
      </c>
      <c r="V109" s="238"/>
      <c r="W109" s="239"/>
      <c r="X109" s="241"/>
      <c r="Y109" s="240"/>
      <c r="Z109" s="238"/>
      <c r="AA109" s="238"/>
      <c r="AB109" s="238"/>
      <c r="AC109" s="239"/>
      <c r="AD109" s="239"/>
      <c r="AE109" s="240"/>
      <c r="AF109" s="238"/>
      <c r="AG109" s="239"/>
    </row>
    <row r="110" spans="1:33" ht="15" x14ac:dyDescent="0.25">
      <c r="A110" s="589" t="s">
        <v>42</v>
      </c>
      <c r="B110" s="590" t="s">
        <v>898</v>
      </c>
      <c r="C110" s="598" t="s">
        <v>913</v>
      </c>
      <c r="D110" s="549">
        <v>136473</v>
      </c>
      <c r="E110" s="551">
        <v>8</v>
      </c>
      <c r="F110" s="235">
        <f t="shared" si="11"/>
        <v>252635</v>
      </c>
      <c r="G110" s="234">
        <f t="shared" si="12"/>
        <v>249101</v>
      </c>
      <c r="H110" s="238">
        <v>196934</v>
      </c>
      <c r="I110" s="592">
        <v>188238</v>
      </c>
      <c r="J110" s="238">
        <v>11484</v>
      </c>
      <c r="K110" s="593">
        <v>19972</v>
      </c>
      <c r="L110" s="238">
        <v>37524</v>
      </c>
      <c r="M110" s="238">
        <v>0</v>
      </c>
      <c r="N110" s="238">
        <v>6693</v>
      </c>
      <c r="O110" s="594">
        <v>38276</v>
      </c>
      <c r="P110" s="601">
        <v>0</v>
      </c>
      <c r="Q110" s="602">
        <v>2615</v>
      </c>
      <c r="R110" s="238">
        <v>0</v>
      </c>
      <c r="S110" s="595">
        <v>0</v>
      </c>
      <c r="T110" s="236">
        <f t="shared" si="13"/>
        <v>0</v>
      </c>
      <c r="U110" s="237">
        <f t="shared" si="14"/>
        <v>0</v>
      </c>
      <c r="V110" s="238"/>
      <c r="W110" s="239"/>
      <c r="X110" s="241"/>
      <c r="Y110" s="240"/>
      <c r="Z110" s="238"/>
      <c r="AA110" s="238"/>
      <c r="AB110" s="238"/>
      <c r="AC110" s="239"/>
      <c r="AD110" s="239"/>
      <c r="AE110" s="240"/>
      <c r="AF110" s="238"/>
      <c r="AG110" s="239"/>
    </row>
    <row r="111" spans="1:33" ht="15" x14ac:dyDescent="0.25">
      <c r="A111" s="589" t="s">
        <v>42</v>
      </c>
      <c r="B111" s="590" t="s">
        <v>899</v>
      </c>
      <c r="C111" s="598" t="s">
        <v>912</v>
      </c>
      <c r="D111" s="549">
        <v>136516</v>
      </c>
      <c r="E111" s="551">
        <v>8</v>
      </c>
      <c r="F111" s="235">
        <f t="shared" si="11"/>
        <v>219030</v>
      </c>
      <c r="G111" s="234">
        <f t="shared" si="12"/>
        <v>231209</v>
      </c>
      <c r="H111" s="238">
        <v>156282</v>
      </c>
      <c r="I111" s="592">
        <v>161450</v>
      </c>
      <c r="J111" s="238">
        <v>13405</v>
      </c>
      <c r="K111" s="593">
        <v>18074</v>
      </c>
      <c r="L111" s="238">
        <v>35600</v>
      </c>
      <c r="M111" s="238">
        <v>0</v>
      </c>
      <c r="N111" s="238">
        <v>13743</v>
      </c>
      <c r="O111" s="594">
        <v>44887</v>
      </c>
      <c r="P111" s="601">
        <v>0</v>
      </c>
      <c r="Q111" s="602">
        <v>6798</v>
      </c>
      <c r="R111" s="238">
        <v>0</v>
      </c>
      <c r="S111" s="595">
        <v>0</v>
      </c>
      <c r="T111" s="236">
        <f t="shared" si="13"/>
        <v>0</v>
      </c>
      <c r="U111" s="237">
        <f t="shared" si="14"/>
        <v>0</v>
      </c>
      <c r="V111" s="238"/>
      <c r="W111" s="239"/>
      <c r="X111" s="241"/>
      <c r="Y111" s="240"/>
      <c r="Z111" s="238"/>
      <c r="AA111" s="238"/>
      <c r="AB111" s="238"/>
      <c r="AC111" s="239"/>
      <c r="AD111" s="239"/>
      <c r="AE111" s="240"/>
      <c r="AF111" s="238"/>
      <c r="AG111" s="239"/>
    </row>
    <row r="112" spans="1:33" ht="15" x14ac:dyDescent="0.25">
      <c r="A112" s="589" t="s">
        <v>42</v>
      </c>
      <c r="B112" s="590" t="s">
        <v>900</v>
      </c>
      <c r="C112" s="598" t="s">
        <v>913</v>
      </c>
      <c r="D112" s="549">
        <v>137096</v>
      </c>
      <c r="E112" s="551">
        <v>8</v>
      </c>
      <c r="F112" s="235">
        <f t="shared" si="11"/>
        <v>363960</v>
      </c>
      <c r="G112" s="234">
        <f t="shared" si="12"/>
        <v>349541</v>
      </c>
      <c r="H112" s="238">
        <v>268875</v>
      </c>
      <c r="I112" s="592">
        <v>266107</v>
      </c>
      <c r="J112" s="238">
        <v>4423</v>
      </c>
      <c r="K112" s="593">
        <v>3828</v>
      </c>
      <c r="L112" s="238">
        <v>65615</v>
      </c>
      <c r="M112" s="238">
        <v>0</v>
      </c>
      <c r="N112" s="238">
        <v>25047</v>
      </c>
      <c r="O112" s="594">
        <v>68854</v>
      </c>
      <c r="P112" s="601">
        <v>0</v>
      </c>
      <c r="Q112" s="602">
        <v>10752</v>
      </c>
      <c r="R112" s="238">
        <v>0</v>
      </c>
      <c r="S112" s="595">
        <v>0</v>
      </c>
      <c r="T112" s="236">
        <f t="shared" si="13"/>
        <v>0</v>
      </c>
      <c r="U112" s="237">
        <f t="shared" si="14"/>
        <v>0</v>
      </c>
      <c r="V112" s="238"/>
      <c r="W112" s="239"/>
      <c r="X112" s="241"/>
      <c r="Y112" s="240"/>
      <c r="Z112" s="238"/>
      <c r="AA112" s="238"/>
      <c r="AB112" s="238"/>
      <c r="AC112" s="239"/>
      <c r="AD112" s="239"/>
      <c r="AE112" s="240"/>
      <c r="AF112" s="238"/>
      <c r="AG112" s="239"/>
    </row>
    <row r="113" spans="1:33" ht="15" x14ac:dyDescent="0.25">
      <c r="A113" s="589" t="s">
        <v>42</v>
      </c>
      <c r="B113" s="590" t="s">
        <v>901</v>
      </c>
      <c r="C113" s="598" t="s">
        <v>913</v>
      </c>
      <c r="D113" s="549">
        <v>137209</v>
      </c>
      <c r="E113" s="551">
        <v>8</v>
      </c>
      <c r="F113" s="235">
        <f t="shared" si="11"/>
        <v>415156</v>
      </c>
      <c r="G113" s="234">
        <f t="shared" si="12"/>
        <v>415080</v>
      </c>
      <c r="H113" s="238">
        <v>329072</v>
      </c>
      <c r="I113" s="592">
        <v>332916</v>
      </c>
      <c r="J113" s="238">
        <v>0</v>
      </c>
      <c r="K113" s="593">
        <v>0</v>
      </c>
      <c r="L113" s="238">
        <v>81623</v>
      </c>
      <c r="M113" s="238">
        <v>0</v>
      </c>
      <c r="N113" s="238">
        <v>4461</v>
      </c>
      <c r="O113" s="594">
        <v>79563</v>
      </c>
      <c r="P113" s="601">
        <v>0</v>
      </c>
      <c r="Q113" s="602">
        <v>2601</v>
      </c>
      <c r="R113" s="238">
        <v>0</v>
      </c>
      <c r="S113" s="595">
        <v>0</v>
      </c>
      <c r="T113" s="236">
        <f t="shared" si="13"/>
        <v>0</v>
      </c>
      <c r="U113" s="237">
        <f t="shared" si="14"/>
        <v>0</v>
      </c>
      <c r="V113" s="238"/>
      <c r="W113" s="239"/>
      <c r="X113" s="241"/>
      <c r="Y113" s="240"/>
      <c r="Z113" s="238"/>
      <c r="AA113" s="238"/>
      <c r="AB113" s="238"/>
      <c r="AC113" s="239"/>
      <c r="AD113" s="239"/>
      <c r="AE113" s="240"/>
      <c r="AF113" s="238"/>
      <c r="AG113" s="239"/>
    </row>
    <row r="114" spans="1:33" ht="15" x14ac:dyDescent="0.25">
      <c r="A114" s="589" t="s">
        <v>42</v>
      </c>
      <c r="B114" s="590" t="s">
        <v>902</v>
      </c>
      <c r="C114" s="598" t="s">
        <v>912</v>
      </c>
      <c r="D114" s="549">
        <v>135391</v>
      </c>
      <c r="E114" s="551">
        <v>8</v>
      </c>
      <c r="F114" s="235">
        <f t="shared" si="11"/>
        <v>258433</v>
      </c>
      <c r="G114" s="234">
        <f t="shared" si="12"/>
        <v>246332</v>
      </c>
      <c r="H114" s="238">
        <v>193907</v>
      </c>
      <c r="I114" s="592">
        <v>176206</v>
      </c>
      <c r="J114" s="238">
        <v>9332</v>
      </c>
      <c r="K114" s="593">
        <v>10210</v>
      </c>
      <c r="L114" s="238">
        <v>38391</v>
      </c>
      <c r="M114" s="238">
        <v>1416</v>
      </c>
      <c r="N114" s="238">
        <v>15387</v>
      </c>
      <c r="O114" s="594">
        <v>19375</v>
      </c>
      <c r="P114" s="601">
        <v>34494</v>
      </c>
      <c r="Q114" s="602">
        <v>6047</v>
      </c>
      <c r="R114" s="238">
        <v>0</v>
      </c>
      <c r="S114" s="595">
        <v>0</v>
      </c>
      <c r="T114" s="236">
        <f t="shared" si="13"/>
        <v>0</v>
      </c>
      <c r="U114" s="237">
        <f t="shared" si="14"/>
        <v>0</v>
      </c>
      <c r="V114" s="238"/>
      <c r="W114" s="239"/>
      <c r="X114" s="241"/>
      <c r="Y114" s="240"/>
      <c r="Z114" s="238"/>
      <c r="AA114" s="238"/>
      <c r="AB114" s="238"/>
      <c r="AC114" s="239"/>
      <c r="AD114" s="239"/>
      <c r="AE114" s="240"/>
      <c r="AF114" s="238"/>
      <c r="AG114" s="239"/>
    </row>
    <row r="115" spans="1:33" ht="15" x14ac:dyDescent="0.25">
      <c r="A115" s="589" t="s">
        <v>42</v>
      </c>
      <c r="B115" s="590" t="s">
        <v>903</v>
      </c>
      <c r="C115" s="596"/>
      <c r="D115" s="549">
        <v>137759</v>
      </c>
      <c r="E115" s="551">
        <v>8</v>
      </c>
      <c r="F115" s="235">
        <f t="shared" si="11"/>
        <v>352517</v>
      </c>
      <c r="G115" s="234">
        <f t="shared" si="12"/>
        <v>336419</v>
      </c>
      <c r="H115" s="238">
        <v>34131</v>
      </c>
      <c r="I115" s="592">
        <v>166937</v>
      </c>
      <c r="J115" s="238">
        <v>1753</v>
      </c>
      <c r="K115" s="593">
        <v>5992</v>
      </c>
      <c r="L115" s="238">
        <v>32092</v>
      </c>
      <c r="M115" s="238">
        <v>0</v>
      </c>
      <c r="N115" s="238">
        <v>284541</v>
      </c>
      <c r="O115" s="594">
        <v>49461</v>
      </c>
      <c r="P115" s="601">
        <v>0</v>
      </c>
      <c r="Q115" s="602">
        <v>114029</v>
      </c>
      <c r="R115" s="238">
        <v>0</v>
      </c>
      <c r="S115" s="595">
        <v>0</v>
      </c>
      <c r="T115" s="236">
        <f t="shared" si="13"/>
        <v>0</v>
      </c>
      <c r="U115" s="237">
        <f t="shared" si="14"/>
        <v>0</v>
      </c>
      <c r="V115" s="238"/>
      <c r="W115" s="239"/>
      <c r="X115" s="241"/>
      <c r="Y115" s="240"/>
      <c r="Z115" s="238"/>
      <c r="AA115" s="238"/>
      <c r="AB115" s="238"/>
      <c r="AC115" s="239"/>
      <c r="AD115" s="239"/>
      <c r="AE115" s="240"/>
      <c r="AF115" s="238"/>
      <c r="AG115" s="239"/>
    </row>
    <row r="116" spans="1:33" ht="15" x14ac:dyDescent="0.25">
      <c r="A116" s="589" t="s">
        <v>42</v>
      </c>
      <c r="B116" s="590" t="s">
        <v>904</v>
      </c>
      <c r="C116" s="596"/>
      <c r="D116" s="549">
        <v>138187</v>
      </c>
      <c r="E116" s="551">
        <v>8</v>
      </c>
      <c r="F116" s="235">
        <f t="shared" si="11"/>
        <v>943242</v>
      </c>
      <c r="G116" s="234">
        <f t="shared" si="12"/>
        <v>911305</v>
      </c>
      <c r="H116" s="238">
        <v>711310</v>
      </c>
      <c r="I116" s="592">
        <v>714104</v>
      </c>
      <c r="J116" s="238">
        <v>0</v>
      </c>
      <c r="K116" s="593">
        <v>61</v>
      </c>
      <c r="L116" s="238">
        <v>176569</v>
      </c>
      <c r="M116" s="238">
        <v>0</v>
      </c>
      <c r="N116" s="238">
        <v>55363</v>
      </c>
      <c r="O116" s="594">
        <v>176451</v>
      </c>
      <c r="P116" s="601">
        <v>0</v>
      </c>
      <c r="Q116" s="602">
        <v>20689</v>
      </c>
      <c r="R116" s="238">
        <v>0</v>
      </c>
      <c r="S116" s="595">
        <v>0</v>
      </c>
      <c r="T116" s="236">
        <f t="shared" si="13"/>
        <v>0</v>
      </c>
      <c r="U116" s="237">
        <f t="shared" si="14"/>
        <v>0</v>
      </c>
      <c r="V116" s="238"/>
      <c r="W116" s="239"/>
      <c r="X116" s="241"/>
      <c r="Y116" s="240"/>
      <c r="Z116" s="238"/>
      <c r="AA116" s="238"/>
      <c r="AB116" s="238"/>
      <c r="AC116" s="239"/>
      <c r="AD116" s="239"/>
      <c r="AE116" s="240"/>
      <c r="AF116" s="238"/>
      <c r="AG116" s="239"/>
    </row>
    <row r="117" spans="1:33" ht="15" x14ac:dyDescent="0.25">
      <c r="A117" s="589" t="s">
        <v>42</v>
      </c>
      <c r="B117" s="590" t="s">
        <v>905</v>
      </c>
      <c r="C117" s="591"/>
      <c r="D117" s="549">
        <v>135160</v>
      </c>
      <c r="E117" s="551">
        <v>9</v>
      </c>
      <c r="F117" s="235">
        <f t="shared" si="11"/>
        <v>59830</v>
      </c>
      <c r="G117" s="234">
        <f t="shared" si="12"/>
        <v>58067</v>
      </c>
      <c r="H117" s="238">
        <v>30588</v>
      </c>
      <c r="I117" s="592">
        <v>29424</v>
      </c>
      <c r="J117" s="238">
        <v>2137</v>
      </c>
      <c r="K117" s="593">
        <v>5107</v>
      </c>
      <c r="L117" s="238">
        <v>23566</v>
      </c>
      <c r="M117" s="238">
        <v>1662</v>
      </c>
      <c r="N117" s="238">
        <v>1877</v>
      </c>
      <c r="O117" s="594">
        <v>22225</v>
      </c>
      <c r="P117" s="601">
        <v>626</v>
      </c>
      <c r="Q117" s="602">
        <v>685</v>
      </c>
      <c r="R117" s="238">
        <v>0</v>
      </c>
      <c r="S117" s="595">
        <v>0</v>
      </c>
      <c r="T117" s="236">
        <f t="shared" si="13"/>
        <v>0</v>
      </c>
      <c r="U117" s="237">
        <f t="shared" si="14"/>
        <v>0</v>
      </c>
      <c r="V117" s="238"/>
      <c r="W117" s="239"/>
      <c r="X117" s="241"/>
      <c r="Y117" s="240"/>
      <c r="Z117" s="238"/>
      <c r="AA117" s="238"/>
      <c r="AB117" s="238"/>
      <c r="AC117" s="239"/>
      <c r="AD117" s="239"/>
      <c r="AE117" s="240"/>
      <c r="AF117" s="238"/>
      <c r="AG117" s="239"/>
    </row>
    <row r="118" spans="1:33" ht="15" x14ac:dyDescent="0.25">
      <c r="A118" s="589" t="s">
        <v>42</v>
      </c>
      <c r="B118" s="599" t="s">
        <v>906</v>
      </c>
      <c r="C118" s="598" t="s">
        <v>913</v>
      </c>
      <c r="D118" s="549">
        <v>134343</v>
      </c>
      <c r="E118" s="551">
        <v>9</v>
      </c>
      <c r="F118" s="235">
        <f t="shared" si="11"/>
        <v>138301</v>
      </c>
      <c r="G118" s="234">
        <f t="shared" si="12"/>
        <v>130569</v>
      </c>
      <c r="H118" s="238">
        <v>90065</v>
      </c>
      <c r="I118" s="592">
        <v>81983</v>
      </c>
      <c r="J118" s="238">
        <v>12541</v>
      </c>
      <c r="K118" s="593">
        <v>13623</v>
      </c>
      <c r="L118" s="238">
        <v>31695</v>
      </c>
      <c r="M118" s="238">
        <v>2224</v>
      </c>
      <c r="N118" s="238">
        <v>1776</v>
      </c>
      <c r="O118" s="594">
        <v>32623</v>
      </c>
      <c r="P118" s="601">
        <v>1428</v>
      </c>
      <c r="Q118" s="602">
        <v>912</v>
      </c>
      <c r="R118" s="238">
        <v>0</v>
      </c>
      <c r="S118" s="595">
        <v>0</v>
      </c>
      <c r="T118" s="236">
        <f t="shared" si="13"/>
        <v>0</v>
      </c>
      <c r="U118" s="237">
        <f t="shared" si="14"/>
        <v>0</v>
      </c>
      <c r="V118" s="238"/>
      <c r="W118" s="600"/>
      <c r="X118" s="241"/>
      <c r="Y118" s="240"/>
      <c r="Z118" s="238"/>
      <c r="AA118" s="238"/>
      <c r="AB118" s="238"/>
      <c r="AC118" s="239"/>
      <c r="AD118" s="239"/>
      <c r="AE118" s="240"/>
      <c r="AF118" s="238"/>
      <c r="AG118" s="239"/>
    </row>
    <row r="119" spans="1:33" ht="15" x14ac:dyDescent="0.25">
      <c r="A119" s="589" t="s">
        <v>42</v>
      </c>
      <c r="B119" s="590" t="s">
        <v>907</v>
      </c>
      <c r="C119" s="591"/>
      <c r="D119" s="549">
        <v>135188</v>
      </c>
      <c r="E119" s="551">
        <v>9</v>
      </c>
      <c r="F119" s="235">
        <f t="shared" si="11"/>
        <v>97223</v>
      </c>
      <c r="G119" s="234">
        <f t="shared" si="12"/>
        <v>92752</v>
      </c>
      <c r="H119" s="238">
        <v>78086</v>
      </c>
      <c r="I119" s="592">
        <v>78980</v>
      </c>
      <c r="J119" s="238">
        <v>0</v>
      </c>
      <c r="K119" s="593">
        <v>0</v>
      </c>
      <c r="L119" s="238">
        <v>6341</v>
      </c>
      <c r="M119" s="238">
        <v>0</v>
      </c>
      <c r="N119" s="238">
        <v>12796</v>
      </c>
      <c r="O119" s="594">
        <v>8385</v>
      </c>
      <c r="P119" s="601">
        <v>0</v>
      </c>
      <c r="Q119" s="602">
        <v>5387</v>
      </c>
      <c r="R119" s="238">
        <v>0</v>
      </c>
      <c r="S119" s="595">
        <v>0</v>
      </c>
      <c r="T119" s="236">
        <f t="shared" si="13"/>
        <v>0</v>
      </c>
      <c r="U119" s="237">
        <f t="shared" si="14"/>
        <v>0</v>
      </c>
      <c r="V119" s="238"/>
      <c r="W119" s="239"/>
      <c r="X119" s="241"/>
      <c r="Y119" s="240"/>
      <c r="Z119" s="238"/>
      <c r="AA119" s="238"/>
      <c r="AB119" s="238"/>
      <c r="AC119" s="239"/>
      <c r="AD119" s="239"/>
      <c r="AE119" s="240"/>
      <c r="AF119" s="238"/>
      <c r="AG119" s="239"/>
    </row>
    <row r="120" spans="1:33" ht="15" x14ac:dyDescent="0.25">
      <c r="A120" s="589" t="s">
        <v>42</v>
      </c>
      <c r="B120" s="590" t="s">
        <v>908</v>
      </c>
      <c r="C120" s="591"/>
      <c r="D120" s="549">
        <v>137315</v>
      </c>
      <c r="E120" s="551">
        <v>9</v>
      </c>
      <c r="F120" s="235">
        <f t="shared" si="11"/>
        <v>47356</v>
      </c>
      <c r="G120" s="234">
        <f t="shared" si="12"/>
        <v>46647</v>
      </c>
      <c r="H120" s="238">
        <v>4870</v>
      </c>
      <c r="I120" s="592">
        <v>16841</v>
      </c>
      <c r="J120" s="238">
        <v>2284</v>
      </c>
      <c r="K120" s="593">
        <v>7661</v>
      </c>
      <c r="L120" s="238">
        <v>5590</v>
      </c>
      <c r="M120" s="238">
        <v>1251</v>
      </c>
      <c r="N120" s="238">
        <v>27204</v>
      </c>
      <c r="O120" s="594">
        <v>5529</v>
      </c>
      <c r="P120" s="601">
        <v>1281</v>
      </c>
      <c r="Q120" s="602">
        <v>9523</v>
      </c>
      <c r="R120" s="238">
        <v>6157</v>
      </c>
      <c r="S120" s="595">
        <v>5812</v>
      </c>
      <c r="T120" s="236">
        <f t="shared" si="13"/>
        <v>0</v>
      </c>
      <c r="U120" s="237">
        <f t="shared" si="14"/>
        <v>0</v>
      </c>
      <c r="V120" s="238"/>
      <c r="W120" s="239"/>
      <c r="X120" s="241"/>
      <c r="Y120" s="240"/>
      <c r="Z120" s="238"/>
      <c r="AA120" s="238"/>
      <c r="AB120" s="238"/>
      <c r="AC120" s="239"/>
      <c r="AD120" s="239"/>
      <c r="AE120" s="240"/>
      <c r="AF120" s="238"/>
      <c r="AG120" s="239"/>
    </row>
    <row r="121" spans="1:33" ht="15" x14ac:dyDescent="0.25">
      <c r="A121" s="589" t="s">
        <v>42</v>
      </c>
      <c r="B121" s="590" t="s">
        <v>909</v>
      </c>
      <c r="C121" s="596" t="s">
        <v>912</v>
      </c>
      <c r="D121" s="549">
        <v>137281</v>
      </c>
      <c r="E121" s="551">
        <v>9</v>
      </c>
      <c r="F121" s="235">
        <f t="shared" si="11"/>
        <v>143030</v>
      </c>
      <c r="G121" s="234">
        <f t="shared" si="12"/>
        <v>137839</v>
      </c>
      <c r="H121" s="238">
        <v>96680</v>
      </c>
      <c r="I121" s="592">
        <v>93684</v>
      </c>
      <c r="J121" s="238">
        <v>9314</v>
      </c>
      <c r="K121" s="593">
        <v>10476</v>
      </c>
      <c r="L121" s="238">
        <v>31509</v>
      </c>
      <c r="M121" s="238">
        <v>0</v>
      </c>
      <c r="N121" s="238">
        <v>5527</v>
      </c>
      <c r="O121" s="594">
        <v>31045</v>
      </c>
      <c r="P121" s="601">
        <v>0</v>
      </c>
      <c r="Q121" s="602">
        <v>2634</v>
      </c>
      <c r="R121" s="238">
        <v>0</v>
      </c>
      <c r="S121" s="595">
        <v>0</v>
      </c>
      <c r="T121" s="236">
        <f t="shared" si="13"/>
        <v>0</v>
      </c>
      <c r="U121" s="237">
        <f t="shared" si="14"/>
        <v>0</v>
      </c>
      <c r="V121" s="238"/>
      <c r="W121" s="239"/>
      <c r="X121" s="241"/>
      <c r="Y121" s="240"/>
      <c r="Z121" s="238"/>
      <c r="AA121" s="238"/>
      <c r="AB121" s="238"/>
      <c r="AC121" s="239"/>
      <c r="AD121" s="239"/>
      <c r="AE121" s="240"/>
      <c r="AF121" s="238"/>
      <c r="AG121" s="239"/>
    </row>
    <row r="122" spans="1:33" ht="15" x14ac:dyDescent="0.25">
      <c r="A122" s="589" t="s">
        <v>42</v>
      </c>
      <c r="B122" s="590" t="s">
        <v>910</v>
      </c>
      <c r="C122" s="591"/>
      <c r="D122" s="549">
        <v>133960</v>
      </c>
      <c r="E122" s="551">
        <v>10</v>
      </c>
      <c r="F122" s="235">
        <f t="shared" si="11"/>
        <v>27535</v>
      </c>
      <c r="G122" s="234">
        <f t="shared" si="12"/>
        <v>24784</v>
      </c>
      <c r="H122" s="238">
        <v>20266</v>
      </c>
      <c r="I122" s="592">
        <v>19559</v>
      </c>
      <c r="J122" s="238">
        <v>1058</v>
      </c>
      <c r="K122" s="593">
        <v>562</v>
      </c>
      <c r="L122" s="238">
        <v>3723</v>
      </c>
      <c r="M122" s="238">
        <v>0</v>
      </c>
      <c r="N122" s="238">
        <v>2488</v>
      </c>
      <c r="O122" s="594">
        <v>4478</v>
      </c>
      <c r="P122" s="601">
        <v>0</v>
      </c>
      <c r="Q122" s="602">
        <v>185</v>
      </c>
      <c r="R122" s="238">
        <v>0</v>
      </c>
      <c r="S122" s="595">
        <v>0</v>
      </c>
      <c r="T122" s="236">
        <f t="shared" si="13"/>
        <v>0</v>
      </c>
      <c r="U122" s="237">
        <f t="shared" si="14"/>
        <v>0</v>
      </c>
      <c r="V122" s="238"/>
      <c r="W122" s="239"/>
      <c r="X122" s="241"/>
      <c r="Y122" s="240"/>
      <c r="Z122" s="238"/>
      <c r="AA122" s="238"/>
      <c r="AB122" s="238"/>
      <c r="AC122" s="239"/>
      <c r="AD122" s="239"/>
      <c r="AE122" s="240"/>
      <c r="AF122" s="238"/>
      <c r="AG122" s="239"/>
    </row>
    <row r="123" spans="1:33" ht="15" x14ac:dyDescent="0.25">
      <c r="A123" s="589" t="s">
        <v>42</v>
      </c>
      <c r="B123" s="590" t="s">
        <v>911</v>
      </c>
      <c r="C123" s="591"/>
      <c r="D123" s="549">
        <v>136145</v>
      </c>
      <c r="E123" s="551">
        <v>10</v>
      </c>
      <c r="F123" s="235">
        <f t="shared" si="11"/>
        <v>26319</v>
      </c>
      <c r="G123" s="234">
        <f t="shared" si="12"/>
        <v>24486</v>
      </c>
      <c r="H123" s="238">
        <v>1165</v>
      </c>
      <c r="I123" s="592">
        <v>10909</v>
      </c>
      <c r="J123" s="238">
        <v>358</v>
      </c>
      <c r="K123" s="593">
        <v>920</v>
      </c>
      <c r="L123" s="238">
        <v>5494</v>
      </c>
      <c r="M123" s="238">
        <v>0</v>
      </c>
      <c r="N123" s="238">
        <v>19302</v>
      </c>
      <c r="O123" s="594">
        <v>5966</v>
      </c>
      <c r="P123" s="601">
        <v>0</v>
      </c>
      <c r="Q123" s="602">
        <v>6691</v>
      </c>
      <c r="R123" s="238">
        <v>0</v>
      </c>
      <c r="S123" s="595">
        <v>0</v>
      </c>
      <c r="T123" s="236">
        <f t="shared" si="13"/>
        <v>0</v>
      </c>
      <c r="U123" s="237">
        <f t="shared" si="14"/>
        <v>0</v>
      </c>
      <c r="V123" s="238"/>
      <c r="W123" s="239"/>
      <c r="X123" s="241"/>
      <c r="Y123" s="240"/>
      <c r="Z123" s="238"/>
      <c r="AA123" s="238"/>
      <c r="AB123" s="238"/>
      <c r="AC123" s="239"/>
      <c r="AD123" s="239"/>
      <c r="AE123" s="240"/>
      <c r="AF123" s="238"/>
      <c r="AG123" s="239"/>
    </row>
    <row r="124" spans="1:33" x14ac:dyDescent="0.2">
      <c r="A124" s="510" t="s">
        <v>43</v>
      </c>
      <c r="B124" s="342" t="s">
        <v>290</v>
      </c>
      <c r="C124" s="354"/>
      <c r="D124" s="346">
        <v>139940</v>
      </c>
      <c r="E124" s="347">
        <v>1</v>
      </c>
      <c r="F124" s="235">
        <f t="shared" si="11"/>
        <v>0</v>
      </c>
      <c r="G124" s="234">
        <f t="shared" si="12"/>
        <v>652503.5</v>
      </c>
      <c r="H124" s="231"/>
      <c r="I124" s="232">
        <v>618126.5</v>
      </c>
      <c r="J124" s="231"/>
      <c r="K124" s="233">
        <v>9829</v>
      </c>
      <c r="L124" s="231"/>
      <c r="M124" s="238"/>
      <c r="N124" s="231"/>
      <c r="O124" s="232">
        <v>21925</v>
      </c>
      <c r="P124" s="239">
        <v>0</v>
      </c>
      <c r="Q124" s="233">
        <v>2623</v>
      </c>
      <c r="R124" s="231"/>
      <c r="S124" s="233">
        <v>0</v>
      </c>
      <c r="T124" s="236">
        <f t="shared" ref="T124:T163" si="15">SUM(V124,X124,Z124,AA124,AB124,AF124)</f>
        <v>0</v>
      </c>
      <c r="U124" s="237">
        <f t="shared" ref="U124:U163" si="16">SUM(W124,Y124,AC124,AD124,AE124,AG124)</f>
        <v>0</v>
      </c>
      <c r="V124" s="231"/>
      <c r="W124" s="232"/>
      <c r="X124" s="326"/>
      <c r="Y124" s="233"/>
      <c r="Z124" s="231"/>
      <c r="AA124" s="238"/>
      <c r="AB124" s="231"/>
      <c r="AC124" s="232"/>
      <c r="AD124" s="239"/>
      <c r="AE124" s="233"/>
      <c r="AF124" s="231"/>
      <c r="AG124" s="232"/>
    </row>
    <row r="125" spans="1:33" x14ac:dyDescent="0.2">
      <c r="A125" s="510" t="s">
        <v>43</v>
      </c>
      <c r="B125" s="342" t="s">
        <v>291</v>
      </c>
      <c r="C125" s="354"/>
      <c r="D125" s="346">
        <v>139959</v>
      </c>
      <c r="E125" s="347">
        <v>1</v>
      </c>
      <c r="F125" s="235">
        <f t="shared" ref="F125:F163" si="17">SUM(H125,J125,L125,M125,N125,R125)</f>
        <v>0</v>
      </c>
      <c r="G125" s="234">
        <f t="shared" ref="G125:G163" si="18">SUM(I125,K125,O125,P125,Q125,S125)</f>
        <v>752074.9</v>
      </c>
      <c r="H125" s="231"/>
      <c r="I125" s="232">
        <v>727648.9</v>
      </c>
      <c r="J125" s="231"/>
      <c r="K125" s="233">
        <v>14241</v>
      </c>
      <c r="L125" s="231"/>
      <c r="M125" s="238"/>
      <c r="N125" s="231"/>
      <c r="O125" s="232">
        <v>10176</v>
      </c>
      <c r="P125" s="239">
        <v>0</v>
      </c>
      <c r="Q125" s="233">
        <v>0</v>
      </c>
      <c r="R125" s="231"/>
      <c r="S125" s="233">
        <v>9</v>
      </c>
      <c r="T125" s="236">
        <f t="shared" si="15"/>
        <v>0</v>
      </c>
      <c r="U125" s="237">
        <f t="shared" si="16"/>
        <v>0</v>
      </c>
      <c r="V125" s="231"/>
      <c r="W125" s="232"/>
      <c r="X125" s="326"/>
      <c r="Y125" s="233"/>
      <c r="Z125" s="231"/>
      <c r="AA125" s="238"/>
      <c r="AB125" s="231"/>
      <c r="AC125" s="232"/>
      <c r="AD125" s="239"/>
      <c r="AE125" s="233"/>
      <c r="AF125" s="231"/>
      <c r="AG125" s="232"/>
    </row>
    <row r="126" spans="1:33" x14ac:dyDescent="0.2">
      <c r="A126" s="510" t="s">
        <v>43</v>
      </c>
      <c r="B126" s="342" t="s">
        <v>292</v>
      </c>
      <c r="C126" s="354"/>
      <c r="D126" s="346">
        <v>139755</v>
      </c>
      <c r="E126" s="347">
        <v>2</v>
      </c>
      <c r="F126" s="235">
        <f t="shared" si="17"/>
        <v>0</v>
      </c>
      <c r="G126" s="234">
        <f t="shared" si="18"/>
        <v>423928</v>
      </c>
      <c r="H126" s="231"/>
      <c r="I126" s="232">
        <v>409592</v>
      </c>
      <c r="J126" s="231"/>
      <c r="K126" s="233">
        <v>11280</v>
      </c>
      <c r="L126" s="231"/>
      <c r="M126" s="238"/>
      <c r="N126" s="231"/>
      <c r="O126" s="232">
        <v>1638</v>
      </c>
      <c r="P126" s="239">
        <v>899</v>
      </c>
      <c r="Q126" s="233">
        <v>519</v>
      </c>
      <c r="R126" s="231"/>
      <c r="S126" s="233">
        <v>0</v>
      </c>
      <c r="T126" s="236">
        <f t="shared" si="15"/>
        <v>0</v>
      </c>
      <c r="U126" s="237">
        <f t="shared" si="16"/>
        <v>0</v>
      </c>
      <c r="V126" s="231"/>
      <c r="W126" s="520"/>
      <c r="X126" s="326"/>
      <c r="Y126" s="233"/>
      <c r="Z126" s="231"/>
      <c r="AA126" s="238"/>
      <c r="AB126" s="231"/>
      <c r="AC126" s="232"/>
      <c r="AD126" s="239"/>
      <c r="AE126" s="233"/>
      <c r="AF126" s="231"/>
      <c r="AG126" s="232"/>
    </row>
    <row r="127" spans="1:33" x14ac:dyDescent="0.2">
      <c r="A127" s="510" t="s">
        <v>43</v>
      </c>
      <c r="B127" s="342" t="s">
        <v>293</v>
      </c>
      <c r="C127" s="354"/>
      <c r="D127" s="346">
        <v>139931</v>
      </c>
      <c r="E127" s="347">
        <v>3</v>
      </c>
      <c r="F127" s="235">
        <f t="shared" si="17"/>
        <v>0</v>
      </c>
      <c r="G127" s="234">
        <f t="shared" si="18"/>
        <v>514241</v>
      </c>
      <c r="H127" s="231"/>
      <c r="I127" s="232">
        <v>460456</v>
      </c>
      <c r="J127" s="231"/>
      <c r="K127" s="233">
        <v>3505</v>
      </c>
      <c r="L127" s="231"/>
      <c r="M127" s="238"/>
      <c r="N127" s="231"/>
      <c r="O127" s="232">
        <v>50138</v>
      </c>
      <c r="P127" s="239">
        <v>0</v>
      </c>
      <c r="Q127" s="233">
        <v>142</v>
      </c>
      <c r="R127" s="231"/>
      <c r="S127" s="233">
        <v>0</v>
      </c>
      <c r="T127" s="236">
        <f t="shared" si="15"/>
        <v>0</v>
      </c>
      <c r="U127" s="237">
        <f t="shared" si="16"/>
        <v>0</v>
      </c>
      <c r="V127" s="231"/>
      <c r="W127" s="232"/>
      <c r="X127" s="326"/>
      <c r="Y127" s="233"/>
      <c r="Z127" s="231"/>
      <c r="AA127" s="238"/>
      <c r="AB127" s="231"/>
      <c r="AC127" s="232"/>
      <c r="AD127" s="239"/>
      <c r="AE127" s="233"/>
      <c r="AF127" s="231"/>
      <c r="AG127" s="232"/>
    </row>
    <row r="128" spans="1:33" x14ac:dyDescent="0.2">
      <c r="A128" s="510" t="s">
        <v>43</v>
      </c>
      <c r="B128" s="342" t="s">
        <v>294</v>
      </c>
      <c r="C128" s="354"/>
      <c r="D128" s="346">
        <v>141334</v>
      </c>
      <c r="E128" s="347">
        <v>3</v>
      </c>
      <c r="F128" s="235">
        <f t="shared" si="17"/>
        <v>0</v>
      </c>
      <c r="G128" s="234">
        <f t="shared" si="18"/>
        <v>274841</v>
      </c>
      <c r="H128" s="231"/>
      <c r="I128" s="232">
        <v>216653</v>
      </c>
      <c r="J128" s="231"/>
      <c r="K128" s="233">
        <v>8851</v>
      </c>
      <c r="L128" s="231"/>
      <c r="M128" s="238"/>
      <c r="N128" s="231"/>
      <c r="O128" s="232">
        <v>49310</v>
      </c>
      <c r="P128" s="239">
        <v>0</v>
      </c>
      <c r="Q128" s="233">
        <v>27</v>
      </c>
      <c r="R128" s="231"/>
      <c r="S128" s="233">
        <v>0</v>
      </c>
      <c r="T128" s="236">
        <f t="shared" si="15"/>
        <v>0</v>
      </c>
      <c r="U128" s="237">
        <f t="shared" si="16"/>
        <v>0</v>
      </c>
      <c r="V128" s="231"/>
      <c r="W128" s="232"/>
      <c r="X128" s="326"/>
      <c r="Y128" s="233"/>
      <c r="Z128" s="231"/>
      <c r="AA128" s="238"/>
      <c r="AB128" s="231"/>
      <c r="AC128" s="232"/>
      <c r="AD128" s="239"/>
      <c r="AE128" s="233"/>
      <c r="AF128" s="231"/>
      <c r="AG128" s="232"/>
    </row>
    <row r="129" spans="1:33" x14ac:dyDescent="0.2">
      <c r="A129" s="510" t="s">
        <v>43</v>
      </c>
      <c r="B129" s="342" t="s">
        <v>295</v>
      </c>
      <c r="C129" s="354"/>
      <c r="D129" s="346">
        <v>141264</v>
      </c>
      <c r="E129" s="347">
        <v>3</v>
      </c>
      <c r="F129" s="235">
        <f t="shared" si="17"/>
        <v>0</v>
      </c>
      <c r="G129" s="234">
        <f t="shared" si="18"/>
        <v>287977</v>
      </c>
      <c r="H129" s="231"/>
      <c r="I129" s="232">
        <v>258705</v>
      </c>
      <c r="J129" s="231"/>
      <c r="K129" s="233">
        <v>4509</v>
      </c>
      <c r="L129" s="231"/>
      <c r="M129" s="238"/>
      <c r="N129" s="231"/>
      <c r="O129" s="232">
        <v>24652</v>
      </c>
      <c r="P129" s="239">
        <v>111</v>
      </c>
      <c r="Q129" s="233">
        <v>0</v>
      </c>
      <c r="R129" s="231"/>
      <c r="S129" s="233">
        <v>0</v>
      </c>
      <c r="T129" s="236">
        <f t="shared" si="15"/>
        <v>0</v>
      </c>
      <c r="U129" s="237">
        <f t="shared" si="16"/>
        <v>0</v>
      </c>
      <c r="V129" s="231"/>
      <c r="W129" s="232"/>
      <c r="X129" s="326"/>
      <c r="Y129" s="233"/>
      <c r="Z129" s="231"/>
      <c r="AA129" s="238"/>
      <c r="AB129" s="231"/>
      <c r="AC129" s="232"/>
      <c r="AD129" s="239"/>
      <c r="AE129" s="233"/>
      <c r="AF129" s="231"/>
      <c r="AG129" s="232"/>
    </row>
    <row r="130" spans="1:33" x14ac:dyDescent="0.2">
      <c r="A130" s="510" t="s">
        <v>43</v>
      </c>
      <c r="B130" s="342" t="s">
        <v>296</v>
      </c>
      <c r="C130" s="354"/>
      <c r="D130" s="346">
        <v>138716</v>
      </c>
      <c r="E130" s="347">
        <v>4</v>
      </c>
      <c r="F130" s="235">
        <f t="shared" si="17"/>
        <v>0</v>
      </c>
      <c r="G130" s="234">
        <f t="shared" si="18"/>
        <v>106533</v>
      </c>
      <c r="H130" s="231"/>
      <c r="I130" s="232">
        <v>88298</v>
      </c>
      <c r="J130" s="231"/>
      <c r="K130" s="233">
        <v>2994</v>
      </c>
      <c r="L130" s="231"/>
      <c r="M130" s="238"/>
      <c r="N130" s="231"/>
      <c r="O130" s="232">
        <v>15172</v>
      </c>
      <c r="P130" s="239">
        <v>0</v>
      </c>
      <c r="Q130" s="233">
        <v>69</v>
      </c>
      <c r="R130" s="231"/>
      <c r="S130" s="233">
        <v>0</v>
      </c>
      <c r="T130" s="236">
        <f t="shared" si="15"/>
        <v>0</v>
      </c>
      <c r="U130" s="237">
        <f t="shared" si="16"/>
        <v>0</v>
      </c>
      <c r="V130" s="231"/>
      <c r="W130" s="232"/>
      <c r="X130" s="326"/>
      <c r="Y130" s="233"/>
      <c r="Z130" s="231"/>
      <c r="AA130" s="238"/>
      <c r="AB130" s="231"/>
      <c r="AC130" s="232"/>
      <c r="AD130" s="239"/>
      <c r="AE130" s="233"/>
      <c r="AF130" s="231"/>
      <c r="AG130" s="232"/>
    </row>
    <row r="131" spans="1:33" x14ac:dyDescent="0.2">
      <c r="A131" s="510" t="s">
        <v>43</v>
      </c>
      <c r="B131" s="342" t="s">
        <v>297</v>
      </c>
      <c r="C131" s="354"/>
      <c r="D131" s="346">
        <v>138789</v>
      </c>
      <c r="E131" s="347">
        <v>4</v>
      </c>
      <c r="F131" s="235">
        <f t="shared" si="17"/>
        <v>0</v>
      </c>
      <c r="G131" s="234">
        <f t="shared" si="18"/>
        <v>176106</v>
      </c>
      <c r="H131" s="231"/>
      <c r="I131" s="232">
        <v>155414</v>
      </c>
      <c r="J131" s="231"/>
      <c r="K131" s="233">
        <v>3771</v>
      </c>
      <c r="L131" s="231"/>
      <c r="M131" s="238"/>
      <c r="N131" s="231"/>
      <c r="O131" s="232">
        <v>0</v>
      </c>
      <c r="P131" s="239">
        <v>0</v>
      </c>
      <c r="Q131" s="233">
        <v>16921</v>
      </c>
      <c r="R131" s="231"/>
      <c r="S131" s="233">
        <v>0</v>
      </c>
      <c r="T131" s="236">
        <f t="shared" si="15"/>
        <v>0</v>
      </c>
      <c r="U131" s="237">
        <f t="shared" si="16"/>
        <v>0</v>
      </c>
      <c r="V131" s="231"/>
      <c r="W131" s="232"/>
      <c r="X131" s="326"/>
      <c r="Y131" s="233"/>
      <c r="Z131" s="231"/>
      <c r="AA131" s="238"/>
      <c r="AB131" s="231"/>
      <c r="AC131" s="232"/>
      <c r="AD131" s="239"/>
      <c r="AE131" s="233"/>
      <c r="AF131" s="231"/>
      <c r="AG131" s="232"/>
    </row>
    <row r="132" spans="1:33" x14ac:dyDescent="0.2">
      <c r="A132" s="510" t="s">
        <v>43</v>
      </c>
      <c r="B132" s="342" t="s">
        <v>301</v>
      </c>
      <c r="C132" s="343" t="s">
        <v>326</v>
      </c>
      <c r="D132" s="346">
        <v>138983</v>
      </c>
      <c r="E132" s="348">
        <v>4</v>
      </c>
      <c r="F132" s="235">
        <f t="shared" si="17"/>
        <v>0</v>
      </c>
      <c r="G132" s="234">
        <f t="shared" si="18"/>
        <v>147132</v>
      </c>
      <c r="H132" s="231"/>
      <c r="I132" s="232">
        <v>137963</v>
      </c>
      <c r="J132" s="231"/>
      <c r="K132" s="233">
        <v>767</v>
      </c>
      <c r="L132" s="231"/>
      <c r="M132" s="238"/>
      <c r="N132" s="231"/>
      <c r="O132" s="232">
        <v>8258</v>
      </c>
      <c r="P132" s="239">
        <v>0</v>
      </c>
      <c r="Q132" s="233">
        <v>144</v>
      </c>
      <c r="R132" s="231"/>
      <c r="S132" s="233">
        <v>0</v>
      </c>
      <c r="T132" s="236">
        <f t="shared" si="15"/>
        <v>0</v>
      </c>
      <c r="U132" s="237">
        <f t="shared" si="16"/>
        <v>0</v>
      </c>
      <c r="V132" s="231"/>
      <c r="W132" s="232"/>
      <c r="X132" s="326"/>
      <c r="Y132" s="233"/>
      <c r="Z132" s="231"/>
      <c r="AA132" s="238"/>
      <c r="AB132" s="231"/>
      <c r="AC132" s="232"/>
      <c r="AD132" s="239"/>
      <c r="AE132" s="233"/>
      <c r="AF132" s="231"/>
      <c r="AG132" s="232"/>
    </row>
    <row r="133" spans="1:33" x14ac:dyDescent="0.2">
      <c r="A133" s="335" t="s">
        <v>43</v>
      </c>
      <c r="B133" s="342" t="s">
        <v>298</v>
      </c>
      <c r="C133" s="354"/>
      <c r="D133" s="346">
        <v>139366</v>
      </c>
      <c r="E133" s="347">
        <v>4</v>
      </c>
      <c r="F133" s="235">
        <f t="shared" si="17"/>
        <v>0</v>
      </c>
      <c r="G133" s="234">
        <f t="shared" si="18"/>
        <v>180948</v>
      </c>
      <c r="H133" s="231"/>
      <c r="I133" s="232">
        <v>149454</v>
      </c>
      <c r="J133" s="231"/>
      <c r="K133" s="233">
        <v>6015</v>
      </c>
      <c r="L133" s="231"/>
      <c r="M133" s="238"/>
      <c r="N133" s="231"/>
      <c r="O133" s="232">
        <v>24255</v>
      </c>
      <c r="P133" s="239">
        <v>0</v>
      </c>
      <c r="Q133" s="233">
        <v>728</v>
      </c>
      <c r="R133" s="231"/>
      <c r="S133" s="233">
        <v>496</v>
      </c>
      <c r="T133" s="236">
        <f t="shared" si="15"/>
        <v>0</v>
      </c>
      <c r="U133" s="237">
        <f t="shared" si="16"/>
        <v>0</v>
      </c>
      <c r="V133" s="231"/>
      <c r="W133" s="232"/>
      <c r="X133" s="326"/>
      <c r="Y133" s="233"/>
      <c r="Z133" s="231"/>
      <c r="AA133" s="238"/>
      <c r="AB133" s="231"/>
      <c r="AC133" s="232"/>
      <c r="AD133" s="239"/>
      <c r="AE133" s="233"/>
      <c r="AF133" s="231"/>
      <c r="AG133" s="232"/>
    </row>
    <row r="134" spans="1:33" x14ac:dyDescent="0.2">
      <c r="A134" s="335" t="s">
        <v>43</v>
      </c>
      <c r="B134" s="342" t="s">
        <v>299</v>
      </c>
      <c r="C134" s="354"/>
      <c r="D134" s="346">
        <v>139861</v>
      </c>
      <c r="E134" s="347">
        <v>4</v>
      </c>
      <c r="F134" s="235">
        <f t="shared" si="17"/>
        <v>0</v>
      </c>
      <c r="G134" s="234">
        <f t="shared" si="18"/>
        <v>165640.5</v>
      </c>
      <c r="H134" s="231"/>
      <c r="I134" s="232">
        <v>158942.5</v>
      </c>
      <c r="J134" s="231"/>
      <c r="K134" s="233">
        <v>3948</v>
      </c>
      <c r="L134" s="231"/>
      <c r="M134" s="238"/>
      <c r="N134" s="231"/>
      <c r="O134" s="232">
        <v>432</v>
      </c>
      <c r="P134" s="239">
        <v>0</v>
      </c>
      <c r="Q134" s="233">
        <v>2318</v>
      </c>
      <c r="R134" s="231"/>
      <c r="S134" s="233">
        <v>0</v>
      </c>
      <c r="T134" s="236">
        <f t="shared" si="15"/>
        <v>0</v>
      </c>
      <c r="U134" s="237">
        <f t="shared" si="16"/>
        <v>0</v>
      </c>
      <c r="V134" s="231"/>
      <c r="W134" s="232"/>
      <c r="X134" s="326"/>
      <c r="Y134" s="233"/>
      <c r="Z134" s="231"/>
      <c r="AA134" s="238"/>
      <c r="AB134" s="231"/>
      <c r="AC134" s="232"/>
      <c r="AD134" s="239"/>
      <c r="AE134" s="233"/>
      <c r="AF134" s="231"/>
      <c r="AG134" s="232"/>
    </row>
    <row r="135" spans="1:33" x14ac:dyDescent="0.2">
      <c r="A135" s="335" t="s">
        <v>43</v>
      </c>
      <c r="B135" s="342" t="s">
        <v>300</v>
      </c>
      <c r="C135" s="354" t="s">
        <v>325</v>
      </c>
      <c r="D135" s="346">
        <v>140164</v>
      </c>
      <c r="E135" s="347">
        <v>4</v>
      </c>
      <c r="F135" s="235">
        <f t="shared" si="17"/>
        <v>0</v>
      </c>
      <c r="G135" s="234">
        <f t="shared" si="18"/>
        <v>595175</v>
      </c>
      <c r="H135" s="231"/>
      <c r="I135" s="232">
        <v>516677</v>
      </c>
      <c r="J135" s="231"/>
      <c r="K135" s="233">
        <v>2859</v>
      </c>
      <c r="L135" s="231"/>
      <c r="M135" s="238"/>
      <c r="N135" s="231"/>
      <c r="O135" s="232">
        <v>75639</v>
      </c>
      <c r="P135" s="239">
        <v>0</v>
      </c>
      <c r="Q135" s="233">
        <v>0</v>
      </c>
      <c r="R135" s="231"/>
      <c r="S135" s="233">
        <v>0</v>
      </c>
      <c r="T135" s="236">
        <f t="shared" si="15"/>
        <v>0</v>
      </c>
      <c r="U135" s="237">
        <f t="shared" si="16"/>
        <v>0</v>
      </c>
      <c r="V135" s="231"/>
      <c r="W135" s="232"/>
      <c r="X135" s="326"/>
      <c r="Y135" s="233"/>
      <c r="Z135" s="231"/>
      <c r="AA135" s="238"/>
      <c r="AB135" s="231"/>
      <c r="AC135" s="232"/>
      <c r="AD135" s="239"/>
      <c r="AE135" s="233"/>
      <c r="AF135" s="231"/>
      <c r="AG135" s="232"/>
    </row>
    <row r="136" spans="1:33" x14ac:dyDescent="0.2">
      <c r="A136" s="335" t="s">
        <v>43</v>
      </c>
      <c r="B136" s="342" t="s">
        <v>305</v>
      </c>
      <c r="C136" s="343" t="s">
        <v>326</v>
      </c>
      <c r="D136" s="346">
        <v>140669</v>
      </c>
      <c r="E136" s="348">
        <v>4</v>
      </c>
      <c r="F136" s="235">
        <f t="shared" si="17"/>
        <v>0</v>
      </c>
      <c r="G136" s="234">
        <f t="shared" si="18"/>
        <v>162274</v>
      </c>
      <c r="H136" s="231"/>
      <c r="I136" s="232">
        <v>143085</v>
      </c>
      <c r="J136" s="231"/>
      <c r="K136" s="233">
        <v>9559</v>
      </c>
      <c r="L136" s="231"/>
      <c r="M136" s="238"/>
      <c r="N136" s="231"/>
      <c r="O136" s="232">
        <v>9630</v>
      </c>
      <c r="P136" s="239">
        <v>0</v>
      </c>
      <c r="Q136" s="233">
        <v>0</v>
      </c>
      <c r="R136" s="231"/>
      <c r="S136" s="233">
        <v>0</v>
      </c>
      <c r="T136" s="236">
        <f t="shared" si="15"/>
        <v>0</v>
      </c>
      <c r="U136" s="237">
        <f t="shared" si="16"/>
        <v>0</v>
      </c>
      <c r="V136" s="231"/>
      <c r="W136" s="232"/>
      <c r="X136" s="326"/>
      <c r="Y136" s="233"/>
      <c r="Z136" s="231"/>
      <c r="AA136" s="238"/>
      <c r="AB136" s="231"/>
      <c r="AC136" s="232"/>
      <c r="AD136" s="239"/>
      <c r="AE136" s="233"/>
      <c r="AF136" s="231"/>
      <c r="AG136" s="232"/>
    </row>
    <row r="137" spans="1:33" x14ac:dyDescent="0.2">
      <c r="A137" s="335" t="s">
        <v>43</v>
      </c>
      <c r="B137" s="342" t="s">
        <v>302</v>
      </c>
      <c r="C137" s="354" t="s">
        <v>327</v>
      </c>
      <c r="D137" s="346">
        <v>139311</v>
      </c>
      <c r="E137" s="349">
        <v>5</v>
      </c>
      <c r="F137" s="235">
        <f t="shared" si="17"/>
        <v>0</v>
      </c>
      <c r="G137" s="234">
        <f t="shared" si="18"/>
        <v>167161</v>
      </c>
      <c r="H137" s="231"/>
      <c r="I137" s="232">
        <v>141089</v>
      </c>
      <c r="J137" s="231"/>
      <c r="K137" s="233">
        <v>2036</v>
      </c>
      <c r="L137" s="231"/>
      <c r="M137" s="238"/>
      <c r="N137" s="231"/>
      <c r="O137" s="232">
        <v>23510</v>
      </c>
      <c r="P137" s="239">
        <v>57</v>
      </c>
      <c r="Q137" s="233">
        <v>469</v>
      </c>
      <c r="R137" s="231"/>
      <c r="S137" s="233">
        <v>0</v>
      </c>
      <c r="T137" s="236">
        <f t="shared" si="15"/>
        <v>0</v>
      </c>
      <c r="U137" s="237">
        <f t="shared" si="16"/>
        <v>0</v>
      </c>
      <c r="V137" s="231"/>
      <c r="W137" s="232"/>
      <c r="X137" s="326"/>
      <c r="Y137" s="233"/>
      <c r="Z137" s="231"/>
      <c r="AA137" s="238"/>
      <c r="AB137" s="231"/>
      <c r="AC137" s="232"/>
      <c r="AD137" s="239"/>
      <c r="AE137" s="233"/>
      <c r="AF137" s="231"/>
      <c r="AG137" s="232"/>
    </row>
    <row r="138" spans="1:33" x14ac:dyDescent="0.2">
      <c r="A138" s="335" t="s">
        <v>43</v>
      </c>
      <c r="B138" s="342" t="s">
        <v>303</v>
      </c>
      <c r="C138" s="354"/>
      <c r="D138" s="346">
        <v>139719</v>
      </c>
      <c r="E138" s="347">
        <v>5</v>
      </c>
      <c r="F138" s="235">
        <f t="shared" si="17"/>
        <v>0</v>
      </c>
      <c r="G138" s="234">
        <f t="shared" si="18"/>
        <v>96447</v>
      </c>
      <c r="H138" s="231"/>
      <c r="I138" s="232">
        <v>85449</v>
      </c>
      <c r="J138" s="231"/>
      <c r="K138" s="233">
        <v>135</v>
      </c>
      <c r="L138" s="231"/>
      <c r="M138" s="238"/>
      <c r="N138" s="231"/>
      <c r="O138" s="232">
        <v>1038</v>
      </c>
      <c r="P138" s="239">
        <v>0</v>
      </c>
      <c r="Q138" s="233">
        <v>9825</v>
      </c>
      <c r="R138" s="231"/>
      <c r="S138" s="233">
        <v>0</v>
      </c>
      <c r="T138" s="236">
        <f t="shared" si="15"/>
        <v>0</v>
      </c>
      <c r="U138" s="237">
        <f t="shared" si="16"/>
        <v>0</v>
      </c>
      <c r="V138" s="231"/>
      <c r="W138" s="232"/>
      <c r="X138" s="326"/>
      <c r="Y138" s="233"/>
      <c r="Z138" s="231"/>
      <c r="AA138" s="238"/>
      <c r="AB138" s="231"/>
      <c r="AC138" s="232"/>
      <c r="AD138" s="239"/>
      <c r="AE138" s="233"/>
      <c r="AF138" s="231"/>
      <c r="AG138" s="232"/>
    </row>
    <row r="139" spans="1:33" x14ac:dyDescent="0.2">
      <c r="A139" s="335" t="s">
        <v>43</v>
      </c>
      <c r="B139" s="342" t="s">
        <v>304</v>
      </c>
      <c r="C139" s="354"/>
      <c r="D139" s="346">
        <v>139764</v>
      </c>
      <c r="E139" s="347">
        <v>5</v>
      </c>
      <c r="F139" s="235">
        <f t="shared" si="17"/>
        <v>0</v>
      </c>
      <c r="G139" s="234">
        <f t="shared" si="18"/>
        <v>74604</v>
      </c>
      <c r="H139" s="231"/>
      <c r="I139" s="232">
        <v>49806</v>
      </c>
      <c r="J139" s="231"/>
      <c r="K139" s="233">
        <v>573</v>
      </c>
      <c r="L139" s="231"/>
      <c r="M139" s="238"/>
      <c r="N139" s="231"/>
      <c r="O139" s="232">
        <v>16828</v>
      </c>
      <c r="P139" s="239">
        <v>0</v>
      </c>
      <c r="Q139" s="233">
        <v>7397</v>
      </c>
      <c r="R139" s="231"/>
      <c r="S139" s="233">
        <v>0</v>
      </c>
      <c r="T139" s="236">
        <f t="shared" si="15"/>
        <v>0</v>
      </c>
      <c r="U139" s="237">
        <f t="shared" si="16"/>
        <v>0</v>
      </c>
      <c r="V139" s="231"/>
      <c r="W139" s="232"/>
      <c r="X139" s="326"/>
      <c r="Y139" s="233"/>
      <c r="Z139" s="231"/>
      <c r="AA139" s="238"/>
      <c r="AB139" s="231"/>
      <c r="AC139" s="232"/>
      <c r="AD139" s="239"/>
      <c r="AE139" s="233"/>
      <c r="AF139" s="231"/>
      <c r="AG139" s="232"/>
    </row>
    <row r="140" spans="1:33" x14ac:dyDescent="0.2">
      <c r="A140" s="335" t="s">
        <v>43</v>
      </c>
      <c r="B140" s="342" t="s">
        <v>306</v>
      </c>
      <c r="C140" s="354"/>
      <c r="D140" s="346">
        <v>140960</v>
      </c>
      <c r="E140" s="347">
        <v>5</v>
      </c>
      <c r="F140" s="235">
        <f t="shared" si="17"/>
        <v>0</v>
      </c>
      <c r="G140" s="234">
        <f t="shared" si="18"/>
        <v>118055</v>
      </c>
      <c r="H140" s="231"/>
      <c r="I140" s="232">
        <v>113568</v>
      </c>
      <c r="J140" s="231"/>
      <c r="K140" s="233">
        <v>129</v>
      </c>
      <c r="L140" s="231"/>
      <c r="M140" s="238"/>
      <c r="N140" s="231"/>
      <c r="O140" s="232">
        <v>2127</v>
      </c>
      <c r="P140" s="239">
        <v>0</v>
      </c>
      <c r="Q140" s="233">
        <v>2231</v>
      </c>
      <c r="R140" s="231"/>
      <c r="S140" s="233">
        <v>0</v>
      </c>
      <c r="T140" s="236">
        <f t="shared" si="15"/>
        <v>0</v>
      </c>
      <c r="U140" s="237">
        <f t="shared" si="16"/>
        <v>0</v>
      </c>
      <c r="V140" s="231"/>
      <c r="W140" s="232"/>
      <c r="X140" s="326"/>
      <c r="Y140" s="233"/>
      <c r="Z140" s="231"/>
      <c r="AA140" s="238"/>
      <c r="AB140" s="231"/>
      <c r="AC140" s="232"/>
      <c r="AD140" s="239"/>
      <c r="AE140" s="233"/>
      <c r="AF140" s="231"/>
      <c r="AG140" s="232"/>
    </row>
    <row r="141" spans="1:33" x14ac:dyDescent="0.2">
      <c r="A141" s="336" t="s">
        <v>43</v>
      </c>
      <c r="B141" s="342" t="s">
        <v>307</v>
      </c>
      <c r="C141" s="343"/>
      <c r="D141" s="346">
        <v>447689</v>
      </c>
      <c r="E141" s="349">
        <v>6</v>
      </c>
      <c r="F141" s="235">
        <f t="shared" si="17"/>
        <v>0</v>
      </c>
      <c r="G141" s="234">
        <f t="shared" si="18"/>
        <v>226020</v>
      </c>
      <c r="H141" s="231"/>
      <c r="I141" s="232">
        <v>226020</v>
      </c>
      <c r="J141" s="231"/>
      <c r="K141" s="233">
        <v>0</v>
      </c>
      <c r="L141" s="231"/>
      <c r="M141" s="238"/>
      <c r="N141" s="231"/>
      <c r="O141" s="232">
        <v>0</v>
      </c>
      <c r="P141" s="239">
        <v>0</v>
      </c>
      <c r="Q141" s="233">
        <v>0</v>
      </c>
      <c r="R141" s="231"/>
      <c r="S141" s="233">
        <v>0</v>
      </c>
      <c r="T141" s="236">
        <f t="shared" si="15"/>
        <v>0</v>
      </c>
      <c r="U141" s="237">
        <f t="shared" si="16"/>
        <v>0</v>
      </c>
      <c r="V141" s="231"/>
      <c r="W141" s="232"/>
      <c r="X141" s="326"/>
      <c r="Y141" s="233"/>
      <c r="Z141" s="231"/>
      <c r="AA141" s="238"/>
      <c r="AB141" s="231"/>
      <c r="AC141" s="232"/>
      <c r="AD141" s="239"/>
      <c r="AE141" s="233"/>
      <c r="AF141" s="231"/>
      <c r="AG141" s="232"/>
    </row>
    <row r="142" spans="1:33" x14ac:dyDescent="0.2">
      <c r="A142" s="335" t="s">
        <v>43</v>
      </c>
      <c r="B142" s="342" t="s">
        <v>308</v>
      </c>
      <c r="C142" s="354"/>
      <c r="D142" s="346">
        <v>140322</v>
      </c>
      <c r="E142" s="347">
        <v>6</v>
      </c>
      <c r="F142" s="235">
        <f t="shared" si="17"/>
        <v>0</v>
      </c>
      <c r="G142" s="234">
        <f t="shared" si="18"/>
        <v>137963</v>
      </c>
      <c r="H142" s="231"/>
      <c r="I142" s="232">
        <v>92732</v>
      </c>
      <c r="J142" s="231"/>
      <c r="K142" s="233">
        <v>19938</v>
      </c>
      <c r="L142" s="231"/>
      <c r="M142" s="238"/>
      <c r="N142" s="231"/>
      <c r="O142" s="232">
        <v>17604</v>
      </c>
      <c r="P142" s="239">
        <v>0</v>
      </c>
      <c r="Q142" s="233">
        <v>7689</v>
      </c>
      <c r="R142" s="231"/>
      <c r="S142" s="233">
        <v>0</v>
      </c>
      <c r="T142" s="236">
        <f t="shared" si="15"/>
        <v>0</v>
      </c>
      <c r="U142" s="237">
        <f t="shared" si="16"/>
        <v>0</v>
      </c>
      <c r="V142" s="231"/>
      <c r="W142" s="232"/>
      <c r="X142" s="326"/>
      <c r="Y142" s="233"/>
      <c r="Z142" s="231"/>
      <c r="AA142" s="238"/>
      <c r="AB142" s="231"/>
      <c r="AC142" s="232"/>
      <c r="AD142" s="239"/>
      <c r="AE142" s="233"/>
      <c r="AF142" s="231"/>
      <c r="AG142" s="232"/>
    </row>
    <row r="143" spans="1:33" x14ac:dyDescent="0.2">
      <c r="A143" s="336" t="s">
        <v>43</v>
      </c>
      <c r="B143" s="342" t="s">
        <v>309</v>
      </c>
      <c r="C143" s="354" t="s">
        <v>329</v>
      </c>
      <c r="D143" s="346">
        <v>139463</v>
      </c>
      <c r="E143" s="351">
        <v>7</v>
      </c>
      <c r="F143" s="235">
        <f t="shared" si="17"/>
        <v>0</v>
      </c>
      <c r="G143" s="234">
        <f t="shared" si="18"/>
        <v>118503</v>
      </c>
      <c r="H143" s="231"/>
      <c r="I143" s="232">
        <v>108902</v>
      </c>
      <c r="J143" s="231"/>
      <c r="K143" s="233">
        <v>6460</v>
      </c>
      <c r="L143" s="231"/>
      <c r="M143" s="238"/>
      <c r="N143" s="231"/>
      <c r="O143" s="232">
        <v>0</v>
      </c>
      <c r="P143" s="239">
        <v>0</v>
      </c>
      <c r="Q143" s="233">
        <v>3141</v>
      </c>
      <c r="R143" s="231"/>
      <c r="S143" s="233">
        <v>0</v>
      </c>
      <c r="T143" s="236">
        <f t="shared" si="15"/>
        <v>0</v>
      </c>
      <c r="U143" s="237">
        <f t="shared" si="16"/>
        <v>0</v>
      </c>
      <c r="V143" s="231"/>
      <c r="W143" s="232"/>
      <c r="X143" s="326"/>
      <c r="Y143" s="233"/>
      <c r="Z143" s="231"/>
      <c r="AA143" s="238"/>
      <c r="AB143" s="231"/>
      <c r="AC143" s="232"/>
      <c r="AD143" s="239"/>
      <c r="AE143" s="233"/>
      <c r="AF143" s="231"/>
      <c r="AG143" s="232"/>
    </row>
    <row r="144" spans="1:33" x14ac:dyDescent="0.2">
      <c r="A144" s="337" t="s">
        <v>43</v>
      </c>
      <c r="B144" s="338" t="s">
        <v>310</v>
      </c>
      <c r="C144" s="354"/>
      <c r="D144" s="346">
        <v>139773</v>
      </c>
      <c r="E144" s="350">
        <v>7</v>
      </c>
      <c r="F144" s="235">
        <f t="shared" si="17"/>
        <v>0</v>
      </c>
      <c r="G144" s="234">
        <f t="shared" si="18"/>
        <v>198169</v>
      </c>
      <c r="H144" s="231"/>
      <c r="I144" s="232">
        <v>134606</v>
      </c>
      <c r="J144" s="231"/>
      <c r="K144" s="233">
        <v>54103</v>
      </c>
      <c r="L144" s="231"/>
      <c r="M144" s="238"/>
      <c r="N144" s="231"/>
      <c r="O144" s="232">
        <v>9460</v>
      </c>
      <c r="P144" s="239">
        <v>0</v>
      </c>
      <c r="Q144" s="233">
        <v>0</v>
      </c>
      <c r="R144" s="231"/>
      <c r="S144" s="233">
        <v>0</v>
      </c>
      <c r="T144" s="236">
        <f t="shared" si="15"/>
        <v>0</v>
      </c>
      <c r="U144" s="237">
        <f t="shared" si="16"/>
        <v>0</v>
      </c>
      <c r="V144" s="231"/>
      <c r="W144" s="232"/>
      <c r="X144" s="326"/>
      <c r="Y144" s="233"/>
      <c r="Z144" s="231"/>
      <c r="AA144" s="238"/>
      <c r="AB144" s="231"/>
      <c r="AC144" s="232"/>
      <c r="AD144" s="239"/>
      <c r="AE144" s="233"/>
      <c r="AF144" s="231"/>
      <c r="AG144" s="232"/>
    </row>
    <row r="145" spans="1:33" x14ac:dyDescent="0.2">
      <c r="A145" s="336" t="s">
        <v>43</v>
      </c>
      <c r="B145" s="342" t="s">
        <v>311</v>
      </c>
      <c r="C145" s="343"/>
      <c r="D145" s="346">
        <v>139968</v>
      </c>
      <c r="E145" s="352">
        <v>7</v>
      </c>
      <c r="F145" s="235">
        <f t="shared" si="17"/>
        <v>0</v>
      </c>
      <c r="G145" s="234">
        <f t="shared" si="18"/>
        <v>104414</v>
      </c>
      <c r="H145" s="231"/>
      <c r="I145" s="232">
        <v>97694</v>
      </c>
      <c r="J145" s="231"/>
      <c r="K145" s="233">
        <v>4113</v>
      </c>
      <c r="L145" s="231"/>
      <c r="M145" s="238"/>
      <c r="N145" s="231"/>
      <c r="O145" s="232">
        <v>2607</v>
      </c>
      <c r="P145" s="239">
        <v>0</v>
      </c>
      <c r="Q145" s="233">
        <v>0</v>
      </c>
      <c r="R145" s="231"/>
      <c r="S145" s="233">
        <v>0</v>
      </c>
      <c r="T145" s="236">
        <f t="shared" si="15"/>
        <v>0</v>
      </c>
      <c r="U145" s="237">
        <f t="shared" si="16"/>
        <v>0</v>
      </c>
      <c r="V145" s="231"/>
      <c r="W145" s="232"/>
      <c r="X145" s="326"/>
      <c r="Y145" s="233"/>
      <c r="Z145" s="231"/>
      <c r="AA145" s="238"/>
      <c r="AB145" s="231"/>
      <c r="AC145" s="232"/>
      <c r="AD145" s="239"/>
      <c r="AE145" s="233"/>
      <c r="AF145" s="231"/>
      <c r="AG145" s="232"/>
    </row>
    <row r="146" spans="1:33" x14ac:dyDescent="0.2">
      <c r="A146" s="336" t="s">
        <v>43</v>
      </c>
      <c r="B146" s="342" t="s">
        <v>312</v>
      </c>
      <c r="C146" s="354"/>
      <c r="D146" s="346">
        <v>244437</v>
      </c>
      <c r="E146" s="351">
        <v>8</v>
      </c>
      <c r="F146" s="235">
        <f t="shared" si="17"/>
        <v>0</v>
      </c>
      <c r="G146" s="234">
        <f t="shared" si="18"/>
        <v>551455</v>
      </c>
      <c r="H146" s="231"/>
      <c r="I146" s="232">
        <v>397320</v>
      </c>
      <c r="J146" s="231"/>
      <c r="K146" s="233">
        <v>3101</v>
      </c>
      <c r="L146" s="231"/>
      <c r="M146" s="238"/>
      <c r="N146" s="231"/>
      <c r="O146" s="232">
        <v>150941</v>
      </c>
      <c r="P146" s="239">
        <v>0</v>
      </c>
      <c r="Q146" s="233">
        <v>93</v>
      </c>
      <c r="R146" s="231"/>
      <c r="S146" s="233">
        <v>0</v>
      </c>
      <c r="T146" s="236">
        <f t="shared" si="15"/>
        <v>0</v>
      </c>
      <c r="U146" s="237">
        <f t="shared" si="16"/>
        <v>0</v>
      </c>
      <c r="V146" s="231"/>
      <c r="W146" s="232"/>
      <c r="X146" s="326"/>
      <c r="Y146" s="233"/>
      <c r="Z146" s="231"/>
      <c r="AA146" s="238"/>
      <c r="AB146" s="231"/>
      <c r="AC146" s="232"/>
      <c r="AD146" s="239"/>
      <c r="AE146" s="233"/>
      <c r="AF146" s="231"/>
      <c r="AG146" s="232"/>
    </row>
    <row r="147" spans="1:33" x14ac:dyDescent="0.2">
      <c r="A147" s="336" t="s">
        <v>43</v>
      </c>
      <c r="B147" s="342" t="s">
        <v>313</v>
      </c>
      <c r="C147" s="354" t="s">
        <v>328</v>
      </c>
      <c r="D147" s="346">
        <v>138558</v>
      </c>
      <c r="E147" s="351">
        <v>9</v>
      </c>
      <c r="F147" s="235">
        <f t="shared" si="17"/>
        <v>0</v>
      </c>
      <c r="G147" s="234">
        <f t="shared" si="18"/>
        <v>77815</v>
      </c>
      <c r="H147" s="231"/>
      <c r="I147" s="232">
        <v>70839</v>
      </c>
      <c r="J147" s="231"/>
      <c r="K147" s="233">
        <v>3596</v>
      </c>
      <c r="L147" s="231"/>
      <c r="M147" s="238"/>
      <c r="N147" s="231"/>
      <c r="O147" s="232">
        <v>1553</v>
      </c>
      <c r="P147" s="239">
        <v>0</v>
      </c>
      <c r="Q147" s="233">
        <v>1827</v>
      </c>
      <c r="R147" s="231"/>
      <c r="S147" s="233">
        <v>0</v>
      </c>
      <c r="T147" s="236">
        <f t="shared" si="15"/>
        <v>0</v>
      </c>
      <c r="U147" s="237">
        <f t="shared" si="16"/>
        <v>0</v>
      </c>
      <c r="V147" s="231"/>
      <c r="W147" s="232"/>
      <c r="X147" s="326"/>
      <c r="Y147" s="233"/>
      <c r="Z147" s="231"/>
      <c r="AA147" s="238"/>
      <c r="AB147" s="231"/>
      <c r="AC147" s="232"/>
      <c r="AD147" s="239"/>
      <c r="AE147" s="233"/>
      <c r="AF147" s="231"/>
      <c r="AG147" s="232"/>
    </row>
    <row r="148" spans="1:33" x14ac:dyDescent="0.2">
      <c r="A148" s="336" t="s">
        <v>43</v>
      </c>
      <c r="B148" s="342" t="s">
        <v>314</v>
      </c>
      <c r="C148" s="343"/>
      <c r="D148" s="346">
        <v>138901</v>
      </c>
      <c r="E148" s="352">
        <v>9</v>
      </c>
      <c r="F148" s="235">
        <f t="shared" si="17"/>
        <v>0</v>
      </c>
      <c r="G148" s="234">
        <f t="shared" si="18"/>
        <v>71106</v>
      </c>
      <c r="H148" s="231"/>
      <c r="I148" s="232">
        <v>57250</v>
      </c>
      <c r="J148" s="231"/>
      <c r="K148" s="233">
        <v>686</v>
      </c>
      <c r="L148" s="231"/>
      <c r="M148" s="238"/>
      <c r="N148" s="231"/>
      <c r="O148" s="232">
        <v>0</v>
      </c>
      <c r="P148" s="239">
        <v>0</v>
      </c>
      <c r="Q148" s="233">
        <v>13170</v>
      </c>
      <c r="R148" s="231"/>
      <c r="S148" s="233">
        <v>0</v>
      </c>
      <c r="T148" s="236">
        <f t="shared" si="15"/>
        <v>0</v>
      </c>
      <c r="U148" s="237">
        <f t="shared" si="16"/>
        <v>0</v>
      </c>
      <c r="V148" s="231"/>
      <c r="W148" s="232"/>
      <c r="X148" s="326"/>
      <c r="Y148" s="233"/>
      <c r="Z148" s="231"/>
      <c r="AA148" s="238"/>
      <c r="AB148" s="231"/>
      <c r="AC148" s="232"/>
      <c r="AD148" s="239"/>
      <c r="AE148" s="233"/>
      <c r="AF148" s="231"/>
      <c r="AG148" s="232"/>
    </row>
    <row r="149" spans="1:33" x14ac:dyDescent="0.2">
      <c r="A149" s="336" t="s">
        <v>43</v>
      </c>
      <c r="B149" s="339" t="s">
        <v>315</v>
      </c>
      <c r="C149" s="354"/>
      <c r="D149" s="346">
        <v>139010</v>
      </c>
      <c r="E149" s="351">
        <v>9</v>
      </c>
      <c r="F149" s="235">
        <f t="shared" si="17"/>
        <v>0</v>
      </c>
      <c r="G149" s="234">
        <f t="shared" si="18"/>
        <v>86860</v>
      </c>
      <c r="H149" s="231"/>
      <c r="I149" s="232">
        <v>49852</v>
      </c>
      <c r="J149" s="231"/>
      <c r="K149" s="233">
        <v>12542</v>
      </c>
      <c r="L149" s="231"/>
      <c r="M149" s="238"/>
      <c r="N149" s="231"/>
      <c r="O149" s="232">
        <v>23183</v>
      </c>
      <c r="P149" s="239">
        <v>0</v>
      </c>
      <c r="Q149" s="233">
        <v>1283</v>
      </c>
      <c r="R149" s="231"/>
      <c r="S149" s="233">
        <v>0</v>
      </c>
      <c r="T149" s="236">
        <f t="shared" si="15"/>
        <v>0</v>
      </c>
      <c r="U149" s="237">
        <f t="shared" si="16"/>
        <v>0</v>
      </c>
      <c r="V149" s="231"/>
      <c r="W149" s="232"/>
      <c r="X149" s="326"/>
      <c r="Y149" s="233"/>
      <c r="Z149" s="231"/>
      <c r="AA149" s="238"/>
      <c r="AB149" s="231"/>
      <c r="AC149" s="232"/>
      <c r="AD149" s="239"/>
      <c r="AE149" s="233"/>
      <c r="AF149" s="231"/>
      <c r="AG149" s="232"/>
    </row>
    <row r="150" spans="1:33" x14ac:dyDescent="0.2">
      <c r="A150" s="336" t="s">
        <v>43</v>
      </c>
      <c r="B150" s="340" t="s">
        <v>316</v>
      </c>
      <c r="C150" s="354" t="s">
        <v>328</v>
      </c>
      <c r="D150" s="346">
        <v>139250</v>
      </c>
      <c r="E150" s="353">
        <v>9</v>
      </c>
      <c r="F150" s="235">
        <f t="shared" si="17"/>
        <v>0</v>
      </c>
      <c r="G150" s="234">
        <f t="shared" si="18"/>
        <v>74547</v>
      </c>
      <c r="H150" s="231"/>
      <c r="I150" s="232">
        <v>68277</v>
      </c>
      <c r="J150" s="231"/>
      <c r="K150" s="233">
        <v>1083</v>
      </c>
      <c r="L150" s="231"/>
      <c r="M150" s="238"/>
      <c r="N150" s="231"/>
      <c r="O150" s="232">
        <v>0</v>
      </c>
      <c r="P150" s="239">
        <v>0</v>
      </c>
      <c r="Q150" s="233">
        <v>5187</v>
      </c>
      <c r="R150" s="231"/>
      <c r="S150" s="233">
        <v>0</v>
      </c>
      <c r="T150" s="236">
        <f t="shared" si="15"/>
        <v>0</v>
      </c>
      <c r="U150" s="237">
        <f t="shared" si="16"/>
        <v>0</v>
      </c>
      <c r="V150" s="231"/>
      <c r="W150" s="232"/>
      <c r="X150" s="326"/>
      <c r="Y150" s="233"/>
      <c r="Z150" s="231"/>
      <c r="AA150" s="238"/>
      <c r="AB150" s="231"/>
      <c r="AC150" s="232"/>
      <c r="AD150" s="239"/>
      <c r="AE150" s="233"/>
      <c r="AF150" s="231"/>
      <c r="AG150" s="232"/>
    </row>
    <row r="151" spans="1:33" x14ac:dyDescent="0.2">
      <c r="A151" s="336" t="s">
        <v>43</v>
      </c>
      <c r="B151" s="340" t="s">
        <v>317</v>
      </c>
      <c r="C151" s="354"/>
      <c r="D151" s="346">
        <v>138691</v>
      </c>
      <c r="E151" s="351">
        <v>9</v>
      </c>
      <c r="F151" s="235">
        <f t="shared" si="17"/>
        <v>0</v>
      </c>
      <c r="G151" s="234">
        <f t="shared" si="18"/>
        <v>149261.5</v>
      </c>
      <c r="H151" s="231"/>
      <c r="I151" s="232">
        <v>84369.5</v>
      </c>
      <c r="J151" s="231"/>
      <c r="K151" s="233">
        <v>8579</v>
      </c>
      <c r="L151" s="231"/>
      <c r="M151" s="238"/>
      <c r="N151" s="231"/>
      <c r="O151" s="232">
        <v>48973</v>
      </c>
      <c r="P151" s="239">
        <v>0</v>
      </c>
      <c r="Q151" s="233">
        <v>7340</v>
      </c>
      <c r="R151" s="231"/>
      <c r="S151" s="233">
        <v>0</v>
      </c>
      <c r="T151" s="236">
        <f t="shared" si="15"/>
        <v>0</v>
      </c>
      <c r="U151" s="237">
        <f t="shared" si="16"/>
        <v>0</v>
      </c>
      <c r="V151" s="231"/>
      <c r="W151" s="232"/>
      <c r="X151" s="326"/>
      <c r="Y151" s="233"/>
      <c r="Z151" s="231"/>
      <c r="AA151" s="238"/>
      <c r="AB151" s="231"/>
      <c r="AC151" s="232"/>
      <c r="AD151" s="239"/>
      <c r="AE151" s="233"/>
      <c r="AF151" s="231"/>
      <c r="AG151" s="232"/>
    </row>
    <row r="152" spans="1:33" x14ac:dyDescent="0.2">
      <c r="A152" s="336" t="s">
        <v>43</v>
      </c>
      <c r="B152" s="342" t="s">
        <v>318</v>
      </c>
      <c r="C152" s="343"/>
      <c r="D152" s="346">
        <v>139621</v>
      </c>
      <c r="E152" s="352">
        <v>9</v>
      </c>
      <c r="F152" s="235">
        <f t="shared" si="17"/>
        <v>0</v>
      </c>
      <c r="G152" s="234">
        <f t="shared" si="18"/>
        <v>75157</v>
      </c>
      <c r="H152" s="231"/>
      <c r="I152" s="232">
        <v>48336</v>
      </c>
      <c r="J152" s="231"/>
      <c r="K152" s="233">
        <v>16302</v>
      </c>
      <c r="L152" s="231"/>
      <c r="M152" s="238"/>
      <c r="N152" s="231"/>
      <c r="O152" s="232">
        <v>10122</v>
      </c>
      <c r="P152" s="239">
        <v>0</v>
      </c>
      <c r="Q152" s="233">
        <v>397</v>
      </c>
      <c r="R152" s="231"/>
      <c r="S152" s="233">
        <v>0</v>
      </c>
      <c r="T152" s="236">
        <f t="shared" si="15"/>
        <v>0</v>
      </c>
      <c r="U152" s="237">
        <f t="shared" si="16"/>
        <v>0</v>
      </c>
      <c r="V152" s="231"/>
      <c r="W152" s="232"/>
      <c r="X152" s="326"/>
      <c r="Y152" s="233"/>
      <c r="Z152" s="231"/>
      <c r="AA152" s="238"/>
      <c r="AB152" s="231"/>
      <c r="AC152" s="232"/>
      <c r="AD152" s="239"/>
      <c r="AE152" s="233"/>
      <c r="AF152" s="231"/>
      <c r="AG152" s="232"/>
    </row>
    <row r="153" spans="1:33" x14ac:dyDescent="0.2">
      <c r="A153" s="337" t="s">
        <v>43</v>
      </c>
      <c r="B153" s="341" t="s">
        <v>319</v>
      </c>
      <c r="C153" s="354"/>
      <c r="D153" s="346">
        <v>139700</v>
      </c>
      <c r="E153" s="353">
        <v>9</v>
      </c>
      <c r="F153" s="235">
        <f t="shared" si="17"/>
        <v>0</v>
      </c>
      <c r="G153" s="234">
        <f t="shared" si="18"/>
        <v>124842</v>
      </c>
      <c r="H153" s="231"/>
      <c r="I153" s="232">
        <v>102858</v>
      </c>
      <c r="J153" s="231"/>
      <c r="K153" s="233">
        <v>9918</v>
      </c>
      <c r="L153" s="231"/>
      <c r="M153" s="238"/>
      <c r="N153" s="231"/>
      <c r="O153" s="232">
        <v>7484</v>
      </c>
      <c r="P153" s="239">
        <v>0</v>
      </c>
      <c r="Q153" s="233">
        <v>4150</v>
      </c>
      <c r="R153" s="231"/>
      <c r="S153" s="233">
        <v>432</v>
      </c>
      <c r="T153" s="236">
        <f t="shared" si="15"/>
        <v>0</v>
      </c>
      <c r="U153" s="237">
        <f t="shared" si="16"/>
        <v>0</v>
      </c>
      <c r="V153" s="231"/>
      <c r="W153" s="232"/>
      <c r="X153" s="326"/>
      <c r="Y153" s="233"/>
      <c r="Z153" s="231"/>
      <c r="AA153" s="238"/>
      <c r="AB153" s="231"/>
      <c r="AC153" s="232"/>
      <c r="AD153" s="239"/>
      <c r="AE153" s="233"/>
      <c r="AF153" s="231"/>
      <c r="AG153" s="232"/>
    </row>
    <row r="154" spans="1:33" x14ac:dyDescent="0.2">
      <c r="A154" s="336" t="s">
        <v>43</v>
      </c>
      <c r="B154" s="341" t="s">
        <v>320</v>
      </c>
      <c r="C154" s="354" t="s">
        <v>328</v>
      </c>
      <c r="D154" s="346">
        <v>140483</v>
      </c>
      <c r="E154" s="351">
        <v>9</v>
      </c>
      <c r="F154" s="235">
        <f t="shared" si="17"/>
        <v>0</v>
      </c>
      <c r="G154" s="234">
        <f t="shared" si="18"/>
        <v>79980</v>
      </c>
      <c r="H154" s="231"/>
      <c r="I154" s="232">
        <v>38781</v>
      </c>
      <c r="J154" s="231"/>
      <c r="K154" s="233">
        <v>21129</v>
      </c>
      <c r="L154" s="231"/>
      <c r="M154" s="238"/>
      <c r="N154" s="231"/>
      <c r="O154" s="232">
        <v>20040</v>
      </c>
      <c r="P154" s="239">
        <v>0</v>
      </c>
      <c r="Q154" s="233">
        <v>30</v>
      </c>
      <c r="R154" s="231"/>
      <c r="S154" s="233">
        <v>0</v>
      </c>
      <c r="T154" s="236">
        <f t="shared" si="15"/>
        <v>0</v>
      </c>
      <c r="U154" s="237">
        <f t="shared" si="16"/>
        <v>0</v>
      </c>
      <c r="V154" s="231"/>
      <c r="W154" s="232"/>
      <c r="X154" s="326"/>
      <c r="Y154" s="233"/>
      <c r="Z154" s="231"/>
      <c r="AA154" s="238"/>
      <c r="AB154" s="231"/>
      <c r="AC154" s="232"/>
      <c r="AD154" s="239"/>
      <c r="AE154" s="233"/>
      <c r="AF154" s="231"/>
      <c r="AG154" s="232"/>
    </row>
    <row r="155" spans="1:33" x14ac:dyDescent="0.2">
      <c r="A155" s="336" t="s">
        <v>43</v>
      </c>
      <c r="B155" s="342" t="s">
        <v>321</v>
      </c>
      <c r="C155" s="354"/>
      <c r="D155" s="346">
        <v>140997</v>
      </c>
      <c r="E155" s="351">
        <v>10</v>
      </c>
      <c r="F155" s="235">
        <f t="shared" si="17"/>
        <v>0</v>
      </c>
      <c r="G155" s="234">
        <f t="shared" si="18"/>
        <v>58791</v>
      </c>
      <c r="H155" s="231"/>
      <c r="I155" s="232">
        <v>38326</v>
      </c>
      <c r="J155" s="231"/>
      <c r="K155" s="233">
        <v>17552</v>
      </c>
      <c r="L155" s="231"/>
      <c r="M155" s="238"/>
      <c r="N155" s="231"/>
      <c r="O155" s="232">
        <v>2058</v>
      </c>
      <c r="P155" s="239">
        <v>0</v>
      </c>
      <c r="Q155" s="233">
        <v>855</v>
      </c>
      <c r="R155" s="231"/>
      <c r="S155" s="233">
        <v>0</v>
      </c>
      <c r="T155" s="236">
        <f t="shared" si="15"/>
        <v>0</v>
      </c>
      <c r="U155" s="237">
        <f t="shared" si="16"/>
        <v>0</v>
      </c>
      <c r="V155" s="231"/>
      <c r="W155" s="232"/>
      <c r="X155" s="326"/>
      <c r="Y155" s="233"/>
      <c r="Z155" s="231"/>
      <c r="AA155" s="238"/>
      <c r="AB155" s="231"/>
      <c r="AC155" s="232"/>
      <c r="AD155" s="239"/>
      <c r="AE155" s="233"/>
      <c r="AF155" s="231"/>
      <c r="AG155" s="232"/>
    </row>
    <row r="156" spans="1:33" x14ac:dyDescent="0.2">
      <c r="A156" s="336" t="s">
        <v>43</v>
      </c>
      <c r="B156" s="342" t="s">
        <v>322</v>
      </c>
      <c r="C156" s="354"/>
      <c r="D156" s="346">
        <v>141307</v>
      </c>
      <c r="E156" s="351">
        <v>10</v>
      </c>
      <c r="F156" s="235">
        <f t="shared" si="17"/>
        <v>0</v>
      </c>
      <c r="G156" s="234">
        <f t="shared" si="18"/>
        <v>20062</v>
      </c>
      <c r="H156" s="231"/>
      <c r="I156" s="232">
        <v>19939</v>
      </c>
      <c r="J156" s="231"/>
      <c r="K156" s="233">
        <v>123</v>
      </c>
      <c r="L156" s="231"/>
      <c r="M156" s="238"/>
      <c r="N156" s="231"/>
      <c r="O156" s="232">
        <v>0</v>
      </c>
      <c r="P156" s="239">
        <v>0</v>
      </c>
      <c r="Q156" s="233">
        <v>0</v>
      </c>
      <c r="R156" s="231"/>
      <c r="S156" s="233">
        <v>0</v>
      </c>
      <c r="T156" s="236">
        <f t="shared" si="15"/>
        <v>0</v>
      </c>
      <c r="U156" s="237">
        <f t="shared" si="16"/>
        <v>0</v>
      </c>
      <c r="V156" s="231"/>
      <c r="W156" s="232"/>
      <c r="X156" s="326"/>
      <c r="Y156" s="233"/>
      <c r="Z156" s="231"/>
      <c r="AA156" s="238"/>
      <c r="AB156" s="231"/>
      <c r="AC156" s="232"/>
      <c r="AD156" s="239"/>
      <c r="AE156" s="233"/>
      <c r="AF156" s="231"/>
      <c r="AG156" s="232"/>
    </row>
    <row r="157" spans="1:33" x14ac:dyDescent="0.2">
      <c r="A157" s="508" t="s">
        <v>43</v>
      </c>
      <c r="B157" s="322" t="s">
        <v>265</v>
      </c>
      <c r="C157" s="323"/>
      <c r="D157" s="324">
        <v>138682</v>
      </c>
      <c r="E157" s="325">
        <v>12</v>
      </c>
      <c r="F157" s="235">
        <f t="shared" si="17"/>
        <v>157927.70000000001</v>
      </c>
      <c r="G157" s="234">
        <f t="shared" si="18"/>
        <v>120310</v>
      </c>
      <c r="H157" s="231">
        <v>97891</v>
      </c>
      <c r="I157" s="232">
        <v>71042</v>
      </c>
      <c r="J157" s="231"/>
      <c r="K157" s="233"/>
      <c r="L157" s="231">
        <v>60036.7</v>
      </c>
      <c r="M157" s="238">
        <v>0</v>
      </c>
      <c r="N157" s="231"/>
      <c r="O157" s="232">
        <v>49268</v>
      </c>
      <c r="P157" s="239">
        <v>0</v>
      </c>
      <c r="Q157" s="233"/>
      <c r="R157" s="231"/>
      <c r="S157" s="233"/>
      <c r="T157" s="236">
        <f t="shared" si="15"/>
        <v>0</v>
      </c>
      <c r="U157" s="237">
        <f t="shared" si="16"/>
        <v>0</v>
      </c>
      <c r="V157" s="231"/>
      <c r="W157" s="232"/>
      <c r="X157" s="326"/>
      <c r="Y157" s="233"/>
      <c r="Z157" s="231"/>
      <c r="AA157" s="238"/>
      <c r="AB157" s="231"/>
      <c r="AC157" s="232"/>
      <c r="AD157" s="239"/>
      <c r="AE157" s="233"/>
      <c r="AF157" s="231"/>
      <c r="AG157" s="232"/>
    </row>
    <row r="158" spans="1:33" x14ac:dyDescent="0.2">
      <c r="A158" s="508" t="s">
        <v>43</v>
      </c>
      <c r="B158" s="327" t="s">
        <v>266</v>
      </c>
      <c r="C158" s="328"/>
      <c r="D158" s="329">
        <v>366447</v>
      </c>
      <c r="E158" s="330">
        <v>12</v>
      </c>
      <c r="F158" s="235">
        <f t="shared" si="17"/>
        <v>37106.6</v>
      </c>
      <c r="G158" s="234">
        <f t="shared" si="18"/>
        <v>34176</v>
      </c>
      <c r="H158" s="231">
        <v>31070</v>
      </c>
      <c r="I158" s="232">
        <v>28964</v>
      </c>
      <c r="J158" s="231"/>
      <c r="K158" s="233"/>
      <c r="L158" s="231">
        <v>6036.6</v>
      </c>
      <c r="M158" s="238">
        <v>0</v>
      </c>
      <c r="N158" s="231"/>
      <c r="O158" s="232">
        <v>5149</v>
      </c>
      <c r="P158" s="239">
        <v>63</v>
      </c>
      <c r="Q158" s="233"/>
      <c r="R158" s="231"/>
      <c r="S158" s="233"/>
      <c r="T158" s="236">
        <f t="shared" si="15"/>
        <v>0</v>
      </c>
      <c r="U158" s="237">
        <f t="shared" si="16"/>
        <v>0</v>
      </c>
      <c r="V158" s="231"/>
      <c r="W158" s="232"/>
      <c r="X158" s="326"/>
      <c r="Y158" s="233"/>
      <c r="Z158" s="231"/>
      <c r="AA158" s="238"/>
      <c r="AB158" s="231"/>
      <c r="AC158" s="232"/>
      <c r="AD158" s="239"/>
      <c r="AE158" s="233"/>
      <c r="AF158" s="231"/>
      <c r="AG158" s="232"/>
    </row>
    <row r="159" spans="1:33" x14ac:dyDescent="0.2">
      <c r="A159" s="508" t="s">
        <v>43</v>
      </c>
      <c r="B159" s="322" t="s">
        <v>267</v>
      </c>
      <c r="C159" s="323"/>
      <c r="D159" s="324">
        <v>246813</v>
      </c>
      <c r="E159" s="325">
        <v>12</v>
      </c>
      <c r="F159" s="235">
        <f t="shared" si="17"/>
        <v>125489.7</v>
      </c>
      <c r="G159" s="234">
        <f t="shared" si="18"/>
        <v>98357</v>
      </c>
      <c r="H159" s="231">
        <v>110302.5</v>
      </c>
      <c r="I159" s="232">
        <v>85759</v>
      </c>
      <c r="J159" s="231"/>
      <c r="K159" s="233"/>
      <c r="L159" s="231">
        <v>14240.8</v>
      </c>
      <c r="M159" s="238">
        <v>946.4</v>
      </c>
      <c r="N159" s="231"/>
      <c r="O159" s="232">
        <v>11132</v>
      </c>
      <c r="P159" s="239">
        <v>1466</v>
      </c>
      <c r="Q159" s="233"/>
      <c r="R159" s="231"/>
      <c r="S159" s="233"/>
      <c r="T159" s="236">
        <f t="shared" si="15"/>
        <v>0</v>
      </c>
      <c r="U159" s="237">
        <f t="shared" si="16"/>
        <v>0</v>
      </c>
      <c r="V159" s="231"/>
      <c r="W159" s="232"/>
      <c r="X159" s="326"/>
      <c r="Y159" s="233"/>
      <c r="Z159" s="231"/>
      <c r="AA159" s="238"/>
      <c r="AB159" s="231"/>
      <c r="AC159" s="232"/>
      <c r="AD159" s="239"/>
      <c r="AE159" s="233"/>
      <c r="AF159" s="231"/>
      <c r="AG159" s="232"/>
    </row>
    <row r="160" spans="1:33" x14ac:dyDescent="0.2">
      <c r="A160" s="508" t="s">
        <v>43</v>
      </c>
      <c r="B160" s="322" t="s">
        <v>268</v>
      </c>
      <c r="C160" s="323"/>
      <c r="D160" s="324">
        <v>138840</v>
      </c>
      <c r="E160" s="325">
        <v>12</v>
      </c>
      <c r="F160" s="235">
        <f t="shared" si="17"/>
        <v>139261.6</v>
      </c>
      <c r="G160" s="234">
        <f t="shared" si="18"/>
        <v>118303</v>
      </c>
      <c r="H160" s="231">
        <v>118905.2</v>
      </c>
      <c r="I160" s="232">
        <v>99829</v>
      </c>
      <c r="J160" s="231"/>
      <c r="K160" s="233"/>
      <c r="L160" s="231">
        <v>20356.400000000001</v>
      </c>
      <c r="M160" s="238">
        <v>0</v>
      </c>
      <c r="N160" s="231"/>
      <c r="O160" s="232">
        <v>18474</v>
      </c>
      <c r="P160" s="239">
        <v>0</v>
      </c>
      <c r="Q160" s="233"/>
      <c r="R160" s="231"/>
      <c r="S160" s="233"/>
      <c r="T160" s="236">
        <f t="shared" si="15"/>
        <v>0</v>
      </c>
      <c r="U160" s="237">
        <f t="shared" si="16"/>
        <v>0</v>
      </c>
      <c r="V160" s="231"/>
      <c r="W160" s="232"/>
      <c r="X160" s="326"/>
      <c r="Y160" s="233"/>
      <c r="Z160" s="231"/>
      <c r="AA160" s="238"/>
      <c r="AB160" s="231"/>
      <c r="AC160" s="232"/>
      <c r="AD160" s="239"/>
      <c r="AE160" s="233"/>
      <c r="AF160" s="231"/>
      <c r="AG160" s="232"/>
    </row>
    <row r="161" spans="1:33" x14ac:dyDescent="0.2">
      <c r="A161" s="508" t="s">
        <v>43</v>
      </c>
      <c r="B161" s="322" t="s">
        <v>269</v>
      </c>
      <c r="C161" s="323"/>
      <c r="D161" s="324">
        <v>138956</v>
      </c>
      <c r="E161" s="325">
        <v>12</v>
      </c>
      <c r="F161" s="235">
        <f t="shared" si="17"/>
        <v>119168.20000000001</v>
      </c>
      <c r="G161" s="234">
        <f t="shared" si="18"/>
        <v>103667</v>
      </c>
      <c r="H161" s="231">
        <v>103669.6</v>
      </c>
      <c r="I161" s="232">
        <v>90953</v>
      </c>
      <c r="J161" s="231"/>
      <c r="K161" s="233"/>
      <c r="L161" s="231">
        <v>15498.6</v>
      </c>
      <c r="M161" s="238">
        <v>0</v>
      </c>
      <c r="N161" s="231"/>
      <c r="O161" s="232">
        <v>12714</v>
      </c>
      <c r="P161" s="239">
        <v>0</v>
      </c>
      <c r="Q161" s="233"/>
      <c r="R161" s="231"/>
      <c r="S161" s="233"/>
      <c r="T161" s="236">
        <f t="shared" si="15"/>
        <v>0</v>
      </c>
      <c r="U161" s="237">
        <f t="shared" si="16"/>
        <v>0</v>
      </c>
      <c r="V161" s="231"/>
      <c r="W161" s="232"/>
      <c r="X161" s="326"/>
      <c r="Y161" s="233"/>
      <c r="Z161" s="231"/>
      <c r="AA161" s="238"/>
      <c r="AB161" s="231"/>
      <c r="AC161" s="232"/>
      <c r="AD161" s="239"/>
      <c r="AE161" s="233"/>
      <c r="AF161" s="231"/>
      <c r="AG161" s="232"/>
    </row>
    <row r="162" spans="1:33" x14ac:dyDescent="0.2">
      <c r="A162" s="508" t="s">
        <v>43</v>
      </c>
      <c r="B162" s="322" t="s">
        <v>270</v>
      </c>
      <c r="C162" s="323"/>
      <c r="D162" s="324">
        <v>140304</v>
      </c>
      <c r="E162" s="325">
        <v>12</v>
      </c>
      <c r="F162" s="235">
        <f t="shared" si="17"/>
        <v>185092.40000000002</v>
      </c>
      <c r="G162" s="234">
        <f t="shared" si="18"/>
        <v>119728</v>
      </c>
      <c r="H162" s="231">
        <v>129573.4</v>
      </c>
      <c r="I162" s="232">
        <v>78866</v>
      </c>
      <c r="J162" s="231"/>
      <c r="K162" s="233"/>
      <c r="L162" s="231">
        <v>54868.3</v>
      </c>
      <c r="M162" s="238">
        <v>650.70000000000005</v>
      </c>
      <c r="N162" s="231"/>
      <c r="O162" s="232">
        <v>38249</v>
      </c>
      <c r="P162" s="239">
        <v>2613</v>
      </c>
      <c r="Q162" s="233"/>
      <c r="R162" s="231"/>
      <c r="S162" s="233"/>
      <c r="T162" s="236">
        <f t="shared" si="15"/>
        <v>0</v>
      </c>
      <c r="U162" s="237">
        <f t="shared" si="16"/>
        <v>0</v>
      </c>
      <c r="V162" s="231"/>
      <c r="W162" s="232"/>
      <c r="X162" s="326"/>
      <c r="Y162" s="233"/>
      <c r="Z162" s="231"/>
      <c r="AA162" s="238"/>
      <c r="AB162" s="231"/>
      <c r="AC162" s="232"/>
      <c r="AD162" s="239"/>
      <c r="AE162" s="233"/>
      <c r="AF162" s="231"/>
      <c r="AG162" s="232"/>
    </row>
    <row r="163" spans="1:33" x14ac:dyDescent="0.2">
      <c r="A163" s="508" t="s">
        <v>43</v>
      </c>
      <c r="B163" s="331" t="s">
        <v>271</v>
      </c>
      <c r="C163" s="332"/>
      <c r="D163" s="324">
        <v>140331</v>
      </c>
      <c r="E163" s="325">
        <v>12</v>
      </c>
      <c r="F163" s="235">
        <f t="shared" si="17"/>
        <v>308698.5</v>
      </c>
      <c r="G163" s="234">
        <f t="shared" si="18"/>
        <v>247327</v>
      </c>
      <c r="H163" s="231">
        <v>244988.5</v>
      </c>
      <c r="I163" s="232">
        <v>191143</v>
      </c>
      <c r="J163" s="231"/>
      <c r="K163" s="233"/>
      <c r="L163" s="231">
        <v>63710</v>
      </c>
      <c r="M163" s="238">
        <v>0</v>
      </c>
      <c r="N163" s="231"/>
      <c r="O163" s="232">
        <v>56184</v>
      </c>
      <c r="P163" s="239">
        <v>0</v>
      </c>
      <c r="Q163" s="233"/>
      <c r="R163" s="231"/>
      <c r="S163" s="233"/>
      <c r="T163" s="236">
        <f t="shared" si="15"/>
        <v>0</v>
      </c>
      <c r="U163" s="237">
        <f t="shared" si="16"/>
        <v>0</v>
      </c>
      <c r="V163" s="231"/>
      <c r="W163" s="232"/>
      <c r="X163" s="326"/>
      <c r="Y163" s="233"/>
      <c r="Z163" s="231"/>
      <c r="AA163" s="238"/>
      <c r="AB163" s="231"/>
      <c r="AC163" s="232"/>
      <c r="AD163" s="239"/>
      <c r="AE163" s="233"/>
      <c r="AF163" s="231"/>
      <c r="AG163" s="232"/>
    </row>
    <row r="164" spans="1:33" x14ac:dyDescent="0.2">
      <c r="A164" s="508" t="s">
        <v>43</v>
      </c>
      <c r="B164" s="322" t="s">
        <v>272</v>
      </c>
      <c r="C164" s="323"/>
      <c r="D164" s="324">
        <v>139357</v>
      </c>
      <c r="E164" s="325">
        <v>12</v>
      </c>
      <c r="F164" s="235">
        <f t="shared" ref="F164:F228" si="19">SUM(H164,J164,L164,M164,N164,R164)</f>
        <v>95272.099999999991</v>
      </c>
      <c r="G164" s="234">
        <f t="shared" ref="G164:G228" si="20">SUM(I164,K164,O164,P164,Q164,S164)</f>
        <v>93927</v>
      </c>
      <c r="H164" s="231">
        <v>79356.2</v>
      </c>
      <c r="I164" s="232">
        <v>77544</v>
      </c>
      <c r="J164" s="231"/>
      <c r="K164" s="233"/>
      <c r="L164" s="231">
        <v>15915.9</v>
      </c>
      <c r="M164" s="238">
        <v>0</v>
      </c>
      <c r="N164" s="231"/>
      <c r="O164" s="232">
        <v>16383</v>
      </c>
      <c r="P164" s="239">
        <v>0</v>
      </c>
      <c r="Q164" s="233"/>
      <c r="R164" s="231"/>
      <c r="S164" s="233"/>
      <c r="T164" s="236">
        <f t="shared" ref="T164:T228" si="21">SUM(V164,X164,Z164,AA164,AB164,AF164)</f>
        <v>0</v>
      </c>
      <c r="U164" s="237">
        <f t="shared" ref="U164:U228" si="22">SUM(W164,Y164,AC164,AD164,AE164,AG164)</f>
        <v>0</v>
      </c>
      <c r="V164" s="231"/>
      <c r="W164" s="232"/>
      <c r="X164" s="326"/>
      <c r="Y164" s="233"/>
      <c r="Z164" s="231"/>
      <c r="AA164" s="238"/>
      <c r="AB164" s="231"/>
      <c r="AC164" s="232"/>
      <c r="AD164" s="239"/>
      <c r="AE164" s="233"/>
      <c r="AF164" s="231"/>
      <c r="AG164" s="232"/>
    </row>
    <row r="165" spans="1:33" x14ac:dyDescent="0.2">
      <c r="A165" s="508" t="s">
        <v>43</v>
      </c>
      <c r="B165" s="331" t="s">
        <v>273</v>
      </c>
      <c r="C165" s="332"/>
      <c r="D165" s="324">
        <v>139384</v>
      </c>
      <c r="E165" s="325">
        <v>12</v>
      </c>
      <c r="F165" s="235">
        <f t="shared" si="19"/>
        <v>174431.8</v>
      </c>
      <c r="G165" s="234">
        <f t="shared" si="20"/>
        <v>140965</v>
      </c>
      <c r="H165" s="231">
        <v>128342.2</v>
      </c>
      <c r="I165" s="232">
        <v>103194</v>
      </c>
      <c r="J165" s="231"/>
      <c r="K165" s="233"/>
      <c r="L165" s="231">
        <v>46089.599999999999</v>
      </c>
      <c r="M165" s="238">
        <v>0</v>
      </c>
      <c r="N165" s="231"/>
      <c r="O165" s="232">
        <v>37771</v>
      </c>
      <c r="P165" s="239">
        <v>0</v>
      </c>
      <c r="Q165" s="233"/>
      <c r="R165" s="231"/>
      <c r="S165" s="233"/>
      <c r="T165" s="236">
        <f t="shared" si="21"/>
        <v>0</v>
      </c>
      <c r="U165" s="237">
        <f t="shared" si="22"/>
        <v>0</v>
      </c>
      <c r="V165" s="231"/>
      <c r="W165" s="232"/>
      <c r="X165" s="326"/>
      <c r="Y165" s="233"/>
      <c r="Z165" s="231"/>
      <c r="AA165" s="238"/>
      <c r="AB165" s="231"/>
      <c r="AC165" s="232"/>
      <c r="AD165" s="239"/>
      <c r="AE165" s="233"/>
      <c r="AF165" s="231"/>
      <c r="AG165" s="232"/>
    </row>
    <row r="166" spans="1:33" x14ac:dyDescent="0.2">
      <c r="A166" s="508" t="s">
        <v>43</v>
      </c>
      <c r="B166" s="331" t="s">
        <v>274</v>
      </c>
      <c r="C166" s="333"/>
      <c r="D166" s="324">
        <v>244446</v>
      </c>
      <c r="E166" s="325">
        <v>12</v>
      </c>
      <c r="F166" s="235">
        <f t="shared" si="19"/>
        <v>119339.8</v>
      </c>
      <c r="G166" s="234">
        <f t="shared" si="20"/>
        <v>91584</v>
      </c>
      <c r="H166" s="231">
        <v>83241.5</v>
      </c>
      <c r="I166" s="232">
        <v>65412</v>
      </c>
      <c r="J166" s="231"/>
      <c r="K166" s="233"/>
      <c r="L166" s="231">
        <v>36098.300000000003</v>
      </c>
      <c r="M166" s="238">
        <v>0</v>
      </c>
      <c r="N166" s="231"/>
      <c r="O166" s="232">
        <v>26172</v>
      </c>
      <c r="P166" s="239">
        <v>0</v>
      </c>
      <c r="Q166" s="233"/>
      <c r="R166" s="231"/>
      <c r="S166" s="233"/>
      <c r="T166" s="236">
        <f t="shared" si="21"/>
        <v>0</v>
      </c>
      <c r="U166" s="237">
        <f t="shared" si="22"/>
        <v>0</v>
      </c>
      <c r="V166" s="231"/>
      <c r="W166" s="232"/>
      <c r="X166" s="326"/>
      <c r="Y166" s="233"/>
      <c r="Z166" s="231"/>
      <c r="AA166" s="238"/>
      <c r="AB166" s="231"/>
      <c r="AC166" s="232"/>
      <c r="AD166" s="239"/>
      <c r="AE166" s="233"/>
      <c r="AF166" s="231"/>
      <c r="AG166" s="232"/>
    </row>
    <row r="167" spans="1:33" x14ac:dyDescent="0.2">
      <c r="A167" s="508" t="s">
        <v>43</v>
      </c>
      <c r="B167" s="322" t="s">
        <v>275</v>
      </c>
      <c r="C167" s="323"/>
      <c r="D167" s="324">
        <v>140012</v>
      </c>
      <c r="E167" s="325">
        <v>12</v>
      </c>
      <c r="F167" s="235">
        <f t="shared" si="19"/>
        <v>173572.7</v>
      </c>
      <c r="G167" s="234">
        <f t="shared" si="20"/>
        <v>153524</v>
      </c>
      <c r="H167" s="231">
        <v>130399.6</v>
      </c>
      <c r="I167" s="232">
        <v>114522</v>
      </c>
      <c r="J167" s="231"/>
      <c r="K167" s="233"/>
      <c r="L167" s="231">
        <v>43173.1</v>
      </c>
      <c r="M167" s="238">
        <v>0</v>
      </c>
      <c r="N167" s="231"/>
      <c r="O167" s="232">
        <v>39002</v>
      </c>
      <c r="P167" s="239">
        <v>0</v>
      </c>
      <c r="Q167" s="233"/>
      <c r="R167" s="231"/>
      <c r="S167" s="233"/>
      <c r="T167" s="236">
        <f t="shared" si="21"/>
        <v>0</v>
      </c>
      <c r="U167" s="237">
        <f t="shared" si="22"/>
        <v>0</v>
      </c>
      <c r="V167" s="231"/>
      <c r="W167" s="232"/>
      <c r="X167" s="326"/>
      <c r="Y167" s="233"/>
      <c r="Z167" s="231"/>
      <c r="AA167" s="238"/>
      <c r="AB167" s="231"/>
      <c r="AC167" s="232"/>
      <c r="AD167" s="239"/>
      <c r="AE167" s="233"/>
      <c r="AF167" s="231"/>
      <c r="AG167" s="232"/>
    </row>
    <row r="168" spans="1:33" x14ac:dyDescent="0.2">
      <c r="A168" s="508" t="s">
        <v>43</v>
      </c>
      <c r="B168" s="322" t="s">
        <v>276</v>
      </c>
      <c r="C168" s="323"/>
      <c r="D168" s="324">
        <v>140243</v>
      </c>
      <c r="E168" s="325">
        <v>12</v>
      </c>
      <c r="F168" s="235">
        <f t="shared" si="19"/>
        <v>92952.5</v>
      </c>
      <c r="G168" s="234">
        <f t="shared" si="20"/>
        <v>76494</v>
      </c>
      <c r="H168" s="231">
        <v>61222</v>
      </c>
      <c r="I168" s="232">
        <v>52494</v>
      </c>
      <c r="J168" s="231"/>
      <c r="K168" s="233"/>
      <c r="L168" s="231">
        <v>31730.5</v>
      </c>
      <c r="M168" s="238">
        <v>0</v>
      </c>
      <c r="N168" s="231"/>
      <c r="O168" s="232">
        <v>24000</v>
      </c>
      <c r="P168" s="239">
        <v>0</v>
      </c>
      <c r="Q168" s="233"/>
      <c r="R168" s="231"/>
      <c r="S168" s="233"/>
      <c r="T168" s="236">
        <f t="shared" si="21"/>
        <v>0</v>
      </c>
      <c r="U168" s="237">
        <f t="shared" si="22"/>
        <v>0</v>
      </c>
      <c r="V168" s="231"/>
      <c r="W168" s="232"/>
      <c r="X168" s="326"/>
      <c r="Y168" s="233"/>
      <c r="Z168" s="231"/>
      <c r="AA168" s="238"/>
      <c r="AB168" s="231"/>
      <c r="AC168" s="232"/>
      <c r="AD168" s="239"/>
      <c r="AE168" s="233"/>
      <c r="AF168" s="231"/>
      <c r="AG168" s="232"/>
    </row>
    <row r="169" spans="1:33" x14ac:dyDescent="0.2">
      <c r="A169" s="508" t="s">
        <v>43</v>
      </c>
      <c r="B169" s="322" t="s">
        <v>277</v>
      </c>
      <c r="C169" s="323"/>
      <c r="D169" s="324">
        <v>140085</v>
      </c>
      <c r="E169" s="325">
        <v>12</v>
      </c>
      <c r="F169" s="235">
        <f t="shared" si="19"/>
        <v>110618</v>
      </c>
      <c r="G169" s="234">
        <f t="shared" si="20"/>
        <v>94353</v>
      </c>
      <c r="H169" s="231">
        <v>85972.5</v>
      </c>
      <c r="I169" s="232">
        <v>69665</v>
      </c>
      <c r="J169" s="231"/>
      <c r="K169" s="233"/>
      <c r="L169" s="231">
        <v>24645.5</v>
      </c>
      <c r="M169" s="238">
        <v>0</v>
      </c>
      <c r="N169" s="231"/>
      <c r="O169" s="232">
        <v>24688</v>
      </c>
      <c r="P169" s="239">
        <v>0</v>
      </c>
      <c r="Q169" s="233"/>
      <c r="R169" s="231"/>
      <c r="S169" s="233"/>
      <c r="T169" s="236">
        <f t="shared" si="21"/>
        <v>0</v>
      </c>
      <c r="U169" s="237">
        <f t="shared" si="22"/>
        <v>0</v>
      </c>
      <c r="V169" s="231"/>
      <c r="W169" s="232"/>
      <c r="X169" s="326"/>
      <c r="Y169" s="233"/>
      <c r="Z169" s="231"/>
      <c r="AA169" s="238"/>
      <c r="AB169" s="231"/>
      <c r="AC169" s="232"/>
      <c r="AD169" s="239"/>
      <c r="AE169" s="233"/>
      <c r="AF169" s="231"/>
      <c r="AG169" s="232"/>
    </row>
    <row r="170" spans="1:33" x14ac:dyDescent="0.2">
      <c r="A170" s="508" t="s">
        <v>43</v>
      </c>
      <c r="B170" s="322" t="s">
        <v>278</v>
      </c>
      <c r="C170" s="323"/>
      <c r="D170" s="324">
        <v>140599</v>
      </c>
      <c r="E170" s="325">
        <v>12</v>
      </c>
      <c r="F170" s="235">
        <f t="shared" si="19"/>
        <v>64625.799999999996</v>
      </c>
      <c r="G170" s="234">
        <f t="shared" si="20"/>
        <v>47434</v>
      </c>
      <c r="H170" s="231">
        <v>51189.7</v>
      </c>
      <c r="I170" s="232">
        <v>37011</v>
      </c>
      <c r="J170" s="231"/>
      <c r="K170" s="233"/>
      <c r="L170" s="231">
        <v>13436.1</v>
      </c>
      <c r="M170" s="238">
        <v>0</v>
      </c>
      <c r="N170" s="231"/>
      <c r="O170" s="232">
        <v>10423</v>
      </c>
      <c r="P170" s="239">
        <v>0</v>
      </c>
      <c r="Q170" s="233"/>
      <c r="R170" s="231"/>
      <c r="S170" s="233"/>
      <c r="T170" s="236">
        <f t="shared" si="21"/>
        <v>0</v>
      </c>
      <c r="U170" s="237">
        <f t="shared" si="22"/>
        <v>0</v>
      </c>
      <c r="V170" s="231"/>
      <c r="W170" s="232"/>
      <c r="X170" s="326"/>
      <c r="Y170" s="233"/>
      <c r="Z170" s="231"/>
      <c r="AA170" s="238"/>
      <c r="AB170" s="231"/>
      <c r="AC170" s="232"/>
      <c r="AD170" s="239"/>
      <c r="AE170" s="233"/>
      <c r="AF170" s="231"/>
      <c r="AG170" s="232"/>
    </row>
    <row r="171" spans="1:33" x14ac:dyDescent="0.2">
      <c r="A171" s="508" t="s">
        <v>43</v>
      </c>
      <c r="B171" s="322" t="s">
        <v>279</v>
      </c>
      <c r="C171" s="323"/>
      <c r="D171" s="324">
        <v>140678</v>
      </c>
      <c r="E171" s="325">
        <v>12</v>
      </c>
      <c r="F171" s="235">
        <f t="shared" si="19"/>
        <v>72260.299999999988</v>
      </c>
      <c r="G171" s="234">
        <f t="shared" si="20"/>
        <v>60703</v>
      </c>
      <c r="H171" s="231">
        <v>55573.4</v>
      </c>
      <c r="I171" s="232">
        <v>47492</v>
      </c>
      <c r="J171" s="231"/>
      <c r="K171" s="233"/>
      <c r="L171" s="231">
        <v>13700.5</v>
      </c>
      <c r="M171" s="238">
        <v>2986.4</v>
      </c>
      <c r="N171" s="231"/>
      <c r="O171" s="232">
        <v>10823</v>
      </c>
      <c r="P171" s="239">
        <v>2388</v>
      </c>
      <c r="Q171" s="233"/>
      <c r="R171" s="231"/>
      <c r="S171" s="233"/>
      <c r="T171" s="236">
        <f t="shared" si="21"/>
        <v>0</v>
      </c>
      <c r="U171" s="237">
        <f t="shared" si="22"/>
        <v>0</v>
      </c>
      <c r="V171" s="231"/>
      <c r="W171" s="232"/>
      <c r="X171" s="326"/>
      <c r="Y171" s="233"/>
      <c r="Z171" s="231"/>
      <c r="AA171" s="238"/>
      <c r="AB171" s="231"/>
      <c r="AC171" s="232"/>
      <c r="AD171" s="239"/>
      <c r="AE171" s="233"/>
      <c r="AF171" s="231"/>
      <c r="AG171" s="232"/>
    </row>
    <row r="172" spans="1:33" x14ac:dyDescent="0.2">
      <c r="A172" s="508" t="s">
        <v>43</v>
      </c>
      <c r="B172" s="331" t="s">
        <v>280</v>
      </c>
      <c r="C172" s="333"/>
      <c r="D172" s="324">
        <v>420431</v>
      </c>
      <c r="E172" s="325">
        <v>12</v>
      </c>
      <c r="F172" s="235">
        <f t="shared" si="19"/>
        <v>59677.2</v>
      </c>
      <c r="G172" s="234">
        <f t="shared" si="20"/>
        <v>42833</v>
      </c>
      <c r="H172" s="231">
        <v>50085.2</v>
      </c>
      <c r="I172" s="232">
        <v>34075</v>
      </c>
      <c r="J172" s="231"/>
      <c r="K172" s="233"/>
      <c r="L172" s="231">
        <v>9147.2999999999993</v>
      </c>
      <c r="M172" s="238">
        <v>444.7</v>
      </c>
      <c r="N172" s="231">
        <v>0</v>
      </c>
      <c r="O172" s="232">
        <v>8758</v>
      </c>
      <c r="P172" s="239">
        <v>0</v>
      </c>
      <c r="Q172" s="233"/>
      <c r="R172" s="231">
        <v>0</v>
      </c>
      <c r="S172" s="233"/>
      <c r="T172" s="236">
        <f t="shared" si="21"/>
        <v>0</v>
      </c>
      <c r="U172" s="237">
        <f t="shared" si="22"/>
        <v>0</v>
      </c>
      <c r="V172" s="231">
        <v>0</v>
      </c>
      <c r="W172" s="232"/>
      <c r="X172" s="326">
        <v>0</v>
      </c>
      <c r="Y172" s="233"/>
      <c r="Z172" s="231">
        <v>0</v>
      </c>
      <c r="AA172" s="238">
        <v>0</v>
      </c>
      <c r="AB172" s="231">
        <v>0</v>
      </c>
      <c r="AC172" s="232"/>
      <c r="AD172" s="239"/>
      <c r="AE172" s="233"/>
      <c r="AF172" s="231">
        <v>0</v>
      </c>
      <c r="AG172" s="232"/>
    </row>
    <row r="173" spans="1:33" x14ac:dyDescent="0.2">
      <c r="A173" s="508" t="s">
        <v>43</v>
      </c>
      <c r="B173" s="322" t="s">
        <v>281</v>
      </c>
      <c r="C173" s="323"/>
      <c r="D173" s="324">
        <v>366465</v>
      </c>
      <c r="E173" s="325">
        <v>12</v>
      </c>
      <c r="F173" s="235">
        <f t="shared" si="19"/>
        <v>71441.200000000012</v>
      </c>
      <c r="G173" s="234">
        <f t="shared" si="20"/>
        <v>58494</v>
      </c>
      <c r="H173" s="231">
        <v>52442.8</v>
      </c>
      <c r="I173" s="232">
        <v>45914</v>
      </c>
      <c r="J173" s="231"/>
      <c r="K173" s="233"/>
      <c r="L173" s="231">
        <v>18998.400000000001</v>
      </c>
      <c r="M173" s="238">
        <v>0</v>
      </c>
      <c r="N173" s="231"/>
      <c r="O173" s="232">
        <v>12580</v>
      </c>
      <c r="P173" s="239">
        <v>0</v>
      </c>
      <c r="Q173" s="233"/>
      <c r="R173" s="231"/>
      <c r="S173" s="233"/>
      <c r="T173" s="236">
        <f t="shared" si="21"/>
        <v>0</v>
      </c>
      <c r="U173" s="237">
        <f t="shared" si="22"/>
        <v>0</v>
      </c>
      <c r="V173" s="231"/>
      <c r="W173" s="232"/>
      <c r="X173" s="326"/>
      <c r="Y173" s="233"/>
      <c r="Z173" s="231"/>
      <c r="AA173" s="238"/>
      <c r="AB173" s="231"/>
      <c r="AC173" s="232"/>
      <c r="AD173" s="239"/>
      <c r="AE173" s="233"/>
      <c r="AF173" s="231"/>
      <c r="AG173" s="232"/>
    </row>
    <row r="174" spans="1:33" x14ac:dyDescent="0.2">
      <c r="A174" s="508" t="s">
        <v>43</v>
      </c>
      <c r="B174" s="322" t="s">
        <v>282</v>
      </c>
      <c r="C174" s="323"/>
      <c r="D174" s="324">
        <v>248776</v>
      </c>
      <c r="E174" s="325">
        <v>12</v>
      </c>
      <c r="F174" s="235">
        <f t="shared" si="19"/>
        <v>35327.800000000003</v>
      </c>
      <c r="G174" s="234">
        <f t="shared" si="20"/>
        <v>30438</v>
      </c>
      <c r="H174" s="231">
        <v>31224.3</v>
      </c>
      <c r="I174" s="232">
        <v>26860</v>
      </c>
      <c r="J174" s="231"/>
      <c r="K174" s="233"/>
      <c r="L174" s="231">
        <v>4103.5</v>
      </c>
      <c r="M174" s="238">
        <v>0</v>
      </c>
      <c r="N174" s="231"/>
      <c r="O174" s="232">
        <v>3578</v>
      </c>
      <c r="P174" s="239">
        <v>0</v>
      </c>
      <c r="Q174" s="233"/>
      <c r="R174" s="231"/>
      <c r="S174" s="233"/>
      <c r="T174" s="236">
        <f t="shared" si="21"/>
        <v>0</v>
      </c>
      <c r="U174" s="237">
        <f t="shared" si="22"/>
        <v>0</v>
      </c>
      <c r="V174" s="231"/>
      <c r="W174" s="232"/>
      <c r="X174" s="326"/>
      <c r="Y174" s="233"/>
      <c r="Z174" s="231"/>
      <c r="AA174" s="238"/>
      <c r="AB174" s="231"/>
      <c r="AC174" s="232"/>
      <c r="AD174" s="239"/>
      <c r="AE174" s="233"/>
      <c r="AF174" s="231"/>
      <c r="AG174" s="232"/>
    </row>
    <row r="175" spans="1:33" x14ac:dyDescent="0.2">
      <c r="A175" s="508" t="s">
        <v>43</v>
      </c>
      <c r="B175" s="322" t="s">
        <v>283</v>
      </c>
      <c r="C175" s="323"/>
      <c r="D175" s="324">
        <v>140942</v>
      </c>
      <c r="E175" s="325">
        <v>12</v>
      </c>
      <c r="F175" s="235">
        <f t="shared" si="19"/>
        <v>135656.69999999998</v>
      </c>
      <c r="G175" s="234">
        <f t="shared" si="20"/>
        <v>110208</v>
      </c>
      <c r="H175" s="231">
        <v>104294.9</v>
      </c>
      <c r="I175" s="232">
        <v>85278</v>
      </c>
      <c r="J175" s="231"/>
      <c r="K175" s="233"/>
      <c r="L175" s="231">
        <v>31361.8</v>
      </c>
      <c r="M175" s="238">
        <v>0</v>
      </c>
      <c r="N175" s="231"/>
      <c r="O175" s="232">
        <v>24216</v>
      </c>
      <c r="P175" s="239">
        <v>714</v>
      </c>
      <c r="Q175" s="233"/>
      <c r="R175" s="231"/>
      <c r="S175" s="233"/>
      <c r="T175" s="236">
        <f t="shared" si="21"/>
        <v>0</v>
      </c>
      <c r="U175" s="237">
        <f t="shared" si="22"/>
        <v>0</v>
      </c>
      <c r="V175" s="231"/>
      <c r="W175" s="232"/>
      <c r="X175" s="326"/>
      <c r="Y175" s="233"/>
      <c r="Z175" s="231"/>
      <c r="AA175" s="238"/>
      <c r="AB175" s="231"/>
      <c r="AC175" s="232"/>
      <c r="AD175" s="239"/>
      <c r="AE175" s="233"/>
      <c r="AF175" s="231"/>
      <c r="AG175" s="232"/>
    </row>
    <row r="176" spans="1:33" x14ac:dyDescent="0.2">
      <c r="A176" s="508" t="s">
        <v>43</v>
      </c>
      <c r="B176" s="322" t="s">
        <v>284</v>
      </c>
      <c r="C176" s="323"/>
      <c r="D176" s="324">
        <v>141006</v>
      </c>
      <c r="E176" s="325">
        <v>12</v>
      </c>
      <c r="F176" s="235">
        <f t="shared" si="19"/>
        <v>73009.099999999991</v>
      </c>
      <c r="G176" s="234">
        <f t="shared" si="20"/>
        <v>49479.7</v>
      </c>
      <c r="H176" s="231">
        <v>60842.7</v>
      </c>
      <c r="I176" s="232">
        <v>41739.699999999997</v>
      </c>
      <c r="J176" s="231"/>
      <c r="K176" s="233"/>
      <c r="L176" s="231">
        <v>12166.4</v>
      </c>
      <c r="M176" s="238">
        <v>0</v>
      </c>
      <c r="N176" s="231"/>
      <c r="O176" s="232">
        <v>7740</v>
      </c>
      <c r="P176" s="239">
        <v>0</v>
      </c>
      <c r="Q176" s="233"/>
      <c r="R176" s="231"/>
      <c r="S176" s="233"/>
      <c r="T176" s="236">
        <f t="shared" si="21"/>
        <v>0</v>
      </c>
      <c r="U176" s="237">
        <f t="shared" si="22"/>
        <v>0</v>
      </c>
      <c r="V176" s="231"/>
      <c r="W176" s="232"/>
      <c r="X176" s="326"/>
      <c r="Y176" s="233"/>
      <c r="Z176" s="231"/>
      <c r="AA176" s="238"/>
      <c r="AB176" s="231"/>
      <c r="AC176" s="232"/>
      <c r="AD176" s="239"/>
      <c r="AE176" s="233"/>
      <c r="AF176" s="231"/>
      <c r="AG176" s="232"/>
    </row>
    <row r="177" spans="1:33" x14ac:dyDescent="0.2">
      <c r="A177" s="508" t="s">
        <v>43</v>
      </c>
      <c r="B177" s="331" t="s">
        <v>285</v>
      </c>
      <c r="C177" s="332"/>
      <c r="D177" s="324">
        <v>368911</v>
      </c>
      <c r="E177" s="325">
        <v>12</v>
      </c>
      <c r="F177" s="235">
        <f t="shared" si="19"/>
        <v>45997.2</v>
      </c>
      <c r="G177" s="234">
        <f t="shared" si="20"/>
        <v>40742</v>
      </c>
      <c r="H177" s="231">
        <v>36896.199999999997</v>
      </c>
      <c r="I177" s="232">
        <v>33368</v>
      </c>
      <c r="J177" s="231"/>
      <c r="K177" s="233"/>
      <c r="L177" s="231">
        <v>9101</v>
      </c>
      <c r="M177" s="238">
        <v>0</v>
      </c>
      <c r="N177" s="231"/>
      <c r="O177" s="232">
        <v>7374</v>
      </c>
      <c r="P177" s="239">
        <v>0</v>
      </c>
      <c r="Q177" s="233"/>
      <c r="R177" s="231"/>
      <c r="S177" s="233"/>
      <c r="T177" s="236">
        <f t="shared" si="21"/>
        <v>0</v>
      </c>
      <c r="U177" s="237">
        <f t="shared" si="22"/>
        <v>0</v>
      </c>
      <c r="V177" s="231"/>
      <c r="W177" s="232"/>
      <c r="X177" s="326"/>
      <c r="Y177" s="233"/>
      <c r="Z177" s="231"/>
      <c r="AA177" s="238"/>
      <c r="AB177" s="231"/>
      <c r="AC177" s="232"/>
      <c r="AD177" s="239"/>
      <c r="AE177" s="233"/>
      <c r="AF177" s="231"/>
      <c r="AG177" s="232"/>
    </row>
    <row r="178" spans="1:33" x14ac:dyDescent="0.2">
      <c r="A178" s="508" t="s">
        <v>43</v>
      </c>
      <c r="B178" s="327" t="s">
        <v>286</v>
      </c>
      <c r="C178" s="328"/>
      <c r="D178" s="334">
        <v>139986</v>
      </c>
      <c r="E178" s="330">
        <v>12</v>
      </c>
      <c r="F178" s="235">
        <f t="shared" si="19"/>
        <v>144060.79999999999</v>
      </c>
      <c r="G178" s="234">
        <f t="shared" si="20"/>
        <v>125226</v>
      </c>
      <c r="H178" s="231">
        <v>111574</v>
      </c>
      <c r="I178" s="232">
        <v>96114</v>
      </c>
      <c r="J178" s="231"/>
      <c r="K178" s="233"/>
      <c r="L178" s="231">
        <v>32486.799999999999</v>
      </c>
      <c r="M178" s="238">
        <v>0</v>
      </c>
      <c r="N178" s="231"/>
      <c r="O178" s="232">
        <v>29112</v>
      </c>
      <c r="P178" s="239">
        <v>0</v>
      </c>
      <c r="Q178" s="233"/>
      <c r="R178" s="231"/>
      <c r="S178" s="233"/>
      <c r="T178" s="236">
        <f t="shared" si="21"/>
        <v>0</v>
      </c>
      <c r="U178" s="237">
        <f t="shared" si="22"/>
        <v>0</v>
      </c>
      <c r="V178" s="231"/>
      <c r="W178" s="232"/>
      <c r="X178" s="326"/>
      <c r="Y178" s="233"/>
      <c r="Z178" s="231"/>
      <c r="AA178" s="238"/>
      <c r="AB178" s="231"/>
      <c r="AC178" s="232"/>
      <c r="AD178" s="239"/>
      <c r="AE178" s="233"/>
      <c r="AF178" s="231"/>
      <c r="AG178" s="232"/>
    </row>
    <row r="179" spans="1:33" x14ac:dyDescent="0.2">
      <c r="A179" s="508" t="s">
        <v>43</v>
      </c>
      <c r="B179" s="331" t="s">
        <v>287</v>
      </c>
      <c r="C179" s="332"/>
      <c r="D179" s="324">
        <v>141158</v>
      </c>
      <c r="E179" s="325">
        <v>12</v>
      </c>
      <c r="F179" s="235">
        <f t="shared" si="19"/>
        <v>39895.300000000003</v>
      </c>
      <c r="G179" s="234">
        <f t="shared" si="20"/>
        <v>36765</v>
      </c>
      <c r="H179" s="231">
        <v>31703.7</v>
      </c>
      <c r="I179" s="232">
        <v>29083</v>
      </c>
      <c r="J179" s="231"/>
      <c r="K179" s="233"/>
      <c r="L179" s="231">
        <v>8191.6</v>
      </c>
      <c r="M179" s="238">
        <v>0</v>
      </c>
      <c r="N179" s="231"/>
      <c r="O179" s="232">
        <v>7682</v>
      </c>
      <c r="P179" s="239">
        <v>0</v>
      </c>
      <c r="Q179" s="233"/>
      <c r="R179" s="231"/>
      <c r="S179" s="233"/>
      <c r="T179" s="236">
        <f t="shared" si="21"/>
        <v>0</v>
      </c>
      <c r="U179" s="237">
        <f t="shared" si="22"/>
        <v>0</v>
      </c>
      <c r="V179" s="231"/>
      <c r="W179" s="232"/>
      <c r="X179" s="326"/>
      <c r="Y179" s="233"/>
      <c r="Z179" s="231"/>
      <c r="AA179" s="238"/>
      <c r="AB179" s="231"/>
      <c r="AC179" s="232"/>
      <c r="AD179" s="239"/>
      <c r="AE179" s="233"/>
      <c r="AF179" s="231"/>
      <c r="AG179" s="232"/>
    </row>
    <row r="180" spans="1:33" x14ac:dyDescent="0.2">
      <c r="A180" s="508" t="s">
        <v>43</v>
      </c>
      <c r="B180" s="331" t="s">
        <v>288</v>
      </c>
      <c r="C180" s="332"/>
      <c r="D180" s="324">
        <v>139278</v>
      </c>
      <c r="E180" s="325">
        <v>12</v>
      </c>
      <c r="F180" s="235">
        <f t="shared" si="19"/>
        <v>181609.9</v>
      </c>
      <c r="G180" s="234">
        <f t="shared" si="20"/>
        <v>144792</v>
      </c>
      <c r="H180" s="231">
        <v>149538.5</v>
      </c>
      <c r="I180" s="232">
        <v>118777</v>
      </c>
      <c r="J180" s="231"/>
      <c r="K180" s="233"/>
      <c r="L180" s="231">
        <v>32071.4</v>
      </c>
      <c r="M180" s="238">
        <v>0</v>
      </c>
      <c r="N180" s="231"/>
      <c r="O180" s="232">
        <v>26015</v>
      </c>
      <c r="P180" s="239">
        <v>0</v>
      </c>
      <c r="Q180" s="233"/>
      <c r="R180" s="231"/>
      <c r="S180" s="233"/>
      <c r="T180" s="236">
        <f t="shared" si="21"/>
        <v>0</v>
      </c>
      <c r="U180" s="237">
        <f t="shared" si="22"/>
        <v>0</v>
      </c>
      <c r="V180" s="231"/>
      <c r="W180" s="232"/>
      <c r="X180" s="326"/>
      <c r="Y180" s="233"/>
      <c r="Z180" s="231"/>
      <c r="AA180" s="238"/>
      <c r="AB180" s="231"/>
      <c r="AC180" s="232"/>
      <c r="AD180" s="239"/>
      <c r="AE180" s="233"/>
      <c r="AF180" s="231"/>
      <c r="AG180" s="232"/>
    </row>
    <row r="181" spans="1:33" x14ac:dyDescent="0.2">
      <c r="A181" s="508" t="s">
        <v>43</v>
      </c>
      <c r="B181" s="327" t="s">
        <v>289</v>
      </c>
      <c r="C181" s="328"/>
      <c r="D181" s="334">
        <v>141255</v>
      </c>
      <c r="E181" s="330">
        <v>12</v>
      </c>
      <c r="F181" s="235">
        <f t="shared" si="19"/>
        <v>137751.6</v>
      </c>
      <c r="G181" s="234">
        <f t="shared" si="20"/>
        <v>99442</v>
      </c>
      <c r="H181" s="231">
        <v>108685.3</v>
      </c>
      <c r="I181" s="232">
        <v>75578</v>
      </c>
      <c r="J181" s="231"/>
      <c r="K181" s="233"/>
      <c r="L181" s="231">
        <v>29066.3</v>
      </c>
      <c r="M181" s="238">
        <v>0</v>
      </c>
      <c r="N181" s="231"/>
      <c r="O181" s="232">
        <v>23864</v>
      </c>
      <c r="P181" s="239">
        <v>0</v>
      </c>
      <c r="Q181" s="233"/>
      <c r="R181" s="231"/>
      <c r="S181" s="233"/>
      <c r="T181" s="236">
        <f t="shared" si="21"/>
        <v>0</v>
      </c>
      <c r="U181" s="237">
        <f t="shared" si="22"/>
        <v>0</v>
      </c>
      <c r="V181" s="231"/>
      <c r="W181" s="232"/>
      <c r="X181" s="326"/>
      <c r="Y181" s="233"/>
      <c r="Z181" s="231"/>
      <c r="AA181" s="238"/>
      <c r="AB181" s="231"/>
      <c r="AC181" s="232"/>
      <c r="AD181" s="239"/>
      <c r="AE181" s="233"/>
      <c r="AF181" s="231"/>
      <c r="AG181" s="232"/>
    </row>
    <row r="182" spans="1:33" x14ac:dyDescent="0.2">
      <c r="A182" s="336" t="s">
        <v>43</v>
      </c>
      <c r="B182" s="342" t="s">
        <v>323</v>
      </c>
      <c r="C182" s="343"/>
      <c r="D182" s="344">
        <v>140401</v>
      </c>
      <c r="E182" s="344">
        <v>15</v>
      </c>
      <c r="F182" s="235">
        <f t="shared" si="19"/>
        <v>0</v>
      </c>
      <c r="G182" s="234">
        <f t="shared" si="20"/>
        <v>13505</v>
      </c>
      <c r="H182" s="231"/>
      <c r="I182" s="232">
        <v>7042</v>
      </c>
      <c r="J182" s="231"/>
      <c r="K182" s="233">
        <v>2931</v>
      </c>
      <c r="L182" s="231"/>
      <c r="M182" s="238"/>
      <c r="N182" s="231"/>
      <c r="O182" s="232">
        <v>2748</v>
      </c>
      <c r="P182" s="239">
        <v>0</v>
      </c>
      <c r="Q182" s="233">
        <v>784</v>
      </c>
      <c r="R182" s="231"/>
      <c r="S182" s="233">
        <v>0</v>
      </c>
      <c r="T182" s="236">
        <f t="shared" si="21"/>
        <v>0</v>
      </c>
      <c r="U182" s="237">
        <f t="shared" si="22"/>
        <v>0</v>
      </c>
      <c r="V182" s="231"/>
      <c r="W182" s="232"/>
      <c r="X182" s="326"/>
      <c r="Y182" s="233"/>
      <c r="Z182" s="231"/>
      <c r="AA182" s="238"/>
      <c r="AB182" s="231"/>
      <c r="AC182" s="232"/>
      <c r="AD182" s="239"/>
      <c r="AE182" s="233"/>
      <c r="AF182" s="231"/>
      <c r="AG182" s="232"/>
    </row>
    <row r="183" spans="1:33" x14ac:dyDescent="0.2">
      <c r="A183" s="336" t="s">
        <v>43</v>
      </c>
      <c r="B183" s="339" t="s">
        <v>324</v>
      </c>
      <c r="C183" s="345"/>
      <c r="D183" s="344">
        <v>141097</v>
      </c>
      <c r="E183" s="344">
        <v>15</v>
      </c>
      <c r="F183" s="235">
        <f t="shared" si="19"/>
        <v>0</v>
      </c>
      <c r="G183" s="234">
        <f t="shared" si="20"/>
        <v>136728</v>
      </c>
      <c r="H183" s="231"/>
      <c r="I183" s="232">
        <v>119705</v>
      </c>
      <c r="J183" s="231"/>
      <c r="K183" s="233">
        <v>34</v>
      </c>
      <c r="L183" s="231"/>
      <c r="M183" s="238"/>
      <c r="N183" s="231"/>
      <c r="O183" s="232">
        <v>9030</v>
      </c>
      <c r="P183" s="239">
        <v>0</v>
      </c>
      <c r="Q183" s="233">
        <v>7959</v>
      </c>
      <c r="R183" s="231"/>
      <c r="S183" s="233">
        <v>0</v>
      </c>
      <c r="T183" s="236">
        <f t="shared" si="21"/>
        <v>0</v>
      </c>
      <c r="U183" s="237">
        <f t="shared" si="22"/>
        <v>0</v>
      </c>
      <c r="V183" s="231"/>
      <c r="W183" s="232"/>
      <c r="X183" s="326"/>
      <c r="Y183" s="233"/>
      <c r="Z183" s="231"/>
      <c r="AA183" s="238"/>
      <c r="AB183" s="231"/>
      <c r="AC183" s="232"/>
      <c r="AD183" s="239"/>
      <c r="AE183" s="233"/>
      <c r="AF183" s="231"/>
      <c r="AG183" s="232"/>
    </row>
    <row r="184" spans="1:33" x14ac:dyDescent="0.2">
      <c r="A184" s="486" t="s">
        <v>44</v>
      </c>
      <c r="B184" s="487" t="s">
        <v>710</v>
      </c>
      <c r="C184" s="488"/>
      <c r="D184" s="491">
        <v>157085</v>
      </c>
      <c r="E184" s="418">
        <v>1</v>
      </c>
      <c r="F184" s="235">
        <f t="shared" si="19"/>
        <v>555786</v>
      </c>
      <c r="G184" s="234">
        <f t="shared" si="20"/>
        <v>570649</v>
      </c>
      <c r="H184" s="238">
        <v>530749</v>
      </c>
      <c r="I184" s="239">
        <v>539245</v>
      </c>
      <c r="J184" s="238">
        <v>2209</v>
      </c>
      <c r="K184" s="240">
        <v>3155</v>
      </c>
      <c r="L184" s="238">
        <v>20681</v>
      </c>
      <c r="M184" s="238">
        <v>2144</v>
      </c>
      <c r="N184" s="238">
        <v>3</v>
      </c>
      <c r="O184" s="239">
        <v>25869</v>
      </c>
      <c r="P184" s="239">
        <v>2380</v>
      </c>
      <c r="Q184" s="240"/>
      <c r="R184" s="238"/>
      <c r="S184" s="240"/>
      <c r="T184" s="236">
        <f t="shared" si="21"/>
        <v>84631</v>
      </c>
      <c r="U184" s="237">
        <f t="shared" si="22"/>
        <v>21782</v>
      </c>
      <c r="V184" s="238">
        <v>71470</v>
      </c>
      <c r="W184" s="239">
        <v>7108</v>
      </c>
      <c r="X184" s="241">
        <v>1628</v>
      </c>
      <c r="Y184" s="240">
        <v>2260</v>
      </c>
      <c r="Z184" s="238">
        <v>10068</v>
      </c>
      <c r="AA184" s="238">
        <v>1459</v>
      </c>
      <c r="AB184" s="238">
        <v>6</v>
      </c>
      <c r="AC184" s="239">
        <v>11624</v>
      </c>
      <c r="AD184" s="239">
        <v>790</v>
      </c>
      <c r="AE184" s="240"/>
      <c r="AF184" s="238"/>
      <c r="AG184" s="239"/>
    </row>
    <row r="185" spans="1:33" x14ac:dyDescent="0.2">
      <c r="A185" s="486" t="s">
        <v>44</v>
      </c>
      <c r="B185" s="487" t="s">
        <v>711</v>
      </c>
      <c r="C185" s="488"/>
      <c r="D185" s="491">
        <v>157289</v>
      </c>
      <c r="E185" s="418">
        <v>1</v>
      </c>
      <c r="F185" s="235">
        <f t="shared" si="19"/>
        <v>397187.5</v>
      </c>
      <c r="G185" s="234">
        <f t="shared" si="20"/>
        <v>400603</v>
      </c>
      <c r="H185" s="238">
        <v>360351</v>
      </c>
      <c r="I185" s="239">
        <v>358825</v>
      </c>
      <c r="J185" s="238">
        <v>10081.5</v>
      </c>
      <c r="K185" s="240">
        <v>11074</v>
      </c>
      <c r="L185" s="238">
        <v>26755</v>
      </c>
      <c r="M185" s="238"/>
      <c r="N185" s="238"/>
      <c r="O185" s="239">
        <v>30704</v>
      </c>
      <c r="P185" s="239"/>
      <c r="Q185" s="240"/>
      <c r="R185" s="238"/>
      <c r="S185" s="240"/>
      <c r="T185" s="236">
        <f t="shared" si="21"/>
        <v>79200</v>
      </c>
      <c r="U185" s="237">
        <f t="shared" si="22"/>
        <v>78010</v>
      </c>
      <c r="V185" s="238">
        <v>70359.5</v>
      </c>
      <c r="W185" s="239">
        <v>69120</v>
      </c>
      <c r="X185" s="241">
        <v>4384.5</v>
      </c>
      <c r="Y185" s="240">
        <v>3946</v>
      </c>
      <c r="Z185" s="238">
        <v>4456</v>
      </c>
      <c r="AA185" s="238"/>
      <c r="AB185" s="238"/>
      <c r="AC185" s="239">
        <v>4944</v>
      </c>
      <c r="AD185" s="239"/>
      <c r="AE185" s="240"/>
      <c r="AF185" s="238"/>
      <c r="AG185" s="239"/>
    </row>
    <row r="186" spans="1:33" x14ac:dyDescent="0.2">
      <c r="A186" s="486" t="s">
        <v>44</v>
      </c>
      <c r="B186" s="487" t="s">
        <v>712</v>
      </c>
      <c r="C186" s="488"/>
      <c r="D186" s="491">
        <v>156620</v>
      </c>
      <c r="E186" s="418">
        <v>3</v>
      </c>
      <c r="F186" s="235">
        <f t="shared" si="19"/>
        <v>366498</v>
      </c>
      <c r="G186" s="234">
        <f t="shared" si="20"/>
        <v>360534</v>
      </c>
      <c r="H186" s="238">
        <v>291063</v>
      </c>
      <c r="I186" s="239">
        <v>280171</v>
      </c>
      <c r="J186" s="238">
        <v>24080</v>
      </c>
      <c r="K186" s="240">
        <v>20650</v>
      </c>
      <c r="L186" s="238">
        <v>42081</v>
      </c>
      <c r="M186" s="238">
        <v>9274</v>
      </c>
      <c r="N186" s="238"/>
      <c r="O186" s="239">
        <v>50221</v>
      </c>
      <c r="P186" s="239">
        <v>9492</v>
      </c>
      <c r="Q186" s="240"/>
      <c r="R186" s="238"/>
      <c r="S186" s="240"/>
      <c r="T186" s="236">
        <f t="shared" si="21"/>
        <v>37637</v>
      </c>
      <c r="U186" s="237">
        <f t="shared" si="22"/>
        <v>36361</v>
      </c>
      <c r="V186" s="238">
        <v>21407</v>
      </c>
      <c r="W186" s="239">
        <v>19692</v>
      </c>
      <c r="X186" s="241">
        <v>1157</v>
      </c>
      <c r="Y186" s="240">
        <v>745</v>
      </c>
      <c r="Z186" s="238">
        <v>14044</v>
      </c>
      <c r="AA186" s="238">
        <v>1029</v>
      </c>
      <c r="AB186" s="238"/>
      <c r="AC186" s="239">
        <v>14709</v>
      </c>
      <c r="AD186" s="239">
        <v>1215</v>
      </c>
      <c r="AE186" s="240"/>
      <c r="AF186" s="238"/>
      <c r="AG186" s="239"/>
    </row>
    <row r="187" spans="1:33" x14ac:dyDescent="0.2">
      <c r="A187" s="486" t="s">
        <v>44</v>
      </c>
      <c r="B187" s="487" t="s">
        <v>713</v>
      </c>
      <c r="C187" s="488"/>
      <c r="D187" s="491">
        <v>157386</v>
      </c>
      <c r="E187" s="418">
        <v>3</v>
      </c>
      <c r="F187" s="235">
        <f t="shared" si="19"/>
        <v>188450</v>
      </c>
      <c r="G187" s="234">
        <f t="shared" si="20"/>
        <v>198085</v>
      </c>
      <c r="H187" s="238">
        <v>127125</v>
      </c>
      <c r="I187" s="239">
        <v>129231</v>
      </c>
      <c r="J187" s="238">
        <v>18007</v>
      </c>
      <c r="K187" s="240">
        <v>22754</v>
      </c>
      <c r="L187" s="238">
        <v>33647</v>
      </c>
      <c r="M187" s="238">
        <v>9671</v>
      </c>
      <c r="N187" s="238"/>
      <c r="O187" s="239">
        <v>36730</v>
      </c>
      <c r="P187" s="239">
        <v>9370</v>
      </c>
      <c r="Q187" s="240"/>
      <c r="R187" s="238"/>
      <c r="S187" s="240"/>
      <c r="T187" s="236">
        <f t="shared" si="21"/>
        <v>22629</v>
      </c>
      <c r="U187" s="237">
        <f t="shared" si="22"/>
        <v>22827</v>
      </c>
      <c r="V187" s="238">
        <v>5429</v>
      </c>
      <c r="W187" s="239">
        <v>4851</v>
      </c>
      <c r="X187" s="241">
        <v>354</v>
      </c>
      <c r="Y187" s="240">
        <v>315</v>
      </c>
      <c r="Z187" s="238">
        <v>15850</v>
      </c>
      <c r="AA187" s="238">
        <v>996</v>
      </c>
      <c r="AB187" s="238"/>
      <c r="AC187" s="239">
        <v>16962</v>
      </c>
      <c r="AD187" s="239">
        <v>699</v>
      </c>
      <c r="AE187" s="240"/>
      <c r="AF187" s="238"/>
      <c r="AG187" s="239"/>
    </row>
    <row r="188" spans="1:33" x14ac:dyDescent="0.2">
      <c r="A188" s="486" t="s">
        <v>44</v>
      </c>
      <c r="B188" s="487" t="s">
        <v>714</v>
      </c>
      <c r="C188" s="488"/>
      <c r="D188" s="491">
        <v>157401</v>
      </c>
      <c r="E188" s="418">
        <v>3</v>
      </c>
      <c r="F188" s="235">
        <f t="shared" si="19"/>
        <v>222642</v>
      </c>
      <c r="G188" s="234">
        <f t="shared" si="20"/>
        <v>237858</v>
      </c>
      <c r="H188" s="238">
        <v>193484</v>
      </c>
      <c r="I188" s="239">
        <v>205682</v>
      </c>
      <c r="J188" s="238">
        <v>8053</v>
      </c>
      <c r="K188" s="240">
        <v>8737</v>
      </c>
      <c r="L188" s="238">
        <v>14749</v>
      </c>
      <c r="M188" s="238">
        <v>6356</v>
      </c>
      <c r="N188" s="238"/>
      <c r="O188" s="239">
        <v>17233</v>
      </c>
      <c r="P188" s="239">
        <v>6206</v>
      </c>
      <c r="Q188" s="240"/>
      <c r="R188" s="238"/>
      <c r="S188" s="240"/>
      <c r="T188" s="236">
        <f t="shared" si="21"/>
        <v>31159</v>
      </c>
      <c r="U188" s="237">
        <f t="shared" si="22"/>
        <v>30978</v>
      </c>
      <c r="V188" s="238">
        <v>16352</v>
      </c>
      <c r="W188" s="239">
        <v>15413</v>
      </c>
      <c r="X188" s="241">
        <v>3231</v>
      </c>
      <c r="Y188" s="240">
        <v>2896</v>
      </c>
      <c r="Z188" s="238">
        <v>9433</v>
      </c>
      <c r="AA188" s="238">
        <v>2143</v>
      </c>
      <c r="AB188" s="238"/>
      <c r="AC188" s="239">
        <v>10928</v>
      </c>
      <c r="AD188" s="239">
        <v>1741</v>
      </c>
      <c r="AE188" s="240"/>
      <c r="AF188" s="238"/>
      <c r="AG188" s="239"/>
    </row>
    <row r="189" spans="1:33" x14ac:dyDescent="0.2">
      <c r="A189" s="486" t="s">
        <v>44</v>
      </c>
      <c r="B189" s="487" t="s">
        <v>715</v>
      </c>
      <c r="C189" s="488"/>
      <c r="D189" s="491">
        <v>157951</v>
      </c>
      <c r="E189" s="418">
        <v>3</v>
      </c>
      <c r="F189" s="235">
        <f t="shared" si="19"/>
        <v>459602</v>
      </c>
      <c r="G189" s="234">
        <f t="shared" si="20"/>
        <v>456331</v>
      </c>
      <c r="H189" s="238">
        <v>344823.5</v>
      </c>
      <c r="I189" s="239">
        <v>341655</v>
      </c>
      <c r="J189" s="238">
        <v>44604</v>
      </c>
      <c r="K189" s="240">
        <v>41116</v>
      </c>
      <c r="L189" s="238">
        <v>59447</v>
      </c>
      <c r="M189" s="238">
        <v>8812.5</v>
      </c>
      <c r="N189" s="238">
        <v>1915</v>
      </c>
      <c r="O189" s="239">
        <v>62989</v>
      </c>
      <c r="P189" s="239">
        <v>8898</v>
      </c>
      <c r="Q189" s="240">
        <v>1673</v>
      </c>
      <c r="R189" s="238"/>
      <c r="S189" s="240"/>
      <c r="T189" s="236">
        <f t="shared" si="21"/>
        <v>50140.5</v>
      </c>
      <c r="U189" s="237">
        <f t="shared" si="22"/>
        <v>48384</v>
      </c>
      <c r="V189" s="238">
        <v>21614</v>
      </c>
      <c r="W189" s="239">
        <v>20871</v>
      </c>
      <c r="X189" s="241">
        <v>2352</v>
      </c>
      <c r="Y189" s="240">
        <v>1708</v>
      </c>
      <c r="Z189" s="238">
        <v>25442.5</v>
      </c>
      <c r="AA189" s="238">
        <v>693</v>
      </c>
      <c r="AB189" s="238">
        <v>39</v>
      </c>
      <c r="AC189" s="239">
        <v>25240</v>
      </c>
      <c r="AD189" s="239">
        <v>529</v>
      </c>
      <c r="AE189" s="240">
        <v>36</v>
      </c>
      <c r="AF189" s="238"/>
      <c r="AG189" s="239"/>
    </row>
    <row r="190" spans="1:33" x14ac:dyDescent="0.2">
      <c r="A190" s="486" t="s">
        <v>44</v>
      </c>
      <c r="B190" s="487" t="s">
        <v>716</v>
      </c>
      <c r="C190" s="488"/>
      <c r="D190" s="491">
        <v>157058</v>
      </c>
      <c r="E190" s="418">
        <v>4</v>
      </c>
      <c r="F190" s="235">
        <f t="shared" si="19"/>
        <v>63778</v>
      </c>
      <c r="G190" s="234">
        <f t="shared" si="20"/>
        <v>64203</v>
      </c>
      <c r="H190" s="238">
        <v>53254</v>
      </c>
      <c r="I190" s="239">
        <v>51426</v>
      </c>
      <c r="J190" s="238">
        <v>98</v>
      </c>
      <c r="K190" s="240">
        <v>51</v>
      </c>
      <c r="L190" s="238">
        <v>10417</v>
      </c>
      <c r="M190" s="238"/>
      <c r="N190" s="238">
        <v>9</v>
      </c>
      <c r="O190" s="239">
        <v>12717</v>
      </c>
      <c r="P190" s="239"/>
      <c r="Q190" s="240">
        <v>9</v>
      </c>
      <c r="R190" s="238"/>
      <c r="S190" s="240"/>
      <c r="T190" s="236">
        <f t="shared" si="21"/>
        <v>3997</v>
      </c>
      <c r="U190" s="237">
        <f t="shared" si="22"/>
        <v>3673</v>
      </c>
      <c r="V190" s="238">
        <v>2101</v>
      </c>
      <c r="W190" s="239">
        <v>1941</v>
      </c>
      <c r="X190" s="241"/>
      <c r="Y190" s="240"/>
      <c r="Z190" s="238">
        <v>1896</v>
      </c>
      <c r="AA190" s="238"/>
      <c r="AB190" s="238"/>
      <c r="AC190" s="239">
        <v>1732</v>
      </c>
      <c r="AD190" s="239"/>
      <c r="AE190" s="240"/>
      <c r="AF190" s="238"/>
      <c r="AG190" s="239"/>
    </row>
    <row r="191" spans="1:33" x14ac:dyDescent="0.2">
      <c r="A191" s="486" t="s">
        <v>44</v>
      </c>
      <c r="B191" s="487" t="s">
        <v>717</v>
      </c>
      <c r="C191" s="488" t="s">
        <v>734</v>
      </c>
      <c r="D191" s="491">
        <v>157447</v>
      </c>
      <c r="E191" s="418">
        <v>4</v>
      </c>
      <c r="F191" s="235">
        <f t="shared" si="19"/>
        <v>334722</v>
      </c>
      <c r="G191" s="234">
        <f t="shared" si="20"/>
        <v>331152</v>
      </c>
      <c r="H191" s="238">
        <v>281387</v>
      </c>
      <c r="I191" s="239">
        <v>271898</v>
      </c>
      <c r="J191" s="238">
        <v>12633</v>
      </c>
      <c r="K191" s="240">
        <v>10703</v>
      </c>
      <c r="L191" s="238">
        <v>40702</v>
      </c>
      <c r="M191" s="238"/>
      <c r="N191" s="238"/>
      <c r="O191" s="239">
        <v>48551</v>
      </c>
      <c r="P191" s="239"/>
      <c r="Q191" s="240"/>
      <c r="R191" s="238"/>
      <c r="S191" s="240"/>
      <c r="T191" s="236">
        <f t="shared" si="21"/>
        <v>41331</v>
      </c>
      <c r="U191" s="237">
        <f t="shared" si="22"/>
        <v>40550</v>
      </c>
      <c r="V191" s="238">
        <v>30967</v>
      </c>
      <c r="W191" s="239">
        <v>29346</v>
      </c>
      <c r="X191" s="241">
        <v>1184</v>
      </c>
      <c r="Y191" s="240">
        <v>1186</v>
      </c>
      <c r="Z191" s="238">
        <v>9180</v>
      </c>
      <c r="AA191" s="238"/>
      <c r="AB191" s="238"/>
      <c r="AC191" s="239">
        <v>10018</v>
      </c>
      <c r="AD191" s="239"/>
      <c r="AE191" s="240"/>
      <c r="AF191" s="238"/>
      <c r="AG191" s="239"/>
    </row>
    <row r="192" spans="1:33" x14ac:dyDescent="0.2">
      <c r="A192" s="486" t="s">
        <v>44</v>
      </c>
      <c r="B192" s="487" t="s">
        <v>718</v>
      </c>
      <c r="C192" s="492"/>
      <c r="D192" s="493">
        <v>157173</v>
      </c>
      <c r="E192" s="494">
        <v>8</v>
      </c>
      <c r="F192" s="235">
        <f t="shared" si="19"/>
        <v>286292</v>
      </c>
      <c r="G192" s="234">
        <f t="shared" si="20"/>
        <v>266924</v>
      </c>
      <c r="H192" s="238">
        <v>175488</v>
      </c>
      <c r="I192" s="239">
        <v>158650</v>
      </c>
      <c r="J192" s="238">
        <v>28505</v>
      </c>
      <c r="K192" s="240">
        <v>24521</v>
      </c>
      <c r="L192" s="238">
        <v>82251</v>
      </c>
      <c r="M192" s="238">
        <v>48</v>
      </c>
      <c r="N192" s="238"/>
      <c r="O192" s="239">
        <v>83608</v>
      </c>
      <c r="P192" s="239">
        <v>145</v>
      </c>
      <c r="Q192" s="240"/>
      <c r="R192" s="238"/>
      <c r="S192" s="240"/>
      <c r="T192" s="236">
        <f t="shared" si="21"/>
        <v>0</v>
      </c>
      <c r="U192" s="237">
        <f t="shared" si="22"/>
        <v>0</v>
      </c>
      <c r="V192" s="238"/>
      <c r="W192" s="239" t="s">
        <v>39</v>
      </c>
      <c r="X192" s="241"/>
      <c r="Y192" s="240"/>
      <c r="Z192" s="238"/>
      <c r="AA192" s="238"/>
      <c r="AB192" s="238"/>
      <c r="AC192" s="239" t="s">
        <v>39</v>
      </c>
      <c r="AD192" s="239"/>
      <c r="AE192" s="240"/>
      <c r="AF192" s="238"/>
      <c r="AG192" s="239"/>
    </row>
    <row r="193" spans="1:33" x14ac:dyDescent="0.2">
      <c r="A193" s="486" t="s">
        <v>44</v>
      </c>
      <c r="B193" s="487" t="s">
        <v>719</v>
      </c>
      <c r="C193" s="492"/>
      <c r="D193" s="493">
        <v>156921</v>
      </c>
      <c r="E193" s="494">
        <v>8</v>
      </c>
      <c r="F193" s="235">
        <f t="shared" si="19"/>
        <v>266410</v>
      </c>
      <c r="G193" s="234">
        <f t="shared" si="20"/>
        <v>246842</v>
      </c>
      <c r="H193" s="238">
        <v>201553</v>
      </c>
      <c r="I193" s="239">
        <v>188942</v>
      </c>
      <c r="J193" s="238">
        <v>14359</v>
      </c>
      <c r="K193" s="240">
        <v>10238</v>
      </c>
      <c r="L193" s="238">
        <v>49659</v>
      </c>
      <c r="M193" s="238">
        <v>839</v>
      </c>
      <c r="N193" s="238"/>
      <c r="O193" s="239">
        <v>47007</v>
      </c>
      <c r="P193" s="239">
        <v>655</v>
      </c>
      <c r="Q193" s="240"/>
      <c r="R193" s="238"/>
      <c r="S193" s="240"/>
      <c r="T193" s="236">
        <f t="shared" si="21"/>
        <v>0</v>
      </c>
      <c r="U193" s="237">
        <f t="shared" si="22"/>
        <v>0</v>
      </c>
      <c r="V193" s="238"/>
      <c r="W193" s="239" t="s">
        <v>39</v>
      </c>
      <c r="X193" s="241"/>
      <c r="Y193" s="240"/>
      <c r="Z193" s="238"/>
      <c r="AA193" s="238"/>
      <c r="AB193" s="238"/>
      <c r="AC193" s="239" t="s">
        <v>39</v>
      </c>
      <c r="AD193" s="239"/>
      <c r="AE193" s="240"/>
      <c r="AF193" s="238"/>
      <c r="AG193" s="239"/>
    </row>
    <row r="194" spans="1:33" x14ac:dyDescent="0.2">
      <c r="A194" s="486" t="s">
        <v>44</v>
      </c>
      <c r="B194" s="487" t="s">
        <v>720</v>
      </c>
      <c r="C194" s="492"/>
      <c r="D194" s="493">
        <v>156231</v>
      </c>
      <c r="E194" s="494">
        <v>9</v>
      </c>
      <c r="F194" s="235">
        <f t="shared" si="19"/>
        <v>86732</v>
      </c>
      <c r="G194" s="234">
        <f t="shared" si="20"/>
        <v>76000</v>
      </c>
      <c r="H194" s="238">
        <v>57455</v>
      </c>
      <c r="I194" s="239">
        <v>48786</v>
      </c>
      <c r="J194" s="238">
        <v>9567</v>
      </c>
      <c r="K194" s="240">
        <v>6989</v>
      </c>
      <c r="L194" s="238">
        <v>19710</v>
      </c>
      <c r="M194" s="238"/>
      <c r="N194" s="238"/>
      <c r="O194" s="239">
        <v>20225</v>
      </c>
      <c r="P194" s="239"/>
      <c r="Q194" s="240"/>
      <c r="R194" s="238"/>
      <c r="S194" s="240"/>
      <c r="T194" s="236">
        <f t="shared" si="21"/>
        <v>0</v>
      </c>
      <c r="U194" s="237">
        <f t="shared" si="22"/>
        <v>0</v>
      </c>
      <c r="V194" s="238"/>
      <c r="W194" s="239"/>
      <c r="X194" s="241"/>
      <c r="Y194" s="240"/>
      <c r="Z194" s="238"/>
      <c r="AA194" s="238"/>
      <c r="AB194" s="238"/>
      <c r="AC194" s="239" t="s">
        <v>39</v>
      </c>
      <c r="AD194" s="239"/>
      <c r="AE194" s="240"/>
      <c r="AF194" s="238"/>
      <c r="AG194" s="239"/>
    </row>
    <row r="195" spans="1:33" x14ac:dyDescent="0.2">
      <c r="A195" s="486" t="s">
        <v>44</v>
      </c>
      <c r="B195" s="487" t="s">
        <v>721</v>
      </c>
      <c r="C195" s="492"/>
      <c r="D195" s="429">
        <v>157553</v>
      </c>
      <c r="E195" s="494">
        <v>9</v>
      </c>
      <c r="F195" s="235">
        <f t="shared" si="19"/>
        <v>87803</v>
      </c>
      <c r="G195" s="234">
        <f t="shared" si="20"/>
        <v>80232</v>
      </c>
      <c r="H195" s="238">
        <v>40278</v>
      </c>
      <c r="I195" s="239">
        <v>36055</v>
      </c>
      <c r="J195" s="238">
        <v>10727</v>
      </c>
      <c r="K195" s="240">
        <v>9965</v>
      </c>
      <c r="L195" s="238">
        <v>36272</v>
      </c>
      <c r="M195" s="238">
        <v>526</v>
      </c>
      <c r="N195" s="238"/>
      <c r="O195" s="239">
        <v>33641</v>
      </c>
      <c r="P195" s="239">
        <v>571</v>
      </c>
      <c r="Q195" s="240"/>
      <c r="R195" s="238"/>
      <c r="S195" s="240"/>
      <c r="T195" s="236">
        <f t="shared" si="21"/>
        <v>0</v>
      </c>
      <c r="U195" s="237">
        <f t="shared" si="22"/>
        <v>0</v>
      </c>
      <c r="V195" s="238"/>
      <c r="W195" s="239"/>
      <c r="X195" s="241"/>
      <c r="Y195" s="240"/>
      <c r="Z195" s="238"/>
      <c r="AA195" s="238"/>
      <c r="AB195" s="238"/>
      <c r="AC195" s="239" t="s">
        <v>39</v>
      </c>
      <c r="AD195" s="239"/>
      <c r="AE195" s="240"/>
      <c r="AF195" s="238"/>
      <c r="AG195" s="239"/>
    </row>
    <row r="196" spans="1:33" x14ac:dyDescent="0.2">
      <c r="A196" s="486" t="s">
        <v>44</v>
      </c>
      <c r="B196" s="487" t="s">
        <v>722</v>
      </c>
      <c r="C196" s="492"/>
      <c r="D196" s="429">
        <v>156648</v>
      </c>
      <c r="E196" s="494">
        <v>9</v>
      </c>
      <c r="F196" s="235">
        <f t="shared" si="19"/>
        <v>127667</v>
      </c>
      <c r="G196" s="234">
        <f t="shared" si="20"/>
        <v>117167</v>
      </c>
      <c r="H196" s="238">
        <v>92546</v>
      </c>
      <c r="I196" s="239">
        <v>81643</v>
      </c>
      <c r="J196" s="238">
        <v>2157</v>
      </c>
      <c r="K196" s="240">
        <v>1698</v>
      </c>
      <c r="L196" s="238">
        <v>32848</v>
      </c>
      <c r="M196" s="238">
        <v>116</v>
      </c>
      <c r="N196" s="238"/>
      <c r="O196" s="239">
        <v>33826</v>
      </c>
      <c r="P196" s="239"/>
      <c r="Q196" s="240"/>
      <c r="R196" s="238"/>
      <c r="S196" s="240"/>
      <c r="T196" s="236">
        <f t="shared" si="21"/>
        <v>0</v>
      </c>
      <c r="U196" s="237">
        <f t="shared" si="22"/>
        <v>0</v>
      </c>
      <c r="V196" s="238"/>
      <c r="W196" s="239" t="s">
        <v>39</v>
      </c>
      <c r="X196" s="241"/>
      <c r="Y196" s="240"/>
      <c r="Z196" s="238"/>
      <c r="AA196" s="238"/>
      <c r="AB196" s="238"/>
      <c r="AC196" s="239" t="s">
        <v>39</v>
      </c>
      <c r="AD196" s="239"/>
      <c r="AE196" s="240"/>
      <c r="AF196" s="238"/>
      <c r="AG196" s="239"/>
    </row>
    <row r="197" spans="1:33" x14ac:dyDescent="0.2">
      <c r="A197" s="421" t="s">
        <v>44</v>
      </c>
      <c r="B197" s="487" t="s">
        <v>730</v>
      </c>
      <c r="C197" s="489" t="s">
        <v>735</v>
      </c>
      <c r="D197" s="429">
        <v>156790</v>
      </c>
      <c r="E197" s="420">
        <v>9</v>
      </c>
      <c r="F197" s="235">
        <f t="shared" si="19"/>
        <v>68363</v>
      </c>
      <c r="G197" s="234">
        <f t="shared" si="20"/>
        <v>61640</v>
      </c>
      <c r="H197" s="238">
        <v>45057</v>
      </c>
      <c r="I197" s="239">
        <v>35333</v>
      </c>
      <c r="J197" s="238">
        <v>452</v>
      </c>
      <c r="K197" s="240">
        <v>1012</v>
      </c>
      <c r="L197" s="238">
        <v>21049</v>
      </c>
      <c r="M197" s="238">
        <v>1805</v>
      </c>
      <c r="N197" s="238"/>
      <c r="O197" s="239">
        <v>24059</v>
      </c>
      <c r="P197" s="239">
        <v>1236</v>
      </c>
      <c r="Q197" s="240"/>
      <c r="R197" s="238"/>
      <c r="S197" s="240"/>
      <c r="T197" s="236">
        <f t="shared" si="21"/>
        <v>0</v>
      </c>
      <c r="U197" s="237">
        <f t="shared" si="22"/>
        <v>0</v>
      </c>
      <c r="V197" s="238"/>
      <c r="W197" s="239" t="s">
        <v>39</v>
      </c>
      <c r="X197" s="241"/>
      <c r="Y197" s="240"/>
      <c r="Z197" s="238"/>
      <c r="AA197" s="238"/>
      <c r="AB197" s="238"/>
      <c r="AC197" s="239" t="s">
        <v>39</v>
      </c>
      <c r="AD197" s="239"/>
      <c r="AE197" s="240"/>
      <c r="AF197" s="238"/>
      <c r="AG197" s="239"/>
    </row>
    <row r="198" spans="1:33" x14ac:dyDescent="0.2">
      <c r="A198" s="486" t="s">
        <v>44</v>
      </c>
      <c r="B198" s="487" t="s">
        <v>723</v>
      </c>
      <c r="C198" s="489"/>
      <c r="D198" s="429">
        <v>156860</v>
      </c>
      <c r="E198" s="427">
        <v>9</v>
      </c>
      <c r="F198" s="235">
        <f t="shared" si="19"/>
        <v>78930</v>
      </c>
      <c r="G198" s="234">
        <f t="shared" si="20"/>
        <v>71907</v>
      </c>
      <c r="H198" s="238">
        <v>56762</v>
      </c>
      <c r="I198" s="239">
        <v>50996</v>
      </c>
      <c r="J198" s="238">
        <v>2034</v>
      </c>
      <c r="K198" s="240">
        <v>439</v>
      </c>
      <c r="L198" s="238">
        <v>20134</v>
      </c>
      <c r="M198" s="238"/>
      <c r="N198" s="238"/>
      <c r="O198" s="239">
        <v>20472</v>
      </c>
      <c r="P198" s="239"/>
      <c r="Q198" s="240"/>
      <c r="R198" s="238"/>
      <c r="S198" s="240"/>
      <c r="T198" s="236">
        <f t="shared" si="21"/>
        <v>0</v>
      </c>
      <c r="U198" s="237">
        <f t="shared" si="22"/>
        <v>0</v>
      </c>
      <c r="V198" s="238"/>
      <c r="W198" s="239" t="s">
        <v>39</v>
      </c>
      <c r="X198" s="241"/>
      <c r="Y198" s="240"/>
      <c r="Z198" s="238"/>
      <c r="AA198" s="238"/>
      <c r="AB198" s="238"/>
      <c r="AC198" s="239" t="s">
        <v>39</v>
      </c>
      <c r="AD198" s="239"/>
      <c r="AE198" s="240"/>
      <c r="AF198" s="238"/>
      <c r="AG198" s="239"/>
    </row>
    <row r="199" spans="1:33" x14ac:dyDescent="0.2">
      <c r="A199" s="421" t="s">
        <v>44</v>
      </c>
      <c r="B199" s="422" t="s">
        <v>724</v>
      </c>
      <c r="C199" s="423"/>
      <c r="D199" s="429">
        <v>157304</v>
      </c>
      <c r="E199" s="430">
        <v>9</v>
      </c>
      <c r="F199" s="235">
        <f t="shared" si="19"/>
        <v>62671</v>
      </c>
      <c r="G199" s="234">
        <f t="shared" si="20"/>
        <v>61354</v>
      </c>
      <c r="H199" s="238">
        <v>49346</v>
      </c>
      <c r="I199" s="239">
        <v>43048</v>
      </c>
      <c r="J199" s="238">
        <v>157</v>
      </c>
      <c r="K199" s="240">
        <v>258</v>
      </c>
      <c r="L199" s="238">
        <v>13168</v>
      </c>
      <c r="M199" s="238"/>
      <c r="N199" s="238"/>
      <c r="O199" s="239">
        <v>18048</v>
      </c>
      <c r="P199" s="239"/>
      <c r="Q199" s="240"/>
      <c r="R199" s="238"/>
      <c r="S199" s="240"/>
      <c r="T199" s="236">
        <f t="shared" si="21"/>
        <v>0</v>
      </c>
      <c r="U199" s="237">
        <f t="shared" si="22"/>
        <v>0</v>
      </c>
      <c r="V199" s="238"/>
      <c r="W199" s="239"/>
      <c r="X199" s="241"/>
      <c r="Y199" s="240"/>
      <c r="Z199" s="238"/>
      <c r="AA199" s="238"/>
      <c r="AB199" s="238"/>
      <c r="AC199" s="239" t="s">
        <v>39</v>
      </c>
      <c r="AD199" s="239"/>
      <c r="AE199" s="240"/>
      <c r="AF199" s="238"/>
      <c r="AG199" s="239"/>
    </row>
    <row r="200" spans="1:33" x14ac:dyDescent="0.2">
      <c r="A200" s="421" t="s">
        <v>44</v>
      </c>
      <c r="B200" s="422" t="s">
        <v>725</v>
      </c>
      <c r="C200" s="423"/>
      <c r="D200" s="429">
        <v>157331</v>
      </c>
      <c r="E200" s="430">
        <v>9</v>
      </c>
      <c r="F200" s="235">
        <f t="shared" si="19"/>
        <v>103971</v>
      </c>
      <c r="G200" s="234">
        <f t="shared" si="20"/>
        <v>94962</v>
      </c>
      <c r="H200" s="238">
        <v>32774</v>
      </c>
      <c r="I200" s="239">
        <v>31681</v>
      </c>
      <c r="J200" s="238">
        <v>15945</v>
      </c>
      <c r="K200" s="240">
        <v>12802</v>
      </c>
      <c r="L200" s="238">
        <v>52856</v>
      </c>
      <c r="M200" s="238">
        <v>2396</v>
      </c>
      <c r="N200" s="238"/>
      <c r="O200" s="239">
        <v>48982</v>
      </c>
      <c r="P200" s="239">
        <v>1497</v>
      </c>
      <c r="Q200" s="240"/>
      <c r="R200" s="238"/>
      <c r="S200" s="240"/>
      <c r="T200" s="236">
        <f t="shared" si="21"/>
        <v>0</v>
      </c>
      <c r="U200" s="237">
        <f t="shared" si="22"/>
        <v>0</v>
      </c>
      <c r="V200" s="238"/>
      <c r="W200" s="239" t="s">
        <v>39</v>
      </c>
      <c r="X200" s="241"/>
      <c r="Y200" s="240"/>
      <c r="Z200" s="238"/>
      <c r="AA200" s="238"/>
      <c r="AB200" s="238"/>
      <c r="AC200" s="239" t="s">
        <v>39</v>
      </c>
      <c r="AD200" s="239"/>
      <c r="AE200" s="240"/>
      <c r="AF200" s="238"/>
      <c r="AG200" s="239"/>
    </row>
    <row r="201" spans="1:33" x14ac:dyDescent="0.2">
      <c r="A201" s="486" t="s">
        <v>44</v>
      </c>
      <c r="B201" s="487" t="s">
        <v>726</v>
      </c>
      <c r="C201" s="492"/>
      <c r="D201" s="429">
        <v>247940</v>
      </c>
      <c r="E201" s="494">
        <v>9</v>
      </c>
      <c r="F201" s="235">
        <f t="shared" si="19"/>
        <v>96873</v>
      </c>
      <c r="G201" s="234">
        <f t="shared" si="20"/>
        <v>86353</v>
      </c>
      <c r="H201" s="238">
        <v>84098</v>
      </c>
      <c r="I201" s="239">
        <v>63277</v>
      </c>
      <c r="J201" s="238">
        <v>534</v>
      </c>
      <c r="K201" s="240">
        <v>260</v>
      </c>
      <c r="L201" s="238">
        <v>12241</v>
      </c>
      <c r="M201" s="238"/>
      <c r="N201" s="238"/>
      <c r="O201" s="239">
        <v>22816</v>
      </c>
      <c r="P201" s="239"/>
      <c r="Q201" s="240"/>
      <c r="R201" s="238"/>
      <c r="S201" s="240"/>
      <c r="T201" s="236">
        <f t="shared" si="21"/>
        <v>0</v>
      </c>
      <c r="U201" s="237">
        <f t="shared" si="22"/>
        <v>0</v>
      </c>
      <c r="V201" s="238"/>
      <c r="W201" s="239"/>
      <c r="X201" s="241"/>
      <c r="Y201" s="240"/>
      <c r="Z201" s="238"/>
      <c r="AA201" s="238"/>
      <c r="AB201" s="238"/>
      <c r="AC201" s="239" t="s">
        <v>39</v>
      </c>
      <c r="AD201" s="239"/>
      <c r="AE201" s="240"/>
      <c r="AF201" s="238"/>
      <c r="AG201" s="239"/>
    </row>
    <row r="202" spans="1:33" x14ac:dyDescent="0.2">
      <c r="A202" s="486" t="s">
        <v>44</v>
      </c>
      <c r="B202" s="487" t="s">
        <v>727</v>
      </c>
      <c r="C202" s="488"/>
      <c r="D202" s="429">
        <v>157711</v>
      </c>
      <c r="E202" s="494">
        <v>9</v>
      </c>
      <c r="F202" s="235">
        <f t="shared" si="19"/>
        <v>173310</v>
      </c>
      <c r="G202" s="234">
        <f t="shared" si="20"/>
        <v>145726</v>
      </c>
      <c r="H202" s="238">
        <v>100379</v>
      </c>
      <c r="I202" s="239">
        <v>79781</v>
      </c>
      <c r="J202" s="238">
        <v>6808</v>
      </c>
      <c r="K202" s="240">
        <v>5140</v>
      </c>
      <c r="L202" s="238">
        <v>60329</v>
      </c>
      <c r="M202" s="238">
        <v>5794</v>
      </c>
      <c r="N202" s="238"/>
      <c r="O202" s="239">
        <v>56070</v>
      </c>
      <c r="P202" s="239">
        <v>4735</v>
      </c>
      <c r="Q202" s="240"/>
      <c r="R202" s="238"/>
      <c r="S202" s="240"/>
      <c r="T202" s="236">
        <f t="shared" si="21"/>
        <v>0</v>
      </c>
      <c r="U202" s="237">
        <f t="shared" si="22"/>
        <v>0</v>
      </c>
      <c r="V202" s="238"/>
      <c r="W202" s="239" t="s">
        <v>39</v>
      </c>
      <c r="X202" s="241"/>
      <c r="Y202" s="240"/>
      <c r="Z202" s="238"/>
      <c r="AA202" s="238"/>
      <c r="AB202" s="238"/>
      <c r="AC202" s="239" t="s">
        <v>39</v>
      </c>
      <c r="AD202" s="239"/>
      <c r="AE202" s="240"/>
      <c r="AF202" s="238"/>
      <c r="AG202" s="239"/>
    </row>
    <row r="203" spans="1:33" x14ac:dyDescent="0.2">
      <c r="A203" s="486" t="s">
        <v>44</v>
      </c>
      <c r="B203" s="487" t="s">
        <v>728</v>
      </c>
      <c r="C203" s="488"/>
      <c r="D203" s="429">
        <v>157739</v>
      </c>
      <c r="E203" s="494">
        <v>9</v>
      </c>
      <c r="F203" s="235">
        <f t="shared" si="19"/>
        <v>72001</v>
      </c>
      <c r="G203" s="234">
        <f t="shared" si="20"/>
        <v>66619</v>
      </c>
      <c r="H203" s="238">
        <v>23373</v>
      </c>
      <c r="I203" s="239">
        <v>22592</v>
      </c>
      <c r="J203" s="238">
        <v>26834</v>
      </c>
      <c r="K203" s="240">
        <v>25073</v>
      </c>
      <c r="L203" s="238">
        <v>19281</v>
      </c>
      <c r="M203" s="238">
        <v>2513</v>
      </c>
      <c r="N203" s="238"/>
      <c r="O203" s="239">
        <v>17156</v>
      </c>
      <c r="P203" s="239">
        <v>1798</v>
      </c>
      <c r="Q203" s="240"/>
      <c r="R203" s="238"/>
      <c r="S203" s="240"/>
      <c r="T203" s="236">
        <f t="shared" si="21"/>
        <v>0</v>
      </c>
      <c r="U203" s="237">
        <f t="shared" si="22"/>
        <v>0</v>
      </c>
      <c r="V203" s="238"/>
      <c r="W203" s="239" t="s">
        <v>39</v>
      </c>
      <c r="X203" s="241"/>
      <c r="Y203" s="240"/>
      <c r="Z203" s="238"/>
      <c r="AA203" s="238"/>
      <c r="AB203" s="238"/>
      <c r="AC203" s="239" t="s">
        <v>39</v>
      </c>
      <c r="AD203" s="239"/>
      <c r="AE203" s="240"/>
      <c r="AF203" s="238"/>
      <c r="AG203" s="239"/>
    </row>
    <row r="204" spans="1:33" x14ac:dyDescent="0.2">
      <c r="A204" s="486" t="s">
        <v>44</v>
      </c>
      <c r="B204" s="487" t="s">
        <v>729</v>
      </c>
      <c r="C204" s="492"/>
      <c r="D204" s="429">
        <v>157483</v>
      </c>
      <c r="E204" s="494">
        <v>9</v>
      </c>
      <c r="F204" s="235">
        <f t="shared" si="19"/>
        <v>128318</v>
      </c>
      <c r="G204" s="234">
        <f t="shared" si="20"/>
        <v>123428</v>
      </c>
      <c r="H204" s="238">
        <v>84238</v>
      </c>
      <c r="I204" s="239">
        <v>80075</v>
      </c>
      <c r="J204" s="238">
        <v>1248</v>
      </c>
      <c r="K204" s="240">
        <v>1165</v>
      </c>
      <c r="L204" s="238">
        <v>42350</v>
      </c>
      <c r="M204" s="238">
        <v>482</v>
      </c>
      <c r="N204" s="238"/>
      <c r="O204" s="239">
        <v>41755</v>
      </c>
      <c r="P204" s="239">
        <v>433</v>
      </c>
      <c r="Q204" s="240"/>
      <c r="R204" s="238"/>
      <c r="S204" s="240"/>
      <c r="T204" s="236">
        <f t="shared" si="21"/>
        <v>0</v>
      </c>
      <c r="U204" s="237">
        <f t="shared" si="22"/>
        <v>0</v>
      </c>
      <c r="V204" s="238"/>
      <c r="W204" s="239" t="s">
        <v>39</v>
      </c>
      <c r="X204" s="241"/>
      <c r="Y204" s="240"/>
      <c r="Z204" s="238"/>
      <c r="AA204" s="238"/>
      <c r="AB204" s="238"/>
      <c r="AC204" s="239" t="s">
        <v>39</v>
      </c>
      <c r="AD204" s="239"/>
      <c r="AE204" s="240"/>
      <c r="AF204" s="238"/>
      <c r="AG204" s="239"/>
    </row>
    <row r="205" spans="1:33" x14ac:dyDescent="0.2">
      <c r="A205" s="486" t="s">
        <v>44</v>
      </c>
      <c r="B205" s="487" t="s">
        <v>731</v>
      </c>
      <c r="C205" s="492"/>
      <c r="D205" s="429">
        <v>156851</v>
      </c>
      <c r="E205" s="494">
        <v>10</v>
      </c>
      <c r="F205" s="235">
        <f t="shared" si="19"/>
        <v>43236</v>
      </c>
      <c r="G205" s="234">
        <f t="shared" si="20"/>
        <v>38213</v>
      </c>
      <c r="H205" s="238">
        <v>24502</v>
      </c>
      <c r="I205" s="239">
        <v>21390</v>
      </c>
      <c r="J205" s="238">
        <v>477</v>
      </c>
      <c r="K205" s="240">
        <v>541</v>
      </c>
      <c r="L205" s="238">
        <v>17896</v>
      </c>
      <c r="M205" s="238">
        <v>361</v>
      </c>
      <c r="N205" s="238"/>
      <c r="O205" s="239">
        <v>15990</v>
      </c>
      <c r="P205" s="239">
        <v>292</v>
      </c>
      <c r="Q205" s="240"/>
      <c r="R205" s="238"/>
      <c r="S205" s="240"/>
      <c r="T205" s="236">
        <f t="shared" si="21"/>
        <v>0</v>
      </c>
      <c r="U205" s="237">
        <f t="shared" si="22"/>
        <v>0</v>
      </c>
      <c r="V205" s="238"/>
      <c r="W205" s="239"/>
      <c r="X205" s="241"/>
      <c r="Y205" s="240"/>
      <c r="Z205" s="238"/>
      <c r="AA205" s="238"/>
      <c r="AB205" s="238"/>
      <c r="AC205" s="239" t="s">
        <v>39</v>
      </c>
      <c r="AD205" s="239"/>
      <c r="AE205" s="240"/>
      <c r="AF205" s="238"/>
      <c r="AG205" s="239"/>
    </row>
    <row r="206" spans="1:33" x14ac:dyDescent="0.2">
      <c r="A206" s="421" t="s">
        <v>44</v>
      </c>
      <c r="B206" s="422" t="s">
        <v>733</v>
      </c>
      <c r="C206" s="423"/>
      <c r="D206" s="429">
        <v>157438</v>
      </c>
      <c r="E206" s="430">
        <v>12</v>
      </c>
      <c r="F206" s="235">
        <f t="shared" si="19"/>
        <v>75156</v>
      </c>
      <c r="G206" s="234">
        <f t="shared" si="20"/>
        <v>72782</v>
      </c>
      <c r="H206" s="238">
        <v>70221</v>
      </c>
      <c r="I206" s="239">
        <v>64496</v>
      </c>
      <c r="J206" s="238"/>
      <c r="K206" s="240">
        <v>0</v>
      </c>
      <c r="L206" s="238">
        <v>4935</v>
      </c>
      <c r="M206" s="238"/>
      <c r="N206" s="238"/>
      <c r="O206" s="239">
        <v>8286</v>
      </c>
      <c r="P206" s="239"/>
      <c r="Q206" s="240"/>
      <c r="R206" s="238"/>
      <c r="S206" s="240"/>
      <c r="T206" s="236">
        <f t="shared" si="21"/>
        <v>0</v>
      </c>
      <c r="U206" s="237">
        <f t="shared" si="22"/>
        <v>0</v>
      </c>
      <c r="V206" s="238"/>
      <c r="W206" s="239"/>
      <c r="X206" s="241"/>
      <c r="Y206" s="240"/>
      <c r="Z206" s="238"/>
      <c r="AA206" s="238"/>
      <c r="AB206" s="238"/>
      <c r="AC206" s="239" t="s">
        <v>39</v>
      </c>
      <c r="AD206" s="239"/>
      <c r="AE206" s="240"/>
      <c r="AF206" s="238"/>
      <c r="AG206" s="239"/>
    </row>
    <row r="207" spans="1:33" x14ac:dyDescent="0.2">
      <c r="A207" s="421" t="s">
        <v>44</v>
      </c>
      <c r="B207" s="490" t="s">
        <v>732</v>
      </c>
      <c r="C207" s="492"/>
      <c r="D207" s="429">
        <v>156338</v>
      </c>
      <c r="E207" s="494">
        <v>12</v>
      </c>
      <c r="F207" s="235">
        <f t="shared" si="19"/>
        <v>69358</v>
      </c>
      <c r="G207" s="234">
        <f t="shared" si="20"/>
        <v>78633</v>
      </c>
      <c r="H207" s="238">
        <v>58870</v>
      </c>
      <c r="I207" s="239">
        <v>50892</v>
      </c>
      <c r="J207" s="238">
        <v>693</v>
      </c>
      <c r="K207" s="240">
        <v>627</v>
      </c>
      <c r="L207" s="238">
        <v>9795</v>
      </c>
      <c r="M207" s="238"/>
      <c r="N207" s="238"/>
      <c r="O207" s="239">
        <v>27114</v>
      </c>
      <c r="P207" s="239"/>
      <c r="Q207" s="240"/>
      <c r="R207" s="238"/>
      <c r="S207" s="240"/>
      <c r="T207" s="236">
        <f t="shared" si="21"/>
        <v>0</v>
      </c>
      <c r="U207" s="237">
        <f t="shared" si="22"/>
        <v>0</v>
      </c>
      <c r="V207" s="238"/>
      <c r="W207" s="239" t="s">
        <v>39</v>
      </c>
      <c r="X207" s="241"/>
      <c r="Y207" s="240"/>
      <c r="Z207" s="238"/>
      <c r="AA207" s="238"/>
      <c r="AB207" s="238"/>
      <c r="AC207" s="239" t="s">
        <v>39</v>
      </c>
      <c r="AD207" s="239"/>
      <c r="AE207" s="240"/>
      <c r="AF207" s="238"/>
      <c r="AG207" s="239"/>
    </row>
    <row r="208" spans="1:33" x14ac:dyDescent="0.2">
      <c r="A208" s="583" t="s">
        <v>45</v>
      </c>
      <c r="B208" s="584"/>
      <c r="C208" s="585"/>
      <c r="D208" s="586"/>
      <c r="E208" s="587"/>
      <c r="F208" s="235"/>
      <c r="G208" s="234"/>
      <c r="H208" s="238"/>
      <c r="I208" s="239"/>
      <c r="J208" s="238"/>
      <c r="K208" s="240"/>
      <c r="L208" s="238"/>
      <c r="M208" s="238"/>
      <c r="N208" s="238"/>
      <c r="O208" s="239"/>
      <c r="P208" s="239"/>
      <c r="Q208" s="240"/>
      <c r="R208" s="238"/>
      <c r="S208" s="240"/>
      <c r="T208" s="236"/>
      <c r="U208" s="237"/>
      <c r="V208" s="238"/>
      <c r="W208" s="239"/>
      <c r="X208" s="241"/>
      <c r="Y208" s="240"/>
      <c r="Z208" s="238"/>
      <c r="AA208" s="238"/>
      <c r="AB208" s="238"/>
      <c r="AC208" s="239"/>
      <c r="AD208" s="239"/>
      <c r="AE208" s="240"/>
      <c r="AF208" s="238"/>
      <c r="AG208" s="239"/>
    </row>
    <row r="209" spans="1:33" x14ac:dyDescent="0.2">
      <c r="A209" s="447" t="s">
        <v>46</v>
      </c>
      <c r="B209" s="448" t="s">
        <v>736</v>
      </c>
      <c r="C209" s="496"/>
      <c r="D209" s="451">
        <v>163286</v>
      </c>
      <c r="E209" s="452">
        <v>1</v>
      </c>
      <c r="F209" s="235">
        <f t="shared" si="19"/>
        <v>799939</v>
      </c>
      <c r="G209" s="234">
        <f t="shared" si="20"/>
        <v>790575</v>
      </c>
      <c r="H209" s="238">
        <v>766563</v>
      </c>
      <c r="I209" s="239">
        <v>755161</v>
      </c>
      <c r="J209" s="238">
        <v>18027</v>
      </c>
      <c r="K209" s="240">
        <v>19758</v>
      </c>
      <c r="L209" s="238">
        <v>14961</v>
      </c>
      <c r="M209" s="238">
        <v>388</v>
      </c>
      <c r="N209" s="238">
        <v>0</v>
      </c>
      <c r="O209" s="239">
        <v>15047</v>
      </c>
      <c r="P209" s="239">
        <v>609</v>
      </c>
      <c r="Q209" s="240"/>
      <c r="R209" s="238">
        <v>0</v>
      </c>
      <c r="S209" s="240"/>
      <c r="T209" s="236">
        <f t="shared" si="21"/>
        <v>158873</v>
      </c>
      <c r="U209" s="237">
        <f t="shared" si="22"/>
        <v>159162</v>
      </c>
      <c r="V209" s="238">
        <v>114938</v>
      </c>
      <c r="W209" s="239">
        <v>117978</v>
      </c>
      <c r="X209" s="241">
        <v>37212</v>
      </c>
      <c r="Y209" s="240">
        <v>33489</v>
      </c>
      <c r="Z209" s="238">
        <v>5774</v>
      </c>
      <c r="AA209" s="238">
        <v>949</v>
      </c>
      <c r="AB209" s="238">
        <v>0</v>
      </c>
      <c r="AC209" s="239">
        <v>6629</v>
      </c>
      <c r="AD209" s="239">
        <v>1066</v>
      </c>
      <c r="AE209" s="240"/>
      <c r="AF209" s="238">
        <v>0</v>
      </c>
      <c r="AG209" s="239"/>
    </row>
    <row r="210" spans="1:33" x14ac:dyDescent="0.2">
      <c r="A210" s="447" t="s">
        <v>46</v>
      </c>
      <c r="B210" s="448" t="s">
        <v>737</v>
      </c>
      <c r="C210" s="497"/>
      <c r="D210" s="451">
        <v>163453</v>
      </c>
      <c r="E210" s="450">
        <v>2</v>
      </c>
      <c r="F210" s="235">
        <f t="shared" si="19"/>
        <v>191053</v>
      </c>
      <c r="G210" s="234">
        <f t="shared" si="20"/>
        <v>185758</v>
      </c>
      <c r="H210" s="238">
        <v>188521</v>
      </c>
      <c r="I210" s="239">
        <v>181726</v>
      </c>
      <c r="J210" s="238">
        <v>404</v>
      </c>
      <c r="K210" s="240">
        <v>955</v>
      </c>
      <c r="L210" s="238">
        <v>2128</v>
      </c>
      <c r="M210" s="238">
        <v>0</v>
      </c>
      <c r="N210" s="238">
        <v>0</v>
      </c>
      <c r="O210" s="239">
        <v>3077</v>
      </c>
      <c r="P210" s="239">
        <v>0</v>
      </c>
      <c r="Q210" s="240">
        <v>0</v>
      </c>
      <c r="R210" s="238">
        <v>0</v>
      </c>
      <c r="S210" s="240"/>
      <c r="T210" s="236">
        <f t="shared" si="21"/>
        <v>20593</v>
      </c>
      <c r="U210" s="237">
        <f t="shared" si="22"/>
        <v>22198</v>
      </c>
      <c r="V210" s="238">
        <v>18313</v>
      </c>
      <c r="W210" s="239">
        <v>19337</v>
      </c>
      <c r="X210" s="241">
        <v>583</v>
      </c>
      <c r="Y210" s="240">
        <v>215</v>
      </c>
      <c r="Z210" s="238">
        <v>1697</v>
      </c>
      <c r="AA210" s="238">
        <v>0</v>
      </c>
      <c r="AB210" s="238">
        <v>0</v>
      </c>
      <c r="AC210" s="239">
        <v>2646</v>
      </c>
      <c r="AD210" s="239">
        <v>0</v>
      </c>
      <c r="AE210" s="240">
        <v>0</v>
      </c>
      <c r="AF210" s="238">
        <v>0</v>
      </c>
      <c r="AG210" s="239"/>
    </row>
    <row r="211" spans="1:33" x14ac:dyDescent="0.2">
      <c r="A211" s="447" t="s">
        <v>46</v>
      </c>
      <c r="B211" s="448" t="s">
        <v>738</v>
      </c>
      <c r="C211" s="496"/>
      <c r="D211" s="451">
        <v>163268</v>
      </c>
      <c r="E211" s="452">
        <v>2</v>
      </c>
      <c r="F211" s="235">
        <f t="shared" si="19"/>
        <v>297770</v>
      </c>
      <c r="G211" s="234">
        <f t="shared" si="20"/>
        <v>307922</v>
      </c>
      <c r="H211" s="238">
        <v>266582</v>
      </c>
      <c r="I211" s="239">
        <v>272600</v>
      </c>
      <c r="J211" s="238">
        <v>5529</v>
      </c>
      <c r="K211" s="240">
        <v>7010</v>
      </c>
      <c r="L211" s="238">
        <v>25659</v>
      </c>
      <c r="M211" s="238">
        <v>0</v>
      </c>
      <c r="N211" s="238">
        <v>0</v>
      </c>
      <c r="O211" s="239">
        <v>28312</v>
      </c>
      <c r="P211" s="239">
        <v>0</v>
      </c>
      <c r="Q211" s="240">
        <v>0</v>
      </c>
      <c r="R211" s="238">
        <v>0</v>
      </c>
      <c r="S211" s="240"/>
      <c r="T211" s="236">
        <f t="shared" si="21"/>
        <v>33838</v>
      </c>
      <c r="U211" s="237">
        <f t="shared" si="22"/>
        <v>34414</v>
      </c>
      <c r="V211" s="238">
        <v>26158</v>
      </c>
      <c r="W211" s="239">
        <v>25662</v>
      </c>
      <c r="X211" s="241">
        <v>2146</v>
      </c>
      <c r="Y211" s="240">
        <v>1302</v>
      </c>
      <c r="Z211" s="238">
        <v>5534</v>
      </c>
      <c r="AA211" s="238">
        <v>0</v>
      </c>
      <c r="AB211" s="238">
        <v>0</v>
      </c>
      <c r="AC211" s="239">
        <v>7450</v>
      </c>
      <c r="AD211" s="239"/>
      <c r="AE211" s="240"/>
      <c r="AF211" s="238">
        <v>0</v>
      </c>
      <c r="AG211" s="239"/>
    </row>
    <row r="212" spans="1:33" x14ac:dyDescent="0.2">
      <c r="A212" s="447" t="s">
        <v>46</v>
      </c>
      <c r="B212" s="448" t="s">
        <v>739</v>
      </c>
      <c r="C212" s="496"/>
      <c r="D212" s="451">
        <v>164076</v>
      </c>
      <c r="E212" s="452">
        <v>3</v>
      </c>
      <c r="F212" s="235">
        <f t="shared" si="19"/>
        <v>506306.5</v>
      </c>
      <c r="G212" s="234">
        <f t="shared" si="20"/>
        <v>516241</v>
      </c>
      <c r="H212" s="238">
        <v>470902.5</v>
      </c>
      <c r="I212" s="239">
        <v>474267</v>
      </c>
      <c r="J212" s="238">
        <v>9374</v>
      </c>
      <c r="K212" s="240">
        <v>10589</v>
      </c>
      <c r="L212" s="238">
        <v>25793</v>
      </c>
      <c r="M212" s="238">
        <v>237</v>
      </c>
      <c r="N212" s="238">
        <v>0</v>
      </c>
      <c r="O212" s="239">
        <v>31332</v>
      </c>
      <c r="P212" s="239">
        <v>53</v>
      </c>
      <c r="Q212" s="240">
        <v>0</v>
      </c>
      <c r="R212" s="238">
        <v>0</v>
      </c>
      <c r="S212" s="240"/>
      <c r="T212" s="236">
        <f t="shared" si="21"/>
        <v>57519</v>
      </c>
      <c r="U212" s="237">
        <f t="shared" si="22"/>
        <v>56892</v>
      </c>
      <c r="V212" s="238">
        <v>36863</v>
      </c>
      <c r="W212" s="239">
        <v>34603</v>
      </c>
      <c r="X212" s="241">
        <v>12597</v>
      </c>
      <c r="Y212" s="240">
        <v>12873</v>
      </c>
      <c r="Z212" s="238">
        <v>7732</v>
      </c>
      <c r="AA212" s="238">
        <v>327</v>
      </c>
      <c r="AB212" s="238">
        <v>0</v>
      </c>
      <c r="AC212" s="239">
        <v>9356</v>
      </c>
      <c r="AD212" s="239">
        <v>60</v>
      </c>
      <c r="AE212" s="240">
        <v>0</v>
      </c>
      <c r="AF212" s="238">
        <v>0</v>
      </c>
      <c r="AG212" s="239"/>
    </row>
    <row r="213" spans="1:33" x14ac:dyDescent="0.2">
      <c r="A213" s="447" t="s">
        <v>46</v>
      </c>
      <c r="B213" s="448" t="s">
        <v>740</v>
      </c>
      <c r="C213" s="496"/>
      <c r="D213" s="451">
        <v>162007</v>
      </c>
      <c r="E213" s="452">
        <v>4</v>
      </c>
      <c r="F213" s="235">
        <f t="shared" si="19"/>
        <v>122617</v>
      </c>
      <c r="G213" s="234">
        <f t="shared" si="20"/>
        <v>118219</v>
      </c>
      <c r="H213" s="238">
        <v>111003</v>
      </c>
      <c r="I213" s="239">
        <v>105556</v>
      </c>
      <c r="J213" s="238">
        <v>1017</v>
      </c>
      <c r="K213" s="240">
        <v>0</v>
      </c>
      <c r="L213" s="238">
        <v>10597</v>
      </c>
      <c r="M213" s="238">
        <v>0</v>
      </c>
      <c r="N213" s="238">
        <v>0</v>
      </c>
      <c r="O213" s="239">
        <v>12663</v>
      </c>
      <c r="P213" s="239">
        <v>0</v>
      </c>
      <c r="Q213" s="240">
        <v>0</v>
      </c>
      <c r="R213" s="238">
        <v>0</v>
      </c>
      <c r="S213" s="240"/>
      <c r="T213" s="236">
        <f t="shared" si="21"/>
        <v>15966</v>
      </c>
      <c r="U213" s="237">
        <f t="shared" si="22"/>
        <v>15827</v>
      </c>
      <c r="V213" s="238">
        <v>15050</v>
      </c>
      <c r="W213" s="239">
        <v>14645</v>
      </c>
      <c r="X213" s="241">
        <v>236</v>
      </c>
      <c r="Y213" s="240">
        <v>347</v>
      </c>
      <c r="Z213" s="238">
        <v>680</v>
      </c>
      <c r="AA213" s="238">
        <v>0</v>
      </c>
      <c r="AB213" s="238">
        <v>0</v>
      </c>
      <c r="AC213" s="239">
        <v>835</v>
      </c>
      <c r="AD213" s="239"/>
      <c r="AE213" s="240"/>
      <c r="AF213" s="238">
        <v>0</v>
      </c>
      <c r="AG213" s="239"/>
    </row>
    <row r="214" spans="1:33" x14ac:dyDescent="0.2">
      <c r="A214" s="447" t="s">
        <v>46</v>
      </c>
      <c r="B214" s="448" t="s">
        <v>742</v>
      </c>
      <c r="C214" s="496"/>
      <c r="D214" s="451">
        <v>162584</v>
      </c>
      <c r="E214" s="452">
        <v>4</v>
      </c>
      <c r="F214" s="235">
        <f t="shared" si="19"/>
        <v>136980</v>
      </c>
      <c r="G214" s="234">
        <f t="shared" si="20"/>
        <v>133424.5</v>
      </c>
      <c r="H214" s="238">
        <v>120267</v>
      </c>
      <c r="I214" s="239">
        <v>114034.5</v>
      </c>
      <c r="J214" s="238">
        <v>2334</v>
      </c>
      <c r="K214" s="240">
        <v>2515</v>
      </c>
      <c r="L214" s="238">
        <v>14298</v>
      </c>
      <c r="M214" s="238">
        <v>81</v>
      </c>
      <c r="N214" s="238">
        <v>0</v>
      </c>
      <c r="O214" s="239">
        <v>16875</v>
      </c>
      <c r="P214" s="239">
        <v>0</v>
      </c>
      <c r="Q214" s="240">
        <v>0</v>
      </c>
      <c r="R214" s="238">
        <v>0</v>
      </c>
      <c r="S214" s="240"/>
      <c r="T214" s="236">
        <f t="shared" si="21"/>
        <v>10914.5</v>
      </c>
      <c r="U214" s="237">
        <f t="shared" si="22"/>
        <v>12410.5</v>
      </c>
      <c r="V214" s="238">
        <v>4152.5</v>
      </c>
      <c r="W214" s="239">
        <v>3731.5</v>
      </c>
      <c r="X214" s="241">
        <v>1894</v>
      </c>
      <c r="Y214" s="240">
        <v>857</v>
      </c>
      <c r="Z214" s="238">
        <v>4868</v>
      </c>
      <c r="AA214" s="238">
        <v>0</v>
      </c>
      <c r="AB214" s="238">
        <v>0</v>
      </c>
      <c r="AC214" s="239">
        <v>7822</v>
      </c>
      <c r="AD214" s="239"/>
      <c r="AE214" s="240"/>
      <c r="AF214" s="238">
        <v>0</v>
      </c>
      <c r="AG214" s="239"/>
    </row>
    <row r="215" spans="1:33" x14ac:dyDescent="0.2">
      <c r="A215" s="447" t="s">
        <v>46</v>
      </c>
      <c r="B215" s="448" t="s">
        <v>743</v>
      </c>
      <c r="C215" s="496"/>
      <c r="D215" s="451">
        <v>163851</v>
      </c>
      <c r="E215" s="452">
        <v>4</v>
      </c>
      <c r="F215" s="235">
        <f t="shared" si="19"/>
        <v>231853</v>
      </c>
      <c r="G215" s="234">
        <f t="shared" si="20"/>
        <v>237704</v>
      </c>
      <c r="H215" s="238">
        <v>211326</v>
      </c>
      <c r="I215" s="239">
        <v>213904</v>
      </c>
      <c r="J215" s="238">
        <v>1391</v>
      </c>
      <c r="K215" s="240">
        <v>722</v>
      </c>
      <c r="L215" s="238">
        <v>16697</v>
      </c>
      <c r="M215" s="238">
        <v>2439</v>
      </c>
      <c r="N215" s="238">
        <v>0</v>
      </c>
      <c r="O215" s="239">
        <v>22202</v>
      </c>
      <c r="P215" s="239">
        <v>876</v>
      </c>
      <c r="Q215" s="240"/>
      <c r="R215" s="238">
        <v>0</v>
      </c>
      <c r="S215" s="240"/>
      <c r="T215" s="236">
        <f t="shared" si="21"/>
        <v>11568</v>
      </c>
      <c r="U215" s="237">
        <f t="shared" si="22"/>
        <v>11379</v>
      </c>
      <c r="V215" s="238">
        <v>5917</v>
      </c>
      <c r="W215" s="239">
        <v>4958</v>
      </c>
      <c r="X215" s="241">
        <v>159</v>
      </c>
      <c r="Y215" s="240">
        <v>548</v>
      </c>
      <c r="Z215" s="238">
        <v>2702</v>
      </c>
      <c r="AA215" s="238">
        <v>2790</v>
      </c>
      <c r="AB215" s="238">
        <v>0</v>
      </c>
      <c r="AC215" s="239">
        <v>4287</v>
      </c>
      <c r="AD215" s="239">
        <v>1586</v>
      </c>
      <c r="AE215" s="240"/>
      <c r="AF215" s="238">
        <v>0</v>
      </c>
      <c r="AG215" s="239"/>
    </row>
    <row r="216" spans="1:33" x14ac:dyDescent="0.2">
      <c r="A216" s="447" t="s">
        <v>46</v>
      </c>
      <c r="B216" s="448" t="s">
        <v>744</v>
      </c>
      <c r="C216" s="496" t="s">
        <v>734</v>
      </c>
      <c r="D216" s="451">
        <v>161873</v>
      </c>
      <c r="E216" s="452">
        <v>4</v>
      </c>
      <c r="F216" s="235">
        <f t="shared" si="19"/>
        <v>71004</v>
      </c>
      <c r="G216" s="234">
        <f t="shared" si="20"/>
        <v>73693</v>
      </c>
      <c r="H216" s="238">
        <v>57496</v>
      </c>
      <c r="I216" s="239">
        <v>59629</v>
      </c>
      <c r="J216" s="238">
        <v>967</v>
      </c>
      <c r="K216" s="240">
        <v>1578</v>
      </c>
      <c r="L216" s="238">
        <v>12541</v>
      </c>
      <c r="M216" s="238">
        <v>0</v>
      </c>
      <c r="N216" s="238">
        <v>0</v>
      </c>
      <c r="O216" s="239">
        <v>12486</v>
      </c>
      <c r="P216" s="239"/>
      <c r="Q216" s="240"/>
      <c r="R216" s="238">
        <v>0</v>
      </c>
      <c r="S216" s="240"/>
      <c r="T216" s="236">
        <f t="shared" si="21"/>
        <v>56542</v>
      </c>
      <c r="U216" s="237">
        <f t="shared" si="22"/>
        <v>55850</v>
      </c>
      <c r="V216" s="238">
        <v>46274</v>
      </c>
      <c r="W216" s="239">
        <v>44988</v>
      </c>
      <c r="X216" s="241">
        <v>1754</v>
      </c>
      <c r="Y216" s="240">
        <v>2106</v>
      </c>
      <c r="Z216" s="238">
        <v>8514</v>
      </c>
      <c r="AA216" s="238">
        <v>0</v>
      </c>
      <c r="AB216" s="238">
        <v>0</v>
      </c>
      <c r="AC216" s="239">
        <v>8756</v>
      </c>
      <c r="AD216" s="239"/>
      <c r="AE216" s="240"/>
      <c r="AF216" s="238">
        <v>0</v>
      </c>
      <c r="AG216" s="239"/>
    </row>
    <row r="217" spans="1:33" x14ac:dyDescent="0.2">
      <c r="A217" s="447" t="s">
        <v>46</v>
      </c>
      <c r="B217" s="448" t="s">
        <v>745</v>
      </c>
      <c r="C217" s="496"/>
      <c r="D217" s="451">
        <v>163338</v>
      </c>
      <c r="E217" s="452">
        <v>4</v>
      </c>
      <c r="F217" s="235">
        <f t="shared" si="19"/>
        <v>114098.5</v>
      </c>
      <c r="G217" s="234">
        <f t="shared" si="20"/>
        <v>110514.5</v>
      </c>
      <c r="H217" s="238">
        <v>106429.5</v>
      </c>
      <c r="I217" s="239">
        <v>101176</v>
      </c>
      <c r="J217" s="238">
        <v>2637</v>
      </c>
      <c r="K217" s="240">
        <v>2295.5</v>
      </c>
      <c r="L217" s="238">
        <v>5032</v>
      </c>
      <c r="M217" s="238">
        <v>0</v>
      </c>
      <c r="N217" s="238">
        <v>0</v>
      </c>
      <c r="O217" s="239">
        <v>7043</v>
      </c>
      <c r="P217" s="239"/>
      <c r="Q217" s="240"/>
      <c r="R217" s="238">
        <v>0</v>
      </c>
      <c r="S217" s="240"/>
      <c r="T217" s="236">
        <f t="shared" si="21"/>
        <v>14028.5</v>
      </c>
      <c r="U217" s="237">
        <f t="shared" si="22"/>
        <v>16201.5</v>
      </c>
      <c r="V217" s="238">
        <v>13716.5</v>
      </c>
      <c r="W217" s="239">
        <v>15892.5</v>
      </c>
      <c r="X217" s="241">
        <v>99</v>
      </c>
      <c r="Y217" s="240">
        <v>170</v>
      </c>
      <c r="Z217" s="238">
        <v>213</v>
      </c>
      <c r="AA217" s="238">
        <v>0</v>
      </c>
      <c r="AB217" s="238">
        <v>0</v>
      </c>
      <c r="AC217" s="239">
        <v>139</v>
      </c>
      <c r="AD217" s="239"/>
      <c r="AE217" s="240"/>
      <c r="AF217" s="238">
        <v>0</v>
      </c>
      <c r="AG217" s="239"/>
    </row>
    <row r="218" spans="1:33" x14ac:dyDescent="0.2">
      <c r="A218" s="447" t="s">
        <v>46</v>
      </c>
      <c r="B218" s="448" t="s">
        <v>741</v>
      </c>
      <c r="C218" s="502" t="s">
        <v>765</v>
      </c>
      <c r="D218" s="451">
        <v>162283</v>
      </c>
      <c r="E218" s="503">
        <v>5</v>
      </c>
      <c r="F218" s="235">
        <f t="shared" si="19"/>
        <v>90877</v>
      </c>
      <c r="G218" s="234">
        <f t="shared" si="20"/>
        <v>85693</v>
      </c>
      <c r="H218" s="238">
        <v>81079</v>
      </c>
      <c r="I218" s="239">
        <v>73954</v>
      </c>
      <c r="J218" s="238">
        <v>0</v>
      </c>
      <c r="K218" s="240">
        <v>1175</v>
      </c>
      <c r="L218" s="238">
        <v>9798</v>
      </c>
      <c r="M218" s="238">
        <v>0</v>
      </c>
      <c r="N218" s="238">
        <v>0</v>
      </c>
      <c r="O218" s="239">
        <v>10564</v>
      </c>
      <c r="P218" s="239">
        <v>0</v>
      </c>
      <c r="Q218" s="240">
        <v>0</v>
      </c>
      <c r="R218" s="238">
        <v>0</v>
      </c>
      <c r="S218" s="240"/>
      <c r="T218" s="236">
        <f t="shared" si="21"/>
        <v>6866</v>
      </c>
      <c r="U218" s="237">
        <f t="shared" si="22"/>
        <v>6265</v>
      </c>
      <c r="V218" s="238">
        <v>5747</v>
      </c>
      <c r="W218" s="239">
        <v>4964</v>
      </c>
      <c r="X218" s="241">
        <v>336</v>
      </c>
      <c r="Y218" s="240">
        <v>819</v>
      </c>
      <c r="Z218" s="238">
        <v>783</v>
      </c>
      <c r="AA218" s="238">
        <v>0</v>
      </c>
      <c r="AB218" s="238">
        <v>0</v>
      </c>
      <c r="AC218" s="239">
        <v>482</v>
      </c>
      <c r="AD218" s="239"/>
      <c r="AE218" s="240"/>
      <c r="AF218" s="238">
        <v>0</v>
      </c>
      <c r="AG218" s="239"/>
    </row>
    <row r="219" spans="1:33" x14ac:dyDescent="0.2">
      <c r="A219" s="447" t="s">
        <v>46</v>
      </c>
      <c r="B219" s="448" t="s">
        <v>746</v>
      </c>
      <c r="C219" s="496"/>
      <c r="D219" s="451">
        <v>163912</v>
      </c>
      <c r="E219" s="452">
        <v>6</v>
      </c>
      <c r="F219" s="235">
        <f t="shared" si="19"/>
        <v>65152.5</v>
      </c>
      <c r="G219" s="234">
        <f t="shared" si="20"/>
        <v>63667</v>
      </c>
      <c r="H219" s="238">
        <v>65152.5</v>
      </c>
      <c r="I219" s="239">
        <v>63667</v>
      </c>
      <c r="J219" s="238">
        <v>0</v>
      </c>
      <c r="K219" s="240"/>
      <c r="L219" s="238">
        <v>0</v>
      </c>
      <c r="M219" s="238">
        <v>0</v>
      </c>
      <c r="N219" s="238">
        <v>0</v>
      </c>
      <c r="O219" s="239"/>
      <c r="P219" s="239"/>
      <c r="Q219" s="240"/>
      <c r="R219" s="238">
        <v>0</v>
      </c>
      <c r="S219" s="240"/>
      <c r="T219" s="236">
        <f t="shared" si="21"/>
        <v>1577</v>
      </c>
      <c r="U219" s="237">
        <f t="shared" si="22"/>
        <v>1133</v>
      </c>
      <c r="V219" s="238">
        <v>1577</v>
      </c>
      <c r="W219" s="239">
        <v>1133</v>
      </c>
      <c r="X219" s="241"/>
      <c r="Y219" s="240"/>
      <c r="Z219" s="238">
        <v>0</v>
      </c>
      <c r="AA219" s="238">
        <v>0</v>
      </c>
      <c r="AB219" s="238">
        <v>0</v>
      </c>
      <c r="AC219" s="239"/>
      <c r="AD219" s="239"/>
      <c r="AE219" s="240"/>
      <c r="AF219" s="238">
        <v>0</v>
      </c>
      <c r="AG219" s="239"/>
    </row>
    <row r="220" spans="1:33" x14ac:dyDescent="0.2">
      <c r="A220" s="447" t="s">
        <v>46</v>
      </c>
      <c r="B220" s="448" t="s">
        <v>747</v>
      </c>
      <c r="C220" s="496"/>
      <c r="D220" s="451">
        <v>161767</v>
      </c>
      <c r="E220" s="449">
        <v>8</v>
      </c>
      <c r="F220" s="235">
        <f t="shared" si="19"/>
        <v>331724</v>
      </c>
      <c r="G220" s="234">
        <f t="shared" si="20"/>
        <v>324283</v>
      </c>
      <c r="H220" s="238">
        <v>247819</v>
      </c>
      <c r="I220" s="239">
        <v>234858</v>
      </c>
      <c r="J220" s="238">
        <v>4294</v>
      </c>
      <c r="K220" s="240">
        <v>4278</v>
      </c>
      <c r="L220" s="238">
        <v>79373</v>
      </c>
      <c r="M220" s="238">
        <v>238</v>
      </c>
      <c r="N220" s="238">
        <v>0</v>
      </c>
      <c r="O220" s="239">
        <v>84859</v>
      </c>
      <c r="P220" s="239">
        <v>288</v>
      </c>
      <c r="Q220" s="240"/>
      <c r="R220" s="238">
        <v>0</v>
      </c>
      <c r="S220" s="240"/>
      <c r="T220" s="236">
        <f t="shared" si="21"/>
        <v>0</v>
      </c>
      <c r="U220" s="237">
        <f t="shared" si="22"/>
        <v>0</v>
      </c>
      <c r="V220" s="238"/>
      <c r="W220" s="239"/>
      <c r="X220" s="241"/>
      <c r="Y220" s="240"/>
      <c r="Z220" s="238"/>
      <c r="AA220" s="238"/>
      <c r="AB220" s="238"/>
      <c r="AC220" s="239"/>
      <c r="AD220" s="239"/>
      <c r="AE220" s="240"/>
      <c r="AF220" s="238"/>
      <c r="AG220" s="239"/>
    </row>
    <row r="221" spans="1:33" x14ac:dyDescent="0.2">
      <c r="A221" s="447" t="s">
        <v>46</v>
      </c>
      <c r="B221" s="448" t="s">
        <v>748</v>
      </c>
      <c r="C221" s="497"/>
      <c r="D221" s="451">
        <v>162122</v>
      </c>
      <c r="E221" s="450">
        <v>8</v>
      </c>
      <c r="F221" s="235">
        <f t="shared" si="19"/>
        <v>169607</v>
      </c>
      <c r="G221" s="234">
        <f t="shared" si="20"/>
        <v>172118</v>
      </c>
      <c r="H221" s="238">
        <v>112709</v>
      </c>
      <c r="I221" s="239">
        <v>110877</v>
      </c>
      <c r="J221" s="238">
        <v>4684</v>
      </c>
      <c r="K221" s="240">
        <v>4148</v>
      </c>
      <c r="L221" s="238">
        <v>50522</v>
      </c>
      <c r="M221" s="238">
        <v>832</v>
      </c>
      <c r="N221" s="238">
        <v>860</v>
      </c>
      <c r="O221" s="239">
        <v>56099</v>
      </c>
      <c r="P221" s="239">
        <v>635</v>
      </c>
      <c r="Q221" s="240">
        <v>359</v>
      </c>
      <c r="R221" s="238">
        <v>0</v>
      </c>
      <c r="S221" s="240"/>
      <c r="T221" s="236">
        <f t="shared" si="21"/>
        <v>0</v>
      </c>
      <c r="U221" s="237">
        <f t="shared" si="22"/>
        <v>0</v>
      </c>
      <c r="V221" s="238"/>
      <c r="W221" s="239"/>
      <c r="X221" s="241"/>
      <c r="Y221" s="240"/>
      <c r="Z221" s="238"/>
      <c r="AA221" s="238"/>
      <c r="AB221" s="238"/>
      <c r="AC221" s="239"/>
      <c r="AD221" s="239"/>
      <c r="AE221" s="240"/>
      <c r="AF221" s="238"/>
      <c r="AG221" s="239"/>
    </row>
    <row r="222" spans="1:33" x14ac:dyDescent="0.2">
      <c r="A222" s="447" t="s">
        <v>46</v>
      </c>
      <c r="B222" s="448" t="s">
        <v>749</v>
      </c>
      <c r="C222" s="496"/>
      <c r="D222" s="451">
        <v>434672</v>
      </c>
      <c r="E222" s="449">
        <v>8</v>
      </c>
      <c r="F222" s="235">
        <f t="shared" si="19"/>
        <v>483407.5</v>
      </c>
      <c r="G222" s="234">
        <f t="shared" si="20"/>
        <v>468089</v>
      </c>
      <c r="H222" s="238">
        <v>390798</v>
      </c>
      <c r="I222" s="239">
        <v>367911</v>
      </c>
      <c r="J222" s="238">
        <v>36171.5</v>
      </c>
      <c r="K222" s="240">
        <v>41700.5</v>
      </c>
      <c r="L222" s="238">
        <v>56039</v>
      </c>
      <c r="M222" s="238">
        <v>399</v>
      </c>
      <c r="N222" s="238">
        <v>0</v>
      </c>
      <c r="O222" s="239">
        <v>58180.5</v>
      </c>
      <c r="P222" s="239">
        <v>297</v>
      </c>
      <c r="Q222" s="240"/>
      <c r="R222" s="238">
        <v>0</v>
      </c>
      <c r="S222" s="240"/>
      <c r="T222" s="236">
        <f t="shared" si="21"/>
        <v>0</v>
      </c>
      <c r="U222" s="237">
        <f t="shared" si="22"/>
        <v>0</v>
      </c>
      <c r="V222" s="238"/>
      <c r="W222" s="239"/>
      <c r="X222" s="241"/>
      <c r="Y222" s="240"/>
      <c r="Z222" s="238"/>
      <c r="AA222" s="238"/>
      <c r="AB222" s="238"/>
      <c r="AC222" s="239"/>
      <c r="AD222" s="239"/>
      <c r="AE222" s="240"/>
      <c r="AF222" s="238"/>
      <c r="AG222" s="239"/>
    </row>
    <row r="223" spans="1:33" x14ac:dyDescent="0.2">
      <c r="A223" s="447" t="s">
        <v>46</v>
      </c>
      <c r="B223" s="448" t="s">
        <v>750</v>
      </c>
      <c r="C223" s="497"/>
      <c r="D223" s="451">
        <v>162779</v>
      </c>
      <c r="E223" s="450">
        <v>8</v>
      </c>
      <c r="F223" s="235">
        <f t="shared" si="19"/>
        <v>191227</v>
      </c>
      <c r="G223" s="234">
        <f t="shared" si="20"/>
        <v>194446</v>
      </c>
      <c r="H223" s="238">
        <v>165234</v>
      </c>
      <c r="I223" s="239">
        <v>165771</v>
      </c>
      <c r="J223" s="238">
        <v>7512</v>
      </c>
      <c r="K223" s="240">
        <v>7910</v>
      </c>
      <c r="L223" s="238">
        <v>18362</v>
      </c>
      <c r="M223" s="238">
        <v>0</v>
      </c>
      <c r="N223" s="238">
        <v>119</v>
      </c>
      <c r="O223" s="239">
        <v>20765</v>
      </c>
      <c r="P223" s="239"/>
      <c r="Q223" s="240"/>
      <c r="R223" s="238">
        <v>0</v>
      </c>
      <c r="S223" s="240"/>
      <c r="T223" s="236">
        <f t="shared" si="21"/>
        <v>0</v>
      </c>
      <c r="U223" s="237">
        <f t="shared" si="22"/>
        <v>0</v>
      </c>
      <c r="V223" s="238"/>
      <c r="W223" s="239"/>
      <c r="X223" s="241"/>
      <c r="Y223" s="240"/>
      <c r="Z223" s="238"/>
      <c r="AA223" s="238"/>
      <c r="AB223" s="238"/>
      <c r="AC223" s="239"/>
      <c r="AD223" s="239"/>
      <c r="AE223" s="240"/>
      <c r="AF223" s="238"/>
      <c r="AG223" s="239"/>
    </row>
    <row r="224" spans="1:33" x14ac:dyDescent="0.2">
      <c r="A224" s="447" t="s">
        <v>46</v>
      </c>
      <c r="B224" s="448" t="s">
        <v>751</v>
      </c>
      <c r="C224" s="496"/>
      <c r="D224" s="451">
        <v>163426</v>
      </c>
      <c r="E224" s="449">
        <v>8</v>
      </c>
      <c r="F224" s="235">
        <f t="shared" si="19"/>
        <v>538774</v>
      </c>
      <c r="G224" s="234">
        <f t="shared" si="20"/>
        <v>786047.5</v>
      </c>
      <c r="H224" s="238">
        <v>485280</v>
      </c>
      <c r="I224" s="239">
        <v>593873.9</v>
      </c>
      <c r="J224" s="238">
        <v>3237</v>
      </c>
      <c r="K224" s="240">
        <v>112854.9</v>
      </c>
      <c r="L224" s="238">
        <v>50257</v>
      </c>
      <c r="M224" s="238">
        <v>0</v>
      </c>
      <c r="N224" s="238">
        <v>0</v>
      </c>
      <c r="O224" s="239">
        <v>79318.7</v>
      </c>
      <c r="P224" s="239"/>
      <c r="Q224" s="240"/>
      <c r="R224" s="238">
        <v>0</v>
      </c>
      <c r="S224" s="240"/>
      <c r="T224" s="236">
        <f t="shared" si="21"/>
        <v>0</v>
      </c>
      <c r="U224" s="237">
        <f t="shared" si="22"/>
        <v>0</v>
      </c>
      <c r="V224" s="238"/>
      <c r="W224" s="239"/>
      <c r="X224" s="241"/>
      <c r="Y224" s="240"/>
      <c r="Z224" s="238"/>
      <c r="AA224" s="238"/>
      <c r="AB224" s="238"/>
      <c r="AC224" s="239"/>
      <c r="AD224" s="239"/>
      <c r="AE224" s="240"/>
      <c r="AF224" s="238"/>
      <c r="AG224" s="239"/>
    </row>
    <row r="225" spans="1:33" x14ac:dyDescent="0.2">
      <c r="A225" s="447" t="s">
        <v>46</v>
      </c>
      <c r="B225" s="448" t="s">
        <v>752</v>
      </c>
      <c r="C225" s="496"/>
      <c r="D225" s="451">
        <v>163657</v>
      </c>
      <c r="E225" s="449">
        <v>8</v>
      </c>
      <c r="F225" s="235">
        <f t="shared" si="19"/>
        <v>391184</v>
      </c>
      <c r="G225" s="234">
        <f t="shared" si="20"/>
        <v>378850</v>
      </c>
      <c r="H225" s="238">
        <v>221513</v>
      </c>
      <c r="I225" s="239">
        <v>214080</v>
      </c>
      <c r="J225" s="238">
        <v>124659</v>
      </c>
      <c r="K225" s="240">
        <v>118361</v>
      </c>
      <c r="L225" s="238">
        <v>45012</v>
      </c>
      <c r="M225" s="238">
        <v>0</v>
      </c>
      <c r="N225" s="238">
        <v>0</v>
      </c>
      <c r="O225" s="239">
        <v>46409</v>
      </c>
      <c r="P225" s="239"/>
      <c r="Q225" s="240"/>
      <c r="R225" s="238">
        <v>0</v>
      </c>
      <c r="S225" s="240"/>
      <c r="T225" s="236">
        <f t="shared" si="21"/>
        <v>0</v>
      </c>
      <c r="U225" s="237">
        <f t="shared" si="22"/>
        <v>0</v>
      </c>
      <c r="V225" s="238"/>
      <c r="W225" s="239"/>
      <c r="X225" s="241"/>
      <c r="Y225" s="240"/>
      <c r="Z225" s="238"/>
      <c r="AA225" s="238"/>
      <c r="AB225" s="238"/>
      <c r="AC225" s="239"/>
      <c r="AD225" s="239"/>
      <c r="AE225" s="240"/>
      <c r="AF225" s="238"/>
      <c r="AG225" s="239"/>
    </row>
    <row r="226" spans="1:33" x14ac:dyDescent="0.2">
      <c r="A226" s="506" t="s">
        <v>46</v>
      </c>
      <c r="B226" s="448" t="s">
        <v>753</v>
      </c>
      <c r="C226" s="496"/>
      <c r="D226" s="498">
        <v>161688</v>
      </c>
      <c r="E226" s="499">
        <v>9</v>
      </c>
      <c r="F226" s="235">
        <f t="shared" si="19"/>
        <v>79998</v>
      </c>
      <c r="G226" s="234">
        <f t="shared" si="20"/>
        <v>75627</v>
      </c>
      <c r="H226" s="238">
        <v>54308</v>
      </c>
      <c r="I226" s="239">
        <v>49704</v>
      </c>
      <c r="J226" s="238">
        <v>13184</v>
      </c>
      <c r="K226" s="240">
        <v>15099</v>
      </c>
      <c r="L226" s="238">
        <v>10469</v>
      </c>
      <c r="M226" s="238">
        <v>2037</v>
      </c>
      <c r="N226" s="238">
        <v>0</v>
      </c>
      <c r="O226" s="239">
        <v>9173</v>
      </c>
      <c r="P226" s="239">
        <v>1651</v>
      </c>
      <c r="Q226" s="240"/>
      <c r="R226" s="238">
        <v>0</v>
      </c>
      <c r="S226" s="240"/>
      <c r="T226" s="236">
        <f t="shared" si="21"/>
        <v>0</v>
      </c>
      <c r="U226" s="237">
        <f t="shared" si="22"/>
        <v>0</v>
      </c>
      <c r="V226" s="238"/>
      <c r="W226" s="239"/>
      <c r="X226" s="241"/>
      <c r="Y226" s="240"/>
      <c r="Z226" s="238"/>
      <c r="AA226" s="238"/>
      <c r="AB226" s="238"/>
      <c r="AC226" s="239"/>
      <c r="AD226" s="239"/>
      <c r="AE226" s="240"/>
      <c r="AF226" s="238"/>
      <c r="AG226" s="239"/>
    </row>
    <row r="227" spans="1:33" x14ac:dyDescent="0.2">
      <c r="A227" s="447" t="s">
        <v>46</v>
      </c>
      <c r="B227" s="448" t="s">
        <v>754</v>
      </c>
      <c r="C227" s="496"/>
      <c r="D227" s="451">
        <v>161864</v>
      </c>
      <c r="E227" s="449">
        <v>9</v>
      </c>
      <c r="F227" s="235">
        <f t="shared" si="19"/>
        <v>151159</v>
      </c>
      <c r="G227" s="234">
        <f t="shared" si="20"/>
        <v>85360</v>
      </c>
      <c r="H227" s="238">
        <v>119734</v>
      </c>
      <c r="I227" s="239">
        <v>50590</v>
      </c>
      <c r="J227" s="238">
        <v>3374</v>
      </c>
      <c r="K227" s="240">
        <v>10276</v>
      </c>
      <c r="L227" s="238">
        <v>28051</v>
      </c>
      <c r="M227" s="238">
        <v>0</v>
      </c>
      <c r="N227" s="238">
        <v>0</v>
      </c>
      <c r="O227" s="239">
        <v>24494</v>
      </c>
      <c r="P227" s="239"/>
      <c r="Q227" s="240"/>
      <c r="R227" s="238">
        <v>0</v>
      </c>
      <c r="S227" s="240"/>
      <c r="T227" s="236">
        <f t="shared" si="21"/>
        <v>0</v>
      </c>
      <c r="U227" s="237">
        <f t="shared" si="22"/>
        <v>0</v>
      </c>
      <c r="V227" s="238"/>
      <c r="W227" s="239"/>
      <c r="X227" s="241"/>
      <c r="Y227" s="240"/>
      <c r="Z227" s="238"/>
      <c r="AA227" s="238"/>
      <c r="AB227" s="238"/>
      <c r="AC227" s="239"/>
      <c r="AD227" s="239"/>
      <c r="AE227" s="240"/>
      <c r="AF227" s="238"/>
      <c r="AG227" s="239"/>
    </row>
    <row r="228" spans="1:33" x14ac:dyDescent="0.2">
      <c r="A228" s="447" t="s">
        <v>46</v>
      </c>
      <c r="B228" s="500" t="s">
        <v>755</v>
      </c>
      <c r="C228" s="501"/>
      <c r="D228" s="454">
        <v>405872</v>
      </c>
      <c r="E228" s="449">
        <v>9</v>
      </c>
      <c r="F228" s="235">
        <f t="shared" si="19"/>
        <v>81913.5</v>
      </c>
      <c r="G228" s="234">
        <f t="shared" si="20"/>
        <v>83916</v>
      </c>
      <c r="H228" s="238">
        <v>72208.5</v>
      </c>
      <c r="I228" s="239">
        <v>71610</v>
      </c>
      <c r="J228" s="238">
        <v>8</v>
      </c>
      <c r="K228" s="240">
        <v>404</v>
      </c>
      <c r="L228" s="238">
        <v>9568</v>
      </c>
      <c r="M228" s="238">
        <v>129</v>
      </c>
      <c r="N228" s="238">
        <v>0</v>
      </c>
      <c r="O228" s="239">
        <v>11830</v>
      </c>
      <c r="P228" s="239">
        <v>72</v>
      </c>
      <c r="Q228" s="240"/>
      <c r="R228" s="238">
        <v>0</v>
      </c>
      <c r="S228" s="240"/>
      <c r="T228" s="236">
        <f t="shared" si="21"/>
        <v>0</v>
      </c>
      <c r="U228" s="237">
        <f t="shared" si="22"/>
        <v>0</v>
      </c>
      <c r="V228" s="238"/>
      <c r="W228" s="239"/>
      <c r="X228" s="241"/>
      <c r="Y228" s="240"/>
      <c r="Z228" s="238"/>
      <c r="AA228" s="238"/>
      <c r="AB228" s="238"/>
      <c r="AC228" s="239"/>
      <c r="AD228" s="239"/>
      <c r="AE228" s="240"/>
      <c r="AF228" s="238"/>
      <c r="AG228" s="239"/>
    </row>
    <row r="229" spans="1:33" x14ac:dyDescent="0.2">
      <c r="A229" s="447" t="s">
        <v>46</v>
      </c>
      <c r="B229" s="448" t="s">
        <v>756</v>
      </c>
      <c r="C229" s="496"/>
      <c r="D229" s="451">
        <v>162557</v>
      </c>
      <c r="E229" s="449">
        <v>9</v>
      </c>
      <c r="F229" s="235">
        <f t="shared" ref="F229:F262" si="23">SUM(H229,J229,L229,M229,N229,R229)</f>
        <v>124210</v>
      </c>
      <c r="G229" s="234">
        <f t="shared" ref="G229:G262" si="24">SUM(I229,K229,O229,P229,Q229,S229)</f>
        <v>120450</v>
      </c>
      <c r="H229" s="238">
        <v>105611</v>
      </c>
      <c r="I229" s="239">
        <v>101080</v>
      </c>
      <c r="J229" s="238">
        <v>3061</v>
      </c>
      <c r="K229" s="240">
        <v>5185</v>
      </c>
      <c r="L229" s="238">
        <v>15538</v>
      </c>
      <c r="M229" s="238">
        <v>0</v>
      </c>
      <c r="N229" s="238">
        <v>0</v>
      </c>
      <c r="O229" s="239">
        <v>14185</v>
      </c>
      <c r="P229" s="239"/>
      <c r="Q229" s="240"/>
      <c r="R229" s="238">
        <v>0</v>
      </c>
      <c r="S229" s="240"/>
      <c r="T229" s="236">
        <f t="shared" ref="T229:T265" si="25">SUM(V229,X229,Z229,AA229,AB229,AF229)</f>
        <v>0</v>
      </c>
      <c r="U229" s="237">
        <f t="shared" ref="U229:U265" si="26">SUM(W229,Y229,AC229,AD229,AE229,AG229)</f>
        <v>0</v>
      </c>
      <c r="V229" s="238"/>
      <c r="W229" s="239"/>
      <c r="X229" s="241"/>
      <c r="Y229" s="240"/>
      <c r="Z229" s="238"/>
      <c r="AA229" s="238"/>
      <c r="AB229" s="238"/>
      <c r="AC229" s="239"/>
      <c r="AD229" s="239"/>
      <c r="AE229" s="240"/>
      <c r="AF229" s="238"/>
      <c r="AG229" s="239"/>
    </row>
    <row r="230" spans="1:33" x14ac:dyDescent="0.2">
      <c r="A230" s="506" t="s">
        <v>46</v>
      </c>
      <c r="B230" s="448" t="s">
        <v>757</v>
      </c>
      <c r="C230" s="496"/>
      <c r="D230" s="498">
        <v>162690</v>
      </c>
      <c r="E230" s="449">
        <v>9</v>
      </c>
      <c r="F230" s="235">
        <f t="shared" si="23"/>
        <v>95008</v>
      </c>
      <c r="G230" s="234">
        <f t="shared" si="24"/>
        <v>95709</v>
      </c>
      <c r="H230" s="238">
        <v>74544</v>
      </c>
      <c r="I230" s="239">
        <v>71430</v>
      </c>
      <c r="J230" s="238">
        <v>6491</v>
      </c>
      <c r="K230" s="240">
        <v>7072</v>
      </c>
      <c r="L230" s="238">
        <v>13860</v>
      </c>
      <c r="M230" s="238">
        <v>0</v>
      </c>
      <c r="N230" s="238">
        <v>0</v>
      </c>
      <c r="O230" s="239">
        <v>17207</v>
      </c>
      <c r="P230" s="239"/>
      <c r="Q230" s="240"/>
      <c r="R230" s="238">
        <v>113</v>
      </c>
      <c r="S230" s="240"/>
      <c r="T230" s="236">
        <f t="shared" si="25"/>
        <v>0</v>
      </c>
      <c r="U230" s="237">
        <f t="shared" si="26"/>
        <v>0</v>
      </c>
      <c r="V230" s="238"/>
      <c r="W230" s="239"/>
      <c r="X230" s="241"/>
      <c r="Y230" s="240"/>
      <c r="Z230" s="238"/>
      <c r="AA230" s="238"/>
      <c r="AB230" s="238"/>
      <c r="AC230" s="239"/>
      <c r="AD230" s="239"/>
      <c r="AE230" s="240"/>
      <c r="AF230" s="238"/>
      <c r="AG230" s="239"/>
    </row>
    <row r="231" spans="1:33" x14ac:dyDescent="0.2">
      <c r="A231" s="447" t="s">
        <v>46</v>
      </c>
      <c r="B231" s="448" t="s">
        <v>758</v>
      </c>
      <c r="C231" s="496"/>
      <c r="D231" s="451">
        <v>162706</v>
      </c>
      <c r="E231" s="449">
        <v>9</v>
      </c>
      <c r="F231" s="235">
        <f t="shared" si="23"/>
        <v>134794</v>
      </c>
      <c r="G231" s="234">
        <f t="shared" si="24"/>
        <v>135462.5</v>
      </c>
      <c r="H231" s="238">
        <v>103584</v>
      </c>
      <c r="I231" s="239">
        <v>102279.5</v>
      </c>
      <c r="J231" s="238">
        <v>1907</v>
      </c>
      <c r="K231" s="240">
        <v>1821</v>
      </c>
      <c r="L231" s="238">
        <v>29303</v>
      </c>
      <c r="M231" s="238">
        <v>0</v>
      </c>
      <c r="N231" s="238">
        <v>0</v>
      </c>
      <c r="O231" s="239">
        <v>31362</v>
      </c>
      <c r="P231" s="239"/>
      <c r="Q231" s="240"/>
      <c r="R231" s="238">
        <v>0</v>
      </c>
      <c r="S231" s="240"/>
      <c r="T231" s="236">
        <f t="shared" si="25"/>
        <v>0</v>
      </c>
      <c r="U231" s="237">
        <f t="shared" si="26"/>
        <v>0</v>
      </c>
      <c r="V231" s="238"/>
      <c r="W231" s="239"/>
      <c r="X231" s="241"/>
      <c r="Y231" s="240"/>
      <c r="Z231" s="238"/>
      <c r="AA231" s="238"/>
      <c r="AB231" s="238"/>
      <c r="AC231" s="239"/>
      <c r="AD231" s="239"/>
      <c r="AE231" s="240"/>
      <c r="AF231" s="238"/>
      <c r="AG231" s="239"/>
    </row>
    <row r="232" spans="1:33" x14ac:dyDescent="0.2">
      <c r="A232" s="447" t="s">
        <v>46</v>
      </c>
      <c r="B232" s="500" t="s">
        <v>759</v>
      </c>
      <c r="C232" s="501"/>
      <c r="D232" s="454">
        <v>164313</v>
      </c>
      <c r="E232" s="449">
        <v>9</v>
      </c>
      <c r="F232" s="235">
        <f t="shared" si="23"/>
        <v>76900</v>
      </c>
      <c r="G232" s="234">
        <f t="shared" si="24"/>
        <v>71490.5</v>
      </c>
      <c r="H232" s="238">
        <v>66734</v>
      </c>
      <c r="I232" s="239">
        <v>61755.5</v>
      </c>
      <c r="J232" s="238">
        <v>1564</v>
      </c>
      <c r="K232" s="240">
        <v>1810</v>
      </c>
      <c r="L232" s="238">
        <v>8503</v>
      </c>
      <c r="M232" s="238">
        <v>99</v>
      </c>
      <c r="N232" s="238">
        <v>0</v>
      </c>
      <c r="O232" s="239">
        <v>7853</v>
      </c>
      <c r="P232" s="239">
        <v>72</v>
      </c>
      <c r="Q232" s="240"/>
      <c r="R232" s="238">
        <v>0</v>
      </c>
      <c r="S232" s="240"/>
      <c r="T232" s="236">
        <f t="shared" si="25"/>
        <v>0</v>
      </c>
      <c r="U232" s="237">
        <f t="shared" si="26"/>
        <v>0</v>
      </c>
      <c r="V232" s="238"/>
      <c r="W232" s="239"/>
      <c r="X232" s="241"/>
      <c r="Y232" s="240"/>
      <c r="Z232" s="238"/>
      <c r="AA232" s="238"/>
      <c r="AB232" s="238"/>
      <c r="AC232" s="239"/>
      <c r="AD232" s="239"/>
      <c r="AE232" s="240"/>
      <c r="AF232" s="238"/>
      <c r="AG232" s="239"/>
    </row>
    <row r="233" spans="1:33" x14ac:dyDescent="0.2">
      <c r="A233" s="447" t="s">
        <v>46</v>
      </c>
      <c r="B233" s="448" t="s">
        <v>760</v>
      </c>
      <c r="C233" s="496"/>
      <c r="D233" s="451">
        <v>162104</v>
      </c>
      <c r="E233" s="449">
        <v>10</v>
      </c>
      <c r="F233" s="235">
        <f t="shared" si="23"/>
        <v>49051</v>
      </c>
      <c r="G233" s="234">
        <f t="shared" si="24"/>
        <v>50854</v>
      </c>
      <c r="H233" s="238">
        <v>38745</v>
      </c>
      <c r="I233" s="239">
        <v>38408</v>
      </c>
      <c r="J233" s="238">
        <v>665</v>
      </c>
      <c r="K233" s="240">
        <v>779</v>
      </c>
      <c r="L233" s="238">
        <v>9641</v>
      </c>
      <c r="M233" s="238">
        <v>0</v>
      </c>
      <c r="N233" s="238">
        <v>0</v>
      </c>
      <c r="O233" s="239">
        <v>11667</v>
      </c>
      <c r="P233" s="239"/>
      <c r="Q233" s="240"/>
      <c r="R233" s="238">
        <v>0</v>
      </c>
      <c r="S233" s="240"/>
      <c r="T233" s="236">
        <f t="shared" si="25"/>
        <v>0</v>
      </c>
      <c r="U233" s="237">
        <f t="shared" si="26"/>
        <v>0</v>
      </c>
      <c r="V233" s="238"/>
      <c r="W233" s="239"/>
      <c r="X233" s="241"/>
      <c r="Y233" s="240"/>
      <c r="Z233" s="238"/>
      <c r="AA233" s="238"/>
      <c r="AB233" s="238"/>
      <c r="AC233" s="239"/>
      <c r="AD233" s="239"/>
      <c r="AE233" s="240"/>
      <c r="AF233" s="238"/>
      <c r="AG233" s="239"/>
    </row>
    <row r="234" spans="1:33" x14ac:dyDescent="0.2">
      <c r="A234" s="447" t="s">
        <v>46</v>
      </c>
      <c r="B234" s="448" t="s">
        <v>761</v>
      </c>
      <c r="C234" s="496"/>
      <c r="D234" s="451">
        <v>162168</v>
      </c>
      <c r="E234" s="449">
        <v>10</v>
      </c>
      <c r="F234" s="235">
        <f t="shared" si="23"/>
        <v>52932</v>
      </c>
      <c r="G234" s="234">
        <f t="shared" si="24"/>
        <v>49835</v>
      </c>
      <c r="H234" s="238">
        <v>34103</v>
      </c>
      <c r="I234" s="239">
        <v>32698</v>
      </c>
      <c r="J234" s="238">
        <v>8976</v>
      </c>
      <c r="K234" s="240">
        <v>7932</v>
      </c>
      <c r="L234" s="238">
        <v>8911</v>
      </c>
      <c r="M234" s="238">
        <v>942</v>
      </c>
      <c r="N234" s="238">
        <v>0</v>
      </c>
      <c r="O234" s="239">
        <v>8341</v>
      </c>
      <c r="P234" s="239">
        <v>864</v>
      </c>
      <c r="Q234" s="240">
        <v>0</v>
      </c>
      <c r="R234" s="238">
        <v>0</v>
      </c>
      <c r="S234" s="240"/>
      <c r="T234" s="236">
        <f t="shared" si="25"/>
        <v>0</v>
      </c>
      <c r="U234" s="237">
        <f t="shared" si="26"/>
        <v>0</v>
      </c>
      <c r="V234" s="238"/>
      <c r="W234" s="239"/>
      <c r="X234" s="241"/>
      <c r="Y234" s="240"/>
      <c r="Z234" s="238"/>
      <c r="AA234" s="238"/>
      <c r="AB234" s="238"/>
      <c r="AC234" s="239"/>
      <c r="AD234" s="239"/>
      <c r="AE234" s="240"/>
      <c r="AF234" s="238"/>
      <c r="AG234" s="239"/>
    </row>
    <row r="235" spans="1:33" x14ac:dyDescent="0.2">
      <c r="A235" s="447" t="s">
        <v>46</v>
      </c>
      <c r="B235" s="448" t="s">
        <v>762</v>
      </c>
      <c r="C235" s="496"/>
      <c r="D235" s="451">
        <v>162609</v>
      </c>
      <c r="E235" s="449">
        <v>10</v>
      </c>
      <c r="F235" s="235">
        <f t="shared" si="23"/>
        <v>23845.75</v>
      </c>
      <c r="G235" s="234">
        <f t="shared" si="24"/>
        <v>21878</v>
      </c>
      <c r="H235" s="238">
        <v>20284.75</v>
      </c>
      <c r="I235" s="239">
        <v>17521</v>
      </c>
      <c r="J235" s="238">
        <v>837</v>
      </c>
      <c r="K235" s="240">
        <v>901</v>
      </c>
      <c r="L235" s="238">
        <v>2511</v>
      </c>
      <c r="M235" s="238">
        <v>213</v>
      </c>
      <c r="N235" s="238">
        <v>0</v>
      </c>
      <c r="O235" s="239">
        <v>3288</v>
      </c>
      <c r="P235" s="239">
        <v>168</v>
      </c>
      <c r="Q235" s="240"/>
      <c r="R235" s="238">
        <v>0</v>
      </c>
      <c r="S235" s="240"/>
      <c r="T235" s="236">
        <f t="shared" si="25"/>
        <v>0</v>
      </c>
      <c r="U235" s="237">
        <f t="shared" si="26"/>
        <v>0</v>
      </c>
      <c r="V235" s="238"/>
      <c r="W235" s="239"/>
      <c r="X235" s="241"/>
      <c r="Y235" s="240"/>
      <c r="Z235" s="238"/>
      <c r="AA235" s="238"/>
      <c r="AB235" s="238"/>
      <c r="AC235" s="239"/>
      <c r="AD235" s="239"/>
      <c r="AE235" s="240"/>
      <c r="AF235" s="238"/>
      <c r="AG235" s="239"/>
    </row>
    <row r="236" spans="1:33" x14ac:dyDescent="0.2">
      <c r="A236" s="447" t="s">
        <v>46</v>
      </c>
      <c r="B236" s="448" t="s">
        <v>763</v>
      </c>
      <c r="C236" s="496"/>
      <c r="D236" s="447">
        <v>163204</v>
      </c>
      <c r="E236" s="449">
        <v>15</v>
      </c>
      <c r="F236" s="235">
        <f t="shared" si="23"/>
        <v>467863</v>
      </c>
      <c r="G236" s="234">
        <f t="shared" si="24"/>
        <v>524542</v>
      </c>
      <c r="H236" s="238">
        <v>0</v>
      </c>
      <c r="I236" s="239"/>
      <c r="J236" s="238">
        <v>42577</v>
      </c>
      <c r="K236" s="240">
        <v>603</v>
      </c>
      <c r="L236" s="238">
        <v>425286</v>
      </c>
      <c r="M236" s="238">
        <v>0</v>
      </c>
      <c r="N236" s="238">
        <v>0</v>
      </c>
      <c r="O236" s="239">
        <v>523939</v>
      </c>
      <c r="P236" s="239"/>
      <c r="Q236" s="240"/>
      <c r="R236" s="238">
        <v>0</v>
      </c>
      <c r="S236" s="240"/>
      <c r="T236" s="236">
        <f t="shared" si="25"/>
        <v>189917</v>
      </c>
      <c r="U236" s="237">
        <f t="shared" si="26"/>
        <v>196973</v>
      </c>
      <c r="V236" s="238"/>
      <c r="W236" s="239"/>
      <c r="X236" s="241"/>
      <c r="Y236" s="240">
        <v>2943</v>
      </c>
      <c r="Z236" s="238">
        <v>189917</v>
      </c>
      <c r="AA236" s="238">
        <v>0</v>
      </c>
      <c r="AB236" s="238">
        <v>0</v>
      </c>
      <c r="AC236" s="239">
        <v>194030</v>
      </c>
      <c r="AD236" s="239"/>
      <c r="AE236" s="240"/>
      <c r="AF236" s="238">
        <v>0</v>
      </c>
      <c r="AG236" s="239"/>
    </row>
    <row r="237" spans="1:33" x14ac:dyDescent="0.2">
      <c r="A237" s="495" t="s">
        <v>46</v>
      </c>
      <c r="B237" s="448" t="s">
        <v>764</v>
      </c>
      <c r="C237" s="496"/>
      <c r="D237" s="451">
        <v>163259</v>
      </c>
      <c r="E237" s="452">
        <v>15</v>
      </c>
      <c r="F237" s="235">
        <f t="shared" ref="F237:F239" si="27">SUM(H237,J237,L237,M237,N237,R237)</f>
        <v>15749</v>
      </c>
      <c r="G237" s="234">
        <f t="shared" ref="G237:G239" si="28">SUM(I237,K237,O237,P237,Q237,S237)</f>
        <v>15932</v>
      </c>
      <c r="H237" s="604">
        <v>7122</v>
      </c>
      <c r="I237" s="239">
        <v>8025</v>
      </c>
      <c r="J237" s="604">
        <v>4929</v>
      </c>
      <c r="K237" s="240">
        <v>4651</v>
      </c>
      <c r="L237" s="604">
        <v>3698</v>
      </c>
      <c r="M237" s="238"/>
      <c r="N237" s="238"/>
      <c r="O237" s="239">
        <v>3256</v>
      </c>
      <c r="P237" s="239"/>
      <c r="Q237" s="240"/>
      <c r="R237" s="238"/>
      <c r="S237" s="240"/>
      <c r="T237" s="236">
        <f t="shared" ref="T237:T241" si="29">SUM(V237,X237,Z237,AA237,AB237,AF237)</f>
        <v>43283</v>
      </c>
      <c r="U237" s="237">
        <f t="shared" ref="U237:U241" si="30">SUM(W237,Y237,AC237,AD237,AE237,AG237)</f>
        <v>44739</v>
      </c>
      <c r="V237" s="604">
        <v>26472</v>
      </c>
      <c r="W237" s="239">
        <v>25962</v>
      </c>
      <c r="X237" s="605">
        <v>6701</v>
      </c>
      <c r="Y237" s="240">
        <v>8624</v>
      </c>
      <c r="Z237" s="604">
        <v>9299</v>
      </c>
      <c r="AA237" s="604">
        <v>669</v>
      </c>
      <c r="AB237" s="604">
        <v>142</v>
      </c>
      <c r="AC237" s="239">
        <v>9182</v>
      </c>
      <c r="AD237" s="239">
        <v>521</v>
      </c>
      <c r="AE237" s="240">
        <v>450</v>
      </c>
      <c r="AF237" s="238"/>
      <c r="AG237" s="239"/>
    </row>
    <row r="238" spans="1:33" x14ac:dyDescent="0.2">
      <c r="A238" s="388" t="s">
        <v>47</v>
      </c>
      <c r="B238" s="366" t="s">
        <v>466</v>
      </c>
      <c r="C238" s="367"/>
      <c r="D238" s="376">
        <v>176080</v>
      </c>
      <c r="E238" s="377">
        <v>1</v>
      </c>
      <c r="F238" s="235">
        <f t="shared" si="27"/>
        <v>442000</v>
      </c>
      <c r="G238" s="234">
        <f t="shared" si="28"/>
        <v>449246</v>
      </c>
      <c r="H238" s="238">
        <v>406119</v>
      </c>
      <c r="I238" s="239">
        <v>412245</v>
      </c>
      <c r="J238" s="238">
        <v>11862</v>
      </c>
      <c r="K238" s="240">
        <v>11809</v>
      </c>
      <c r="L238" s="238">
        <v>23828</v>
      </c>
      <c r="M238" s="238">
        <v>189</v>
      </c>
      <c r="N238" s="238">
        <v>0</v>
      </c>
      <c r="O238" s="239">
        <v>24859</v>
      </c>
      <c r="P238" s="239">
        <v>333</v>
      </c>
      <c r="Q238" s="240"/>
      <c r="R238" s="238">
        <v>2</v>
      </c>
      <c r="S238" s="240"/>
      <c r="T238" s="236">
        <f t="shared" si="29"/>
        <v>64674</v>
      </c>
      <c r="U238" s="237">
        <f t="shared" si="30"/>
        <v>62456</v>
      </c>
      <c r="V238" s="238">
        <v>46886</v>
      </c>
      <c r="W238" s="239">
        <v>44186</v>
      </c>
      <c r="X238" s="241">
        <v>2721</v>
      </c>
      <c r="Y238" s="240">
        <v>2566</v>
      </c>
      <c r="Z238" s="238">
        <v>14596</v>
      </c>
      <c r="AA238" s="238">
        <v>450</v>
      </c>
      <c r="AB238" s="238">
        <v>21</v>
      </c>
      <c r="AC238" s="239">
        <v>15236</v>
      </c>
      <c r="AD238" s="239">
        <v>468</v>
      </c>
      <c r="AE238" s="240" t="s">
        <v>39</v>
      </c>
      <c r="AF238" s="238"/>
      <c r="AG238" s="239"/>
    </row>
    <row r="239" spans="1:33" x14ac:dyDescent="0.2">
      <c r="A239" s="388" t="s">
        <v>47</v>
      </c>
      <c r="B239" s="366" t="s">
        <v>467</v>
      </c>
      <c r="C239" s="367" t="s">
        <v>474</v>
      </c>
      <c r="D239" s="376">
        <v>176372</v>
      </c>
      <c r="E239" s="377">
        <v>1</v>
      </c>
      <c r="F239" s="235">
        <f t="shared" si="27"/>
        <v>348323</v>
      </c>
      <c r="G239" s="234">
        <f t="shared" si="28"/>
        <v>350824</v>
      </c>
      <c r="H239" s="238">
        <v>274414</v>
      </c>
      <c r="I239" s="239">
        <v>272389</v>
      </c>
      <c r="J239" s="238">
        <v>38610</v>
      </c>
      <c r="K239" s="240">
        <v>39105</v>
      </c>
      <c r="L239" s="238">
        <v>34886</v>
      </c>
      <c r="M239" s="238">
        <v>413</v>
      </c>
      <c r="N239" s="238">
        <v>0</v>
      </c>
      <c r="O239" s="239">
        <v>38904</v>
      </c>
      <c r="P239" s="239">
        <v>393</v>
      </c>
      <c r="Q239" s="240">
        <v>33</v>
      </c>
      <c r="R239" s="238">
        <v>0</v>
      </c>
      <c r="S239" s="240"/>
      <c r="T239" s="236">
        <f t="shared" si="29"/>
        <v>58574</v>
      </c>
      <c r="U239" s="237">
        <f t="shared" si="30"/>
        <v>54828</v>
      </c>
      <c r="V239" s="238">
        <v>36161</v>
      </c>
      <c r="W239" s="239">
        <v>34817</v>
      </c>
      <c r="X239" s="241">
        <v>5089</v>
      </c>
      <c r="Y239" s="240">
        <v>5276</v>
      </c>
      <c r="Z239" s="238">
        <v>17161</v>
      </c>
      <c r="AA239" s="238">
        <v>157</v>
      </c>
      <c r="AB239" s="238">
        <v>6</v>
      </c>
      <c r="AC239" s="239">
        <v>14638</v>
      </c>
      <c r="AD239" s="239">
        <v>78</v>
      </c>
      <c r="AE239" s="240">
        <v>0</v>
      </c>
      <c r="AF239" s="238"/>
      <c r="AG239" s="239">
        <v>19</v>
      </c>
    </row>
    <row r="240" spans="1:33" x14ac:dyDescent="0.2">
      <c r="A240" s="388" t="s">
        <v>47</v>
      </c>
      <c r="B240" s="366" t="s">
        <v>468</v>
      </c>
      <c r="C240" s="367"/>
      <c r="D240" s="376">
        <v>175856</v>
      </c>
      <c r="E240" s="377">
        <v>2</v>
      </c>
      <c r="F240" s="235">
        <f t="shared" si="23"/>
        <v>171406</v>
      </c>
      <c r="G240" s="234">
        <f t="shared" si="24"/>
        <v>165458</v>
      </c>
      <c r="H240" s="238">
        <v>155157</v>
      </c>
      <c r="I240" s="239">
        <v>135003</v>
      </c>
      <c r="J240" s="238">
        <v>7941</v>
      </c>
      <c r="K240" s="240">
        <v>7415</v>
      </c>
      <c r="L240" s="238">
        <v>8308</v>
      </c>
      <c r="M240" s="238"/>
      <c r="N240" s="238"/>
      <c r="O240" s="239">
        <v>23040</v>
      </c>
      <c r="P240" s="239"/>
      <c r="Q240" s="240"/>
      <c r="R240" s="238"/>
      <c r="S240" s="240"/>
      <c r="T240" s="236">
        <f t="shared" si="29"/>
        <v>34161</v>
      </c>
      <c r="U240" s="237">
        <f t="shared" si="30"/>
        <v>33604</v>
      </c>
      <c r="V240" s="238">
        <v>27375</v>
      </c>
      <c r="W240" s="239">
        <v>19702</v>
      </c>
      <c r="X240" s="241">
        <v>5704</v>
      </c>
      <c r="Y240" s="240">
        <v>8438</v>
      </c>
      <c r="Z240" s="238">
        <v>1082</v>
      </c>
      <c r="AA240" s="238"/>
      <c r="AB240" s="238"/>
      <c r="AC240" s="239">
        <v>5464</v>
      </c>
      <c r="AD240" s="239"/>
      <c r="AE240" s="240" t="s">
        <v>39</v>
      </c>
      <c r="AF240" s="238"/>
      <c r="AG240" s="239"/>
    </row>
    <row r="241" spans="1:33" x14ac:dyDescent="0.2">
      <c r="A241" s="388" t="s">
        <v>47</v>
      </c>
      <c r="B241" s="366" t="s">
        <v>469</v>
      </c>
      <c r="C241" s="367"/>
      <c r="D241" s="376">
        <v>176017</v>
      </c>
      <c r="E241" s="377">
        <v>2</v>
      </c>
      <c r="F241" s="235">
        <f t="shared" si="23"/>
        <v>442900</v>
      </c>
      <c r="G241" s="234">
        <f t="shared" si="24"/>
        <v>463056</v>
      </c>
      <c r="H241" s="238">
        <v>398995</v>
      </c>
      <c r="I241" s="239">
        <v>416290</v>
      </c>
      <c r="J241" s="238">
        <v>25715</v>
      </c>
      <c r="K241" s="240">
        <v>25739</v>
      </c>
      <c r="L241" s="238">
        <v>9905</v>
      </c>
      <c r="M241" s="238">
        <v>8285</v>
      </c>
      <c r="N241" s="238"/>
      <c r="O241" s="239">
        <v>10979</v>
      </c>
      <c r="P241" s="239">
        <v>10048</v>
      </c>
      <c r="Q241" s="240"/>
      <c r="R241" s="238"/>
      <c r="S241" s="240"/>
      <c r="T241" s="236">
        <f t="shared" si="29"/>
        <v>58767</v>
      </c>
      <c r="U241" s="237">
        <f t="shared" si="30"/>
        <v>58054</v>
      </c>
      <c r="V241" s="238">
        <v>52323</v>
      </c>
      <c r="W241" s="239">
        <v>51010</v>
      </c>
      <c r="X241" s="241">
        <v>1863</v>
      </c>
      <c r="Y241" s="240">
        <v>2070</v>
      </c>
      <c r="Z241" s="238">
        <v>2910</v>
      </c>
      <c r="AA241" s="238">
        <v>1671</v>
      </c>
      <c r="AB241" s="238"/>
      <c r="AC241" s="239">
        <v>3783</v>
      </c>
      <c r="AD241" s="239">
        <v>1191</v>
      </c>
      <c r="AE241" s="240"/>
      <c r="AF241" s="238"/>
      <c r="AG241" s="239"/>
    </row>
    <row r="242" spans="1:33" x14ac:dyDescent="0.2">
      <c r="A242" s="388" t="s">
        <v>47</v>
      </c>
      <c r="B242" s="366" t="s">
        <v>470</v>
      </c>
      <c r="C242" s="367"/>
      <c r="D242" s="376">
        <v>175342</v>
      </c>
      <c r="E242" s="377">
        <v>4</v>
      </c>
      <c r="F242" s="235">
        <f t="shared" si="23"/>
        <v>94366</v>
      </c>
      <c r="G242" s="234">
        <f t="shared" si="24"/>
        <v>90076</v>
      </c>
      <c r="H242" s="238">
        <v>77881</v>
      </c>
      <c r="I242" s="514">
        <v>75779</v>
      </c>
      <c r="J242" s="238"/>
      <c r="K242" s="240"/>
      <c r="L242" s="238">
        <v>16381</v>
      </c>
      <c r="M242" s="238"/>
      <c r="N242" s="238">
        <v>104</v>
      </c>
      <c r="O242" s="519">
        <v>14212</v>
      </c>
      <c r="P242" s="239"/>
      <c r="Q242" s="240">
        <v>85</v>
      </c>
      <c r="R242" s="238">
        <v>0</v>
      </c>
      <c r="S242" s="240"/>
      <c r="T242" s="236">
        <f t="shared" si="25"/>
        <v>12887</v>
      </c>
      <c r="U242" s="237">
        <f t="shared" si="26"/>
        <v>11918</v>
      </c>
      <c r="V242" s="238">
        <v>5531</v>
      </c>
      <c r="W242" s="519">
        <v>4727</v>
      </c>
      <c r="X242" s="241"/>
      <c r="Y242" s="240"/>
      <c r="Z242" s="238">
        <v>7346</v>
      </c>
      <c r="AA242" s="238"/>
      <c r="AB242" s="238">
        <v>10</v>
      </c>
      <c r="AC242" s="519">
        <v>7189</v>
      </c>
      <c r="AD242" s="239"/>
      <c r="AE242" s="521">
        <v>2</v>
      </c>
      <c r="AF242" s="238">
        <v>0</v>
      </c>
      <c r="AG242" s="239"/>
    </row>
    <row r="243" spans="1:33" x14ac:dyDescent="0.2">
      <c r="A243" s="388" t="s">
        <v>47</v>
      </c>
      <c r="B243" s="366" t="s">
        <v>471</v>
      </c>
      <c r="C243" s="367"/>
      <c r="D243" s="376">
        <v>175616</v>
      </c>
      <c r="E243" s="377">
        <v>4</v>
      </c>
      <c r="F243" s="235">
        <f t="shared" si="23"/>
        <v>75114</v>
      </c>
      <c r="G243" s="234">
        <f t="shared" si="24"/>
        <v>71127</v>
      </c>
      <c r="H243" s="238">
        <v>59051</v>
      </c>
      <c r="I243" s="514">
        <v>56387</v>
      </c>
      <c r="J243" s="238">
        <v>1666</v>
      </c>
      <c r="K243" s="518">
        <v>1596</v>
      </c>
      <c r="L243" s="238">
        <v>14388</v>
      </c>
      <c r="M243" s="238"/>
      <c r="N243" s="238"/>
      <c r="O243" s="389">
        <v>13144</v>
      </c>
      <c r="P243" s="239"/>
      <c r="Q243" s="240"/>
      <c r="R243" s="238">
        <v>9</v>
      </c>
      <c r="S243" s="240"/>
      <c r="T243" s="236">
        <f t="shared" si="25"/>
        <v>22851</v>
      </c>
      <c r="U243" s="237">
        <f t="shared" si="26"/>
        <v>28592</v>
      </c>
      <c r="V243" s="238">
        <v>13929</v>
      </c>
      <c r="W243" s="519">
        <v>14483</v>
      </c>
      <c r="X243" s="241">
        <v>324</v>
      </c>
      <c r="Y243" s="521">
        <v>528</v>
      </c>
      <c r="Z243" s="238">
        <v>8598</v>
      </c>
      <c r="AA243" s="238"/>
      <c r="AB243" s="238"/>
      <c r="AC243" s="239">
        <v>13581</v>
      </c>
      <c r="AD243" s="239"/>
      <c r="AE243" s="240"/>
      <c r="AF243" s="238"/>
      <c r="AG243" s="239"/>
    </row>
    <row r="244" spans="1:33" x14ac:dyDescent="0.2">
      <c r="A244" s="388" t="s">
        <v>47</v>
      </c>
      <c r="B244" s="366" t="s">
        <v>472</v>
      </c>
      <c r="C244" s="367"/>
      <c r="D244" s="376">
        <v>176044</v>
      </c>
      <c r="E244" s="377">
        <v>4</v>
      </c>
      <c r="F244" s="235">
        <f t="shared" si="23"/>
        <v>62282</v>
      </c>
      <c r="G244" s="234">
        <f t="shared" si="24"/>
        <v>55501</v>
      </c>
      <c r="H244" s="238">
        <v>51226</v>
      </c>
      <c r="I244" s="239">
        <v>43959</v>
      </c>
      <c r="J244" s="238">
        <v>1338</v>
      </c>
      <c r="K244" s="240">
        <v>1242</v>
      </c>
      <c r="L244" s="238">
        <v>8592</v>
      </c>
      <c r="M244" s="238"/>
      <c r="N244" s="238">
        <v>301</v>
      </c>
      <c r="O244" s="239">
        <v>9558</v>
      </c>
      <c r="P244" s="239"/>
      <c r="Q244" s="240"/>
      <c r="R244" s="238">
        <v>825</v>
      </c>
      <c r="S244" s="240">
        <v>742</v>
      </c>
      <c r="T244" s="236">
        <f t="shared" si="25"/>
        <v>10419</v>
      </c>
      <c r="U244" s="237">
        <f t="shared" si="26"/>
        <v>4935</v>
      </c>
      <c r="V244" s="238">
        <v>8217</v>
      </c>
      <c r="W244" s="239">
        <v>3423</v>
      </c>
      <c r="X244" s="241">
        <v>138</v>
      </c>
      <c r="Y244" s="240">
        <v>21</v>
      </c>
      <c r="Z244" s="238">
        <v>1860</v>
      </c>
      <c r="AA244" s="238"/>
      <c r="AB244" s="238">
        <v>204</v>
      </c>
      <c r="AC244" s="239">
        <v>1446</v>
      </c>
      <c r="AD244" s="239"/>
      <c r="AE244" s="240"/>
      <c r="AF244" s="238">
        <v>0</v>
      </c>
      <c r="AG244" s="239">
        <v>45</v>
      </c>
    </row>
    <row r="245" spans="1:33" x14ac:dyDescent="0.2">
      <c r="A245" s="365" t="s">
        <v>47</v>
      </c>
      <c r="B245" s="366" t="s">
        <v>473</v>
      </c>
      <c r="C245" s="367"/>
      <c r="D245" s="376">
        <v>176035</v>
      </c>
      <c r="E245" s="377">
        <v>5</v>
      </c>
      <c r="F245" s="235">
        <f t="shared" si="23"/>
        <v>67624</v>
      </c>
      <c r="G245" s="234">
        <f t="shared" si="24"/>
        <v>68319</v>
      </c>
      <c r="H245" s="238">
        <v>39952</v>
      </c>
      <c r="I245" s="239">
        <v>36176</v>
      </c>
      <c r="J245" s="238"/>
      <c r="K245" s="240"/>
      <c r="L245" s="238">
        <v>27672</v>
      </c>
      <c r="M245" s="238"/>
      <c r="N245" s="238"/>
      <c r="O245" s="239">
        <v>32143</v>
      </c>
      <c r="P245" s="239"/>
      <c r="Q245" s="240"/>
      <c r="R245" s="238"/>
      <c r="S245" s="240"/>
      <c r="T245" s="236">
        <f t="shared" si="25"/>
        <v>4260</v>
      </c>
      <c r="U245" s="237">
        <f t="shared" si="26"/>
        <v>3894</v>
      </c>
      <c r="V245" s="238">
        <v>2743</v>
      </c>
      <c r="W245" s="239">
        <v>2472</v>
      </c>
      <c r="X245" s="241">
        <v>328</v>
      </c>
      <c r="Y245" s="240">
        <v>280</v>
      </c>
      <c r="Z245" s="238">
        <v>1189</v>
      </c>
      <c r="AA245" s="238"/>
      <c r="AB245" s="238"/>
      <c r="AC245" s="239">
        <v>1142</v>
      </c>
      <c r="AD245" s="239"/>
      <c r="AE245" s="240"/>
      <c r="AF245" s="238"/>
      <c r="AG245" s="239"/>
    </row>
    <row r="246" spans="1:33" x14ac:dyDescent="0.2">
      <c r="A246" s="576" t="s">
        <v>47</v>
      </c>
      <c r="B246" s="547" t="s">
        <v>847</v>
      </c>
      <c r="C246" s="550"/>
      <c r="D246" s="577">
        <v>175786</v>
      </c>
      <c r="E246" s="578">
        <v>8</v>
      </c>
      <c r="F246" s="235">
        <f t="shared" si="23"/>
        <v>338896</v>
      </c>
      <c r="G246" s="234">
        <f t="shared" si="24"/>
        <v>297280</v>
      </c>
      <c r="H246" s="238">
        <v>287701</v>
      </c>
      <c r="I246" s="579">
        <v>257054</v>
      </c>
      <c r="J246" s="238"/>
      <c r="K246" s="240"/>
      <c r="L246" s="238">
        <v>51195</v>
      </c>
      <c r="M246" s="238"/>
      <c r="N246" s="238"/>
      <c r="O246" s="579">
        <v>40226</v>
      </c>
      <c r="P246" s="239"/>
      <c r="Q246" s="240"/>
      <c r="R246" s="238"/>
      <c r="S246" s="240"/>
      <c r="T246" s="236">
        <f t="shared" si="25"/>
        <v>0</v>
      </c>
      <c r="U246" s="237">
        <f t="shared" si="26"/>
        <v>0</v>
      </c>
      <c r="V246" s="238"/>
      <c r="W246" s="239"/>
      <c r="X246" s="241"/>
      <c r="Y246" s="240"/>
      <c r="Z246" s="238"/>
      <c r="AA246" s="238"/>
      <c r="AB246" s="238"/>
      <c r="AC246" s="239"/>
      <c r="AD246" s="239"/>
      <c r="AE246" s="240"/>
      <c r="AF246" s="238"/>
      <c r="AG246" s="239"/>
    </row>
    <row r="247" spans="1:33" x14ac:dyDescent="0.2">
      <c r="A247" s="580" t="s">
        <v>47</v>
      </c>
      <c r="B247" s="547" t="s">
        <v>848</v>
      </c>
      <c r="C247" s="550"/>
      <c r="D247" s="546">
        <v>175829</v>
      </c>
      <c r="E247" s="581">
        <v>8</v>
      </c>
      <c r="F247" s="235">
        <f t="shared" si="23"/>
        <v>204086</v>
      </c>
      <c r="G247" s="234">
        <f t="shared" si="24"/>
        <v>166445</v>
      </c>
      <c r="H247" s="579">
        <v>124506</v>
      </c>
      <c r="I247" s="579">
        <v>106677</v>
      </c>
      <c r="J247" s="238"/>
      <c r="K247" s="240"/>
      <c r="L247" s="238">
        <v>79580</v>
      </c>
      <c r="M247" s="238"/>
      <c r="N247" s="238"/>
      <c r="O247" s="579">
        <v>59768</v>
      </c>
      <c r="P247" s="239"/>
      <c r="Q247" s="240"/>
      <c r="R247" s="238"/>
      <c r="S247" s="240"/>
      <c r="T247" s="236">
        <f t="shared" si="25"/>
        <v>0</v>
      </c>
      <c r="U247" s="237">
        <f t="shared" si="26"/>
        <v>0</v>
      </c>
      <c r="V247" s="238"/>
      <c r="W247" s="239"/>
      <c r="X247" s="241"/>
      <c r="Y247" s="240"/>
      <c r="Z247" s="238"/>
      <c r="AA247" s="238"/>
      <c r="AB247" s="238"/>
      <c r="AC247" s="239"/>
      <c r="AD247" s="239"/>
      <c r="AE247" s="240"/>
      <c r="AF247" s="238"/>
      <c r="AG247" s="239"/>
    </row>
    <row r="248" spans="1:33" x14ac:dyDescent="0.2">
      <c r="A248" s="580" t="s">
        <v>47</v>
      </c>
      <c r="B248" s="547" t="s">
        <v>849</v>
      </c>
      <c r="C248" s="550"/>
      <c r="D248" s="546">
        <v>176071</v>
      </c>
      <c r="E248" s="582">
        <v>8</v>
      </c>
      <c r="F248" s="235">
        <f t="shared" si="23"/>
        <v>254461</v>
      </c>
      <c r="G248" s="234">
        <f t="shared" si="24"/>
        <v>252657</v>
      </c>
      <c r="H248" s="238">
        <v>204991</v>
      </c>
      <c r="I248" s="579">
        <v>199468</v>
      </c>
      <c r="J248" s="238"/>
      <c r="K248" s="240"/>
      <c r="L248" s="238">
        <v>49470</v>
      </c>
      <c r="M248" s="238"/>
      <c r="N248" s="238"/>
      <c r="O248" s="579">
        <v>53189</v>
      </c>
      <c r="P248" s="239"/>
      <c r="Q248" s="240"/>
      <c r="R248" s="238"/>
      <c r="S248" s="240"/>
      <c r="T248" s="236">
        <f t="shared" si="25"/>
        <v>0</v>
      </c>
      <c r="U248" s="237">
        <f t="shared" si="26"/>
        <v>0</v>
      </c>
      <c r="V248" s="238"/>
      <c r="W248" s="239"/>
      <c r="X248" s="241"/>
      <c r="Y248" s="240"/>
      <c r="Z248" s="238"/>
      <c r="AA248" s="238"/>
      <c r="AB248" s="238"/>
      <c r="AC248" s="239"/>
      <c r="AD248" s="239"/>
      <c r="AE248" s="240"/>
      <c r="AF248" s="238"/>
      <c r="AG248" s="239"/>
    </row>
    <row r="249" spans="1:33" x14ac:dyDescent="0.2">
      <c r="A249" s="580" t="s">
        <v>47</v>
      </c>
      <c r="B249" s="547" t="s">
        <v>850</v>
      </c>
      <c r="C249" s="550"/>
      <c r="D249" s="546">
        <v>176178</v>
      </c>
      <c r="E249" s="582">
        <v>8</v>
      </c>
      <c r="F249" s="235">
        <f t="shared" si="23"/>
        <v>215284</v>
      </c>
      <c r="G249" s="234">
        <f t="shared" si="24"/>
        <v>205226</v>
      </c>
      <c r="H249" s="238">
        <v>178486</v>
      </c>
      <c r="I249" s="579">
        <v>171749</v>
      </c>
      <c r="J249" s="238"/>
      <c r="K249" s="240"/>
      <c r="L249" s="238">
        <v>36798</v>
      </c>
      <c r="M249" s="238"/>
      <c r="N249" s="238"/>
      <c r="O249" s="579">
        <v>33477</v>
      </c>
      <c r="P249" s="239"/>
      <c r="Q249" s="240"/>
      <c r="R249" s="238"/>
      <c r="S249" s="240"/>
      <c r="T249" s="236">
        <f t="shared" si="25"/>
        <v>0</v>
      </c>
      <c r="U249" s="237">
        <f t="shared" si="26"/>
        <v>0</v>
      </c>
      <c r="V249" s="238"/>
      <c r="W249" s="239"/>
      <c r="X249" s="241"/>
      <c r="Y249" s="240"/>
      <c r="Z249" s="238"/>
      <c r="AA249" s="238"/>
      <c r="AB249" s="238"/>
      <c r="AC249" s="239"/>
      <c r="AD249" s="239"/>
      <c r="AE249" s="240"/>
      <c r="AF249" s="238"/>
      <c r="AG249" s="239"/>
    </row>
    <row r="250" spans="1:33" x14ac:dyDescent="0.2">
      <c r="A250" s="576" t="s">
        <v>47</v>
      </c>
      <c r="B250" s="547" t="s">
        <v>851</v>
      </c>
      <c r="C250" s="550"/>
      <c r="D250" s="577">
        <v>175573</v>
      </c>
      <c r="E250" s="578">
        <v>9</v>
      </c>
      <c r="F250" s="235">
        <f t="shared" si="23"/>
        <v>99639</v>
      </c>
      <c r="G250" s="234">
        <f t="shared" si="24"/>
        <v>88280</v>
      </c>
      <c r="H250" s="238">
        <v>78979</v>
      </c>
      <c r="I250" s="579">
        <v>71948</v>
      </c>
      <c r="J250" s="238"/>
      <c r="K250" s="240"/>
      <c r="L250" s="238">
        <v>20660</v>
      </c>
      <c r="M250" s="238"/>
      <c r="N250" s="238"/>
      <c r="O250" s="579">
        <v>16332</v>
      </c>
      <c r="P250" s="239"/>
      <c r="Q250" s="240"/>
      <c r="R250" s="238"/>
      <c r="S250" s="240"/>
      <c r="T250" s="236">
        <f t="shared" si="25"/>
        <v>0</v>
      </c>
      <c r="U250" s="237">
        <f t="shared" si="26"/>
        <v>0</v>
      </c>
      <c r="V250" s="238"/>
      <c r="W250" s="239"/>
      <c r="X250" s="241"/>
      <c r="Y250" s="240"/>
      <c r="Z250" s="238"/>
      <c r="AA250" s="238"/>
      <c r="AB250" s="238"/>
      <c r="AC250" s="239"/>
      <c r="AD250" s="239"/>
      <c r="AE250" s="240"/>
      <c r="AF250" s="238"/>
      <c r="AG250" s="239"/>
    </row>
    <row r="251" spans="1:33" x14ac:dyDescent="0.2">
      <c r="A251" s="580" t="s">
        <v>47</v>
      </c>
      <c r="B251" s="547" t="s">
        <v>852</v>
      </c>
      <c r="C251" s="550"/>
      <c r="D251" s="546">
        <v>175643</v>
      </c>
      <c r="E251" s="582">
        <v>9</v>
      </c>
      <c r="F251" s="235">
        <f t="shared" si="23"/>
        <v>70659</v>
      </c>
      <c r="G251" s="234">
        <f t="shared" si="24"/>
        <v>67933</v>
      </c>
      <c r="H251" s="238">
        <v>59097</v>
      </c>
      <c r="I251" s="579">
        <v>55708</v>
      </c>
      <c r="J251" s="238"/>
      <c r="K251" s="240"/>
      <c r="L251" s="238">
        <v>11562</v>
      </c>
      <c r="M251" s="238"/>
      <c r="N251" s="238"/>
      <c r="O251" s="579">
        <v>12225</v>
      </c>
      <c r="P251" s="239"/>
      <c r="Q251" s="240"/>
      <c r="R251" s="238"/>
      <c r="S251" s="240"/>
      <c r="T251" s="236">
        <f t="shared" si="25"/>
        <v>0</v>
      </c>
      <c r="U251" s="237">
        <f t="shared" si="26"/>
        <v>0</v>
      </c>
      <c r="V251" s="238"/>
      <c r="W251" s="239"/>
      <c r="X251" s="241"/>
      <c r="Y251" s="240"/>
      <c r="Z251" s="238"/>
      <c r="AA251" s="238"/>
      <c r="AB251" s="238"/>
      <c r="AC251" s="239"/>
      <c r="AD251" s="239"/>
      <c r="AE251" s="240"/>
      <c r="AF251" s="238"/>
      <c r="AG251" s="239"/>
    </row>
    <row r="252" spans="1:33" x14ac:dyDescent="0.2">
      <c r="A252" s="580" t="s">
        <v>47</v>
      </c>
      <c r="B252" s="547" t="s">
        <v>853</v>
      </c>
      <c r="C252" s="550"/>
      <c r="D252" s="546">
        <v>175652</v>
      </c>
      <c r="E252" s="582">
        <v>9</v>
      </c>
      <c r="F252" s="235">
        <f t="shared" si="23"/>
        <v>129678</v>
      </c>
      <c r="G252" s="234">
        <f t="shared" si="24"/>
        <v>120367</v>
      </c>
      <c r="H252" s="238">
        <v>87110</v>
      </c>
      <c r="I252" s="579">
        <v>79368</v>
      </c>
      <c r="J252" s="238"/>
      <c r="K252" s="240"/>
      <c r="L252" s="238">
        <v>42568</v>
      </c>
      <c r="M252" s="238"/>
      <c r="N252" s="238"/>
      <c r="O252" s="579">
        <v>40999</v>
      </c>
      <c r="P252" s="239"/>
      <c r="Q252" s="240"/>
      <c r="R252" s="238"/>
      <c r="S252" s="240"/>
      <c r="T252" s="236">
        <f t="shared" si="25"/>
        <v>0</v>
      </c>
      <c r="U252" s="237">
        <f t="shared" si="26"/>
        <v>0</v>
      </c>
      <c r="V252" s="238"/>
      <c r="W252" s="239"/>
      <c r="X252" s="241"/>
      <c r="Y252" s="240"/>
      <c r="Z252" s="238"/>
      <c r="AA252" s="238"/>
      <c r="AB252" s="238"/>
      <c r="AC252" s="239"/>
      <c r="AD252" s="239"/>
      <c r="AE252" s="240"/>
      <c r="AF252" s="238"/>
      <c r="AG252" s="239"/>
    </row>
    <row r="253" spans="1:33" x14ac:dyDescent="0.2">
      <c r="A253" s="580" t="s">
        <v>47</v>
      </c>
      <c r="B253" s="547" t="s">
        <v>854</v>
      </c>
      <c r="C253" s="550" t="s">
        <v>862</v>
      </c>
      <c r="D253" s="546">
        <v>175810</v>
      </c>
      <c r="E253" s="582">
        <v>9</v>
      </c>
      <c r="F253" s="235">
        <f t="shared" si="23"/>
        <v>164122</v>
      </c>
      <c r="G253" s="234">
        <f t="shared" si="24"/>
        <v>156700</v>
      </c>
      <c r="H253" s="579">
        <v>135843</v>
      </c>
      <c r="I253" s="579">
        <v>124130</v>
      </c>
      <c r="J253" s="238"/>
      <c r="K253" s="240"/>
      <c r="L253" s="238">
        <v>28279</v>
      </c>
      <c r="M253" s="238"/>
      <c r="N253" s="238"/>
      <c r="O253" s="579">
        <v>32570</v>
      </c>
      <c r="P253" s="239"/>
      <c r="Q253" s="240"/>
      <c r="R253" s="238"/>
      <c r="S253" s="240"/>
      <c r="T253" s="236">
        <f t="shared" si="25"/>
        <v>0</v>
      </c>
      <c r="U253" s="237">
        <f t="shared" si="26"/>
        <v>0</v>
      </c>
      <c r="V253" s="238"/>
      <c r="W253" s="239"/>
      <c r="X253" s="241"/>
      <c r="Y253" s="240"/>
      <c r="Z253" s="238"/>
      <c r="AA253" s="238"/>
      <c r="AB253" s="238"/>
      <c r="AC253" s="239"/>
      <c r="AD253" s="239"/>
      <c r="AE253" s="240"/>
      <c r="AF253" s="238"/>
      <c r="AG253" s="239"/>
    </row>
    <row r="254" spans="1:33" x14ac:dyDescent="0.2">
      <c r="A254" s="580" t="s">
        <v>47</v>
      </c>
      <c r="B254" s="547" t="s">
        <v>855</v>
      </c>
      <c r="C254" s="550"/>
      <c r="D254" s="546">
        <v>175883</v>
      </c>
      <c r="E254" s="582">
        <v>9</v>
      </c>
      <c r="F254" s="235">
        <f t="shared" si="23"/>
        <v>139066</v>
      </c>
      <c r="G254" s="234">
        <f t="shared" si="24"/>
        <v>117935</v>
      </c>
      <c r="H254" s="238">
        <v>117067</v>
      </c>
      <c r="I254" s="579">
        <v>101064</v>
      </c>
      <c r="J254" s="238"/>
      <c r="K254" s="240"/>
      <c r="L254" s="238">
        <v>21999</v>
      </c>
      <c r="M254" s="238"/>
      <c r="N254" s="238"/>
      <c r="O254" s="579">
        <v>16871</v>
      </c>
      <c r="P254" s="239"/>
      <c r="Q254" s="240"/>
      <c r="R254" s="238"/>
      <c r="S254" s="240"/>
      <c r="T254" s="236">
        <f t="shared" si="25"/>
        <v>0</v>
      </c>
      <c r="U254" s="237">
        <f t="shared" si="26"/>
        <v>0</v>
      </c>
      <c r="V254" s="238"/>
      <c r="W254" s="239"/>
      <c r="X254" s="241"/>
      <c r="Y254" s="240"/>
      <c r="Z254" s="238"/>
      <c r="AA254" s="238"/>
      <c r="AB254" s="238"/>
      <c r="AC254" s="239"/>
      <c r="AD254" s="239"/>
      <c r="AE254" s="240"/>
      <c r="AF254" s="238"/>
      <c r="AG254" s="239"/>
    </row>
    <row r="255" spans="1:33" x14ac:dyDescent="0.2">
      <c r="A255" s="580" t="s">
        <v>47</v>
      </c>
      <c r="B255" s="547" t="s">
        <v>856</v>
      </c>
      <c r="C255" s="550"/>
      <c r="D255" s="546">
        <v>175935</v>
      </c>
      <c r="E255" s="582">
        <v>9</v>
      </c>
      <c r="F255" s="235">
        <f t="shared" si="23"/>
        <v>101121.5</v>
      </c>
      <c r="G255" s="234">
        <f t="shared" si="24"/>
        <v>95678</v>
      </c>
      <c r="H255" s="238">
        <v>86567.5</v>
      </c>
      <c r="I255" s="579">
        <v>80178</v>
      </c>
      <c r="J255" s="238"/>
      <c r="K255" s="240"/>
      <c r="L255" s="238">
        <v>14554</v>
      </c>
      <c r="M255" s="238"/>
      <c r="N255" s="238"/>
      <c r="O255" s="579">
        <v>15500</v>
      </c>
      <c r="P255" s="239"/>
      <c r="Q255" s="240"/>
      <c r="R255" s="238"/>
      <c r="S255" s="240"/>
      <c r="T255" s="236">
        <f t="shared" si="25"/>
        <v>0</v>
      </c>
      <c r="U255" s="237">
        <f t="shared" si="26"/>
        <v>0</v>
      </c>
      <c r="V255" s="238"/>
      <c r="W255" s="239"/>
      <c r="X255" s="241"/>
      <c r="Y255" s="240"/>
      <c r="Z255" s="238"/>
      <c r="AA255" s="238"/>
      <c r="AB255" s="238"/>
      <c r="AC255" s="239"/>
      <c r="AD255" s="239"/>
      <c r="AE255" s="240"/>
      <c r="AF255" s="238"/>
      <c r="AG255" s="239"/>
    </row>
    <row r="256" spans="1:33" x14ac:dyDescent="0.2">
      <c r="A256" s="580" t="s">
        <v>47</v>
      </c>
      <c r="B256" s="547" t="s">
        <v>857</v>
      </c>
      <c r="C256" s="550"/>
      <c r="D256" s="546">
        <v>176008</v>
      </c>
      <c r="E256" s="582">
        <v>9</v>
      </c>
      <c r="F256" s="235">
        <f t="shared" si="23"/>
        <v>88891</v>
      </c>
      <c r="G256" s="234">
        <f t="shared" si="24"/>
        <v>82651</v>
      </c>
      <c r="H256" s="238">
        <v>74233</v>
      </c>
      <c r="I256" s="579">
        <v>71122</v>
      </c>
      <c r="J256" s="238"/>
      <c r="K256" s="240"/>
      <c r="L256" s="238">
        <v>14658</v>
      </c>
      <c r="M256" s="238"/>
      <c r="N256" s="238"/>
      <c r="O256" s="579">
        <v>11529</v>
      </c>
      <c r="P256" s="239"/>
      <c r="Q256" s="240"/>
      <c r="R256" s="238"/>
      <c r="S256" s="240"/>
      <c r="T256" s="236">
        <f t="shared" si="25"/>
        <v>0</v>
      </c>
      <c r="U256" s="237">
        <f t="shared" si="26"/>
        <v>0</v>
      </c>
      <c r="V256" s="238"/>
      <c r="W256" s="239"/>
      <c r="X256" s="241"/>
      <c r="Y256" s="240"/>
      <c r="Z256" s="238"/>
      <c r="AA256" s="238"/>
      <c r="AB256" s="238"/>
      <c r="AC256" s="239"/>
      <c r="AD256" s="239"/>
      <c r="AE256" s="240"/>
      <c r="AF256" s="238"/>
      <c r="AG256" s="239"/>
    </row>
    <row r="257" spans="1:33" x14ac:dyDescent="0.2">
      <c r="A257" s="580" t="s">
        <v>47</v>
      </c>
      <c r="B257" s="547" t="s">
        <v>858</v>
      </c>
      <c r="C257" s="550"/>
      <c r="D257" s="546">
        <v>176169</v>
      </c>
      <c r="E257" s="582">
        <v>9</v>
      </c>
      <c r="F257" s="235">
        <f t="shared" si="23"/>
        <v>98233</v>
      </c>
      <c r="G257" s="234">
        <f t="shared" si="24"/>
        <v>92138</v>
      </c>
      <c r="H257" s="238">
        <v>82970</v>
      </c>
      <c r="I257" s="579">
        <v>77194</v>
      </c>
      <c r="J257" s="238"/>
      <c r="K257" s="240"/>
      <c r="L257" s="238">
        <v>15263</v>
      </c>
      <c r="M257" s="238"/>
      <c r="N257" s="238"/>
      <c r="O257" s="579">
        <v>14944</v>
      </c>
      <c r="P257" s="239"/>
      <c r="Q257" s="240"/>
      <c r="R257" s="238"/>
      <c r="S257" s="240"/>
      <c r="T257" s="236">
        <f t="shared" si="25"/>
        <v>0</v>
      </c>
      <c r="U257" s="237">
        <f t="shared" si="26"/>
        <v>0</v>
      </c>
      <c r="V257" s="238"/>
      <c r="W257" s="239"/>
      <c r="X257" s="241"/>
      <c r="Y257" s="240"/>
      <c r="Z257" s="238"/>
      <c r="AA257" s="238"/>
      <c r="AB257" s="238"/>
      <c r="AC257" s="239"/>
      <c r="AD257" s="239"/>
      <c r="AE257" s="240"/>
      <c r="AF257" s="238"/>
      <c r="AG257" s="239"/>
    </row>
    <row r="258" spans="1:33" x14ac:dyDescent="0.2">
      <c r="A258" s="576" t="s">
        <v>47</v>
      </c>
      <c r="B258" s="547" t="s">
        <v>859</v>
      </c>
      <c r="C258" s="550"/>
      <c r="D258" s="577">
        <v>176239</v>
      </c>
      <c r="E258" s="578">
        <v>9</v>
      </c>
      <c r="F258" s="235">
        <f t="shared" si="23"/>
        <v>129908</v>
      </c>
      <c r="G258" s="234">
        <f t="shared" si="24"/>
        <v>117840</v>
      </c>
      <c r="H258" s="579">
        <v>110906</v>
      </c>
      <c r="I258" s="579">
        <v>97731</v>
      </c>
      <c r="J258" s="238"/>
      <c r="K258" s="240"/>
      <c r="L258" s="238">
        <v>19002</v>
      </c>
      <c r="M258" s="238"/>
      <c r="N258" s="238"/>
      <c r="O258" s="579">
        <v>20109</v>
      </c>
      <c r="P258" s="239"/>
      <c r="Q258" s="240"/>
      <c r="R258" s="238"/>
      <c r="S258" s="240"/>
      <c r="T258" s="236">
        <f t="shared" si="25"/>
        <v>0</v>
      </c>
      <c r="U258" s="237">
        <f t="shared" si="26"/>
        <v>0</v>
      </c>
      <c r="V258" s="238"/>
      <c r="W258" s="239"/>
      <c r="X258" s="241"/>
      <c r="Y258" s="240"/>
      <c r="Z258" s="238"/>
      <c r="AA258" s="238"/>
      <c r="AB258" s="238"/>
      <c r="AC258" s="239"/>
      <c r="AD258" s="239"/>
      <c r="AE258" s="240"/>
      <c r="AF258" s="238"/>
      <c r="AG258" s="239"/>
    </row>
    <row r="259" spans="1:33" x14ac:dyDescent="0.2">
      <c r="A259" s="580" t="s">
        <v>47</v>
      </c>
      <c r="B259" s="547" t="s">
        <v>860</v>
      </c>
      <c r="C259" s="550"/>
      <c r="D259" s="546">
        <v>175519</v>
      </c>
      <c r="E259" s="582">
        <v>10</v>
      </c>
      <c r="F259" s="235">
        <f t="shared" si="23"/>
        <v>72371</v>
      </c>
      <c r="G259" s="234">
        <f t="shared" si="24"/>
        <v>57285</v>
      </c>
      <c r="H259" s="238">
        <v>66559</v>
      </c>
      <c r="I259" s="579">
        <v>52057</v>
      </c>
      <c r="J259" s="238"/>
      <c r="K259" s="240"/>
      <c r="L259" s="238">
        <v>5812</v>
      </c>
      <c r="M259" s="238"/>
      <c r="N259" s="238"/>
      <c r="O259" s="579">
        <v>5228</v>
      </c>
      <c r="P259" s="239"/>
      <c r="Q259" s="240"/>
      <c r="R259" s="238"/>
      <c r="S259" s="240"/>
      <c r="T259" s="236">
        <f t="shared" si="25"/>
        <v>0</v>
      </c>
      <c r="U259" s="237">
        <f t="shared" si="26"/>
        <v>0</v>
      </c>
      <c r="V259" s="238"/>
      <c r="W259" s="239"/>
      <c r="X259" s="241"/>
      <c r="Y259" s="240"/>
      <c r="Z259" s="238"/>
      <c r="AA259" s="238"/>
      <c r="AB259" s="238"/>
      <c r="AC259" s="239"/>
      <c r="AD259" s="239"/>
      <c r="AE259" s="240"/>
      <c r="AF259" s="238"/>
      <c r="AG259" s="239"/>
    </row>
    <row r="260" spans="1:33" x14ac:dyDescent="0.2">
      <c r="A260" s="580" t="s">
        <v>47</v>
      </c>
      <c r="B260" s="547" t="s">
        <v>861</v>
      </c>
      <c r="C260" s="550"/>
      <c r="D260" s="546">
        <v>176354</v>
      </c>
      <c r="E260" s="582">
        <v>10</v>
      </c>
      <c r="F260" s="235">
        <f t="shared" si="23"/>
        <v>57111</v>
      </c>
      <c r="G260" s="234">
        <f t="shared" si="24"/>
        <v>57081</v>
      </c>
      <c r="H260" s="238">
        <v>47205</v>
      </c>
      <c r="I260" s="579">
        <v>47527</v>
      </c>
      <c r="J260" s="238"/>
      <c r="K260" s="240"/>
      <c r="L260" s="238">
        <v>9906</v>
      </c>
      <c r="M260" s="238"/>
      <c r="N260" s="238"/>
      <c r="O260" s="579">
        <v>9554</v>
      </c>
      <c r="P260" s="239"/>
      <c r="Q260" s="240"/>
      <c r="R260" s="238"/>
      <c r="S260" s="240"/>
      <c r="T260" s="236">
        <f t="shared" si="25"/>
        <v>0</v>
      </c>
      <c r="U260" s="237">
        <f t="shared" si="26"/>
        <v>0</v>
      </c>
      <c r="V260" s="238"/>
      <c r="W260" s="239"/>
      <c r="X260" s="241"/>
      <c r="Y260" s="240"/>
      <c r="Z260" s="238"/>
      <c r="AA260" s="238"/>
      <c r="AB260" s="238"/>
      <c r="AC260" s="239"/>
      <c r="AD260" s="239"/>
      <c r="AE260" s="240"/>
      <c r="AF260" s="238"/>
      <c r="AG260" s="239"/>
    </row>
    <row r="261" spans="1:33" x14ac:dyDescent="0.2">
      <c r="A261" s="229" t="s">
        <v>48</v>
      </c>
      <c r="B261" s="228" t="s">
        <v>226</v>
      </c>
      <c r="C261" s="319"/>
      <c r="D261" s="229">
        <v>199193</v>
      </c>
      <c r="E261" s="318">
        <v>1</v>
      </c>
      <c r="F261" s="235">
        <f t="shared" si="23"/>
        <v>730688</v>
      </c>
      <c r="G261" s="234">
        <f t="shared" si="24"/>
        <v>726227</v>
      </c>
      <c r="H261" s="238">
        <v>651413</v>
      </c>
      <c r="I261" s="239">
        <v>639845</v>
      </c>
      <c r="J261" s="238">
        <v>2287</v>
      </c>
      <c r="K261" s="240">
        <v>3023</v>
      </c>
      <c r="L261" s="238">
        <v>76769</v>
      </c>
      <c r="M261" s="238">
        <v>0</v>
      </c>
      <c r="N261" s="238">
        <v>219</v>
      </c>
      <c r="O261" s="239">
        <v>82595</v>
      </c>
      <c r="P261" s="239"/>
      <c r="Q261" s="240">
        <v>764</v>
      </c>
      <c r="R261" s="238"/>
      <c r="S261" s="240"/>
      <c r="T261" s="236">
        <f t="shared" si="25"/>
        <v>141726</v>
      </c>
      <c r="U261" s="237">
        <f t="shared" si="26"/>
        <v>144607</v>
      </c>
      <c r="V261" s="238">
        <v>115456</v>
      </c>
      <c r="W261" s="239">
        <v>116294</v>
      </c>
      <c r="X261" s="241">
        <v>5786</v>
      </c>
      <c r="Y261" s="240">
        <v>6316</v>
      </c>
      <c r="Z261" s="238">
        <v>20283</v>
      </c>
      <c r="AA261" s="238">
        <v>0</v>
      </c>
      <c r="AB261" s="238">
        <v>201</v>
      </c>
      <c r="AC261" s="239">
        <v>21448</v>
      </c>
      <c r="AD261" s="239"/>
      <c r="AE261" s="240">
        <v>549</v>
      </c>
      <c r="AF261" s="238"/>
      <c r="AG261" s="239"/>
    </row>
    <row r="262" spans="1:33" x14ac:dyDescent="0.2">
      <c r="A262" s="227" t="s">
        <v>48</v>
      </c>
      <c r="B262" s="228" t="s">
        <v>227</v>
      </c>
      <c r="C262" s="319"/>
      <c r="D262" s="229">
        <v>199120</v>
      </c>
      <c r="E262" s="318">
        <v>1</v>
      </c>
      <c r="F262" s="235">
        <f t="shared" si="23"/>
        <v>512048</v>
      </c>
      <c r="G262" s="234">
        <f t="shared" si="24"/>
        <v>511926</v>
      </c>
      <c r="H262" s="238">
        <v>497036</v>
      </c>
      <c r="I262" s="239">
        <v>498597</v>
      </c>
      <c r="J262" s="238">
        <v>427</v>
      </c>
      <c r="K262" s="240">
        <v>423</v>
      </c>
      <c r="L262" s="238">
        <v>14582</v>
      </c>
      <c r="M262" s="238">
        <v>3</v>
      </c>
      <c r="N262" s="238">
        <v>0</v>
      </c>
      <c r="O262" s="239">
        <v>12906</v>
      </c>
      <c r="P262" s="239"/>
      <c r="Q262" s="240"/>
      <c r="R262" s="238"/>
      <c r="S262" s="240"/>
      <c r="T262" s="236">
        <f t="shared" si="25"/>
        <v>187268</v>
      </c>
      <c r="U262" s="237">
        <f t="shared" si="26"/>
        <v>191332</v>
      </c>
      <c r="V262" s="238">
        <v>161566</v>
      </c>
      <c r="W262" s="239">
        <v>163550</v>
      </c>
      <c r="X262" s="241">
        <v>14426</v>
      </c>
      <c r="Y262" s="240">
        <v>12045</v>
      </c>
      <c r="Z262" s="238">
        <v>11177</v>
      </c>
      <c r="AA262" s="238">
        <v>90</v>
      </c>
      <c r="AB262" s="238">
        <v>9</v>
      </c>
      <c r="AC262" s="239">
        <v>15652</v>
      </c>
      <c r="AD262" s="239">
        <v>70</v>
      </c>
      <c r="AE262" s="240">
        <v>15</v>
      </c>
      <c r="AF262" s="238"/>
      <c r="AG262" s="239"/>
    </row>
    <row r="263" spans="1:33" x14ac:dyDescent="0.2">
      <c r="A263" s="227" t="s">
        <v>48</v>
      </c>
      <c r="B263" s="228" t="s">
        <v>229</v>
      </c>
      <c r="C263" s="320"/>
      <c r="D263" s="229">
        <v>199148</v>
      </c>
      <c r="E263" s="230">
        <v>1</v>
      </c>
      <c r="F263" s="235">
        <f t="shared" ref="F263:F306" si="31">SUM(H263,J263,L263,M263,N263,R263)</f>
        <v>420880</v>
      </c>
      <c r="G263" s="234">
        <f t="shared" ref="G263:G306" si="32">SUM(I263,K263,O263,P263,Q263,S263)</f>
        <v>397024</v>
      </c>
      <c r="H263" s="238">
        <v>351372</v>
      </c>
      <c r="I263" s="239">
        <v>340572</v>
      </c>
      <c r="J263" s="238">
        <v>350</v>
      </c>
      <c r="K263" s="240">
        <v>422</v>
      </c>
      <c r="L263" s="238">
        <v>69074</v>
      </c>
      <c r="M263" s="238">
        <v>84</v>
      </c>
      <c r="N263" s="238">
        <v>0</v>
      </c>
      <c r="O263" s="239">
        <v>56018</v>
      </c>
      <c r="P263" s="239">
        <v>12</v>
      </c>
      <c r="Q263" s="240"/>
      <c r="R263" s="238"/>
      <c r="S263" s="240"/>
      <c r="T263" s="236">
        <f t="shared" si="25"/>
        <v>71544</v>
      </c>
      <c r="U263" s="237">
        <f t="shared" si="26"/>
        <v>67094</v>
      </c>
      <c r="V263" s="238">
        <v>55256</v>
      </c>
      <c r="W263" s="239">
        <v>53586</v>
      </c>
      <c r="X263" s="241">
        <v>2850</v>
      </c>
      <c r="Y263" s="240">
        <v>2904</v>
      </c>
      <c r="Z263" s="238">
        <v>13159</v>
      </c>
      <c r="AA263" s="238">
        <v>279</v>
      </c>
      <c r="AB263" s="238">
        <v>0</v>
      </c>
      <c r="AC263" s="239">
        <v>10488</v>
      </c>
      <c r="AD263" s="239">
        <v>116</v>
      </c>
      <c r="AE263" s="240"/>
      <c r="AF263" s="238"/>
      <c r="AG263" s="239"/>
    </row>
    <row r="264" spans="1:33" x14ac:dyDescent="0.2">
      <c r="A264" s="227" t="s">
        <v>48</v>
      </c>
      <c r="B264" s="228" t="s">
        <v>231</v>
      </c>
      <c r="C264" s="360" t="s">
        <v>264</v>
      </c>
      <c r="D264" s="229">
        <v>198464</v>
      </c>
      <c r="E264" s="321">
        <v>2</v>
      </c>
      <c r="F264" s="235">
        <f t="shared" si="31"/>
        <v>597340</v>
      </c>
      <c r="G264" s="234">
        <f t="shared" si="32"/>
        <v>569352</v>
      </c>
      <c r="H264" s="238">
        <v>502635</v>
      </c>
      <c r="I264" s="239">
        <v>485756</v>
      </c>
      <c r="J264" s="238">
        <v>7662</v>
      </c>
      <c r="K264" s="240">
        <v>9731</v>
      </c>
      <c r="L264" s="238">
        <v>87043</v>
      </c>
      <c r="M264" s="238">
        <v>0</v>
      </c>
      <c r="N264" s="238">
        <v>0</v>
      </c>
      <c r="O264" s="239">
        <v>73865</v>
      </c>
      <c r="P264" s="239"/>
      <c r="Q264" s="240"/>
      <c r="R264" s="238"/>
      <c r="S264" s="240"/>
      <c r="T264" s="236">
        <f t="shared" si="25"/>
        <v>103726</v>
      </c>
      <c r="U264" s="237">
        <f t="shared" si="26"/>
        <v>90686</v>
      </c>
      <c r="V264" s="238">
        <v>54865</v>
      </c>
      <c r="W264" s="239">
        <v>50066</v>
      </c>
      <c r="X264" s="241">
        <v>7099</v>
      </c>
      <c r="Y264" s="240">
        <v>6044</v>
      </c>
      <c r="Z264" s="238">
        <v>41762</v>
      </c>
      <c r="AA264" s="238">
        <v>0</v>
      </c>
      <c r="AB264" s="238">
        <v>0</v>
      </c>
      <c r="AC264" s="239">
        <v>34576</v>
      </c>
      <c r="AD264" s="239"/>
      <c r="AE264" s="240"/>
      <c r="AF264" s="238"/>
      <c r="AG264" s="239"/>
    </row>
    <row r="265" spans="1:33" x14ac:dyDescent="0.2">
      <c r="A265" s="227" t="s">
        <v>48</v>
      </c>
      <c r="B265" s="228" t="s">
        <v>228</v>
      </c>
      <c r="C265" s="361" t="s">
        <v>263</v>
      </c>
      <c r="D265" s="229">
        <v>199139</v>
      </c>
      <c r="E265" s="318">
        <v>2</v>
      </c>
      <c r="F265" s="235">
        <f t="shared" si="31"/>
        <v>566448</v>
      </c>
      <c r="G265" s="234">
        <f t="shared" si="32"/>
        <v>583305</v>
      </c>
      <c r="H265" s="238">
        <v>543221</v>
      </c>
      <c r="I265" s="239">
        <v>548071</v>
      </c>
      <c r="J265" s="238">
        <v>240</v>
      </c>
      <c r="K265" s="240">
        <v>174</v>
      </c>
      <c r="L265" s="238">
        <v>22975</v>
      </c>
      <c r="M265" s="238">
        <v>12</v>
      </c>
      <c r="N265" s="238">
        <v>0</v>
      </c>
      <c r="O265" s="239">
        <v>34885</v>
      </c>
      <c r="P265" s="239">
        <v>175</v>
      </c>
      <c r="Q265" s="240"/>
      <c r="R265" s="238"/>
      <c r="S265" s="240"/>
      <c r="T265" s="236">
        <f t="shared" si="25"/>
        <v>71816</v>
      </c>
      <c r="U265" s="237">
        <f t="shared" si="26"/>
        <v>72536</v>
      </c>
      <c r="V265" s="238">
        <v>59266</v>
      </c>
      <c r="W265" s="239">
        <v>58687</v>
      </c>
      <c r="X265" s="241">
        <v>2424</v>
      </c>
      <c r="Y265" s="240">
        <v>2814</v>
      </c>
      <c r="Z265" s="238">
        <v>10099</v>
      </c>
      <c r="AA265" s="238">
        <v>27</v>
      </c>
      <c r="AB265" s="238">
        <v>0</v>
      </c>
      <c r="AC265" s="239">
        <v>11035</v>
      </c>
      <c r="AD265" s="239"/>
      <c r="AE265" s="240"/>
      <c r="AF265" s="238"/>
      <c r="AG265" s="239"/>
    </row>
    <row r="266" spans="1:33" x14ac:dyDescent="0.2">
      <c r="A266" s="227" t="s">
        <v>48</v>
      </c>
      <c r="B266" s="228" t="s">
        <v>230</v>
      </c>
      <c r="C266" s="361"/>
      <c r="D266" s="229">
        <v>197869</v>
      </c>
      <c r="E266" s="318">
        <v>3</v>
      </c>
      <c r="F266" s="235">
        <f t="shared" si="31"/>
        <v>465831</v>
      </c>
      <c r="G266" s="234">
        <f t="shared" si="32"/>
        <v>474596</v>
      </c>
      <c r="H266" s="238">
        <v>447444</v>
      </c>
      <c r="I266" s="426">
        <v>454841</v>
      </c>
      <c r="J266" s="238">
        <v>8773</v>
      </c>
      <c r="K266" s="240">
        <v>7772</v>
      </c>
      <c r="L266" s="238">
        <v>9614</v>
      </c>
      <c r="M266" s="238">
        <v>0</v>
      </c>
      <c r="N266" s="238">
        <v>0</v>
      </c>
      <c r="O266" s="426">
        <v>11983</v>
      </c>
      <c r="P266" s="239"/>
      <c r="Q266" s="240"/>
      <c r="R266" s="238"/>
      <c r="S266" s="240"/>
      <c r="T266" s="236">
        <f t="shared" ref="T266:T306" si="33">SUM(V266,X266,Z266,AA266,AB266,AF266)</f>
        <v>37025</v>
      </c>
      <c r="U266" s="237">
        <f t="shared" ref="U266:U306" si="34">SUM(W266,Y266,AC266,AD266,AE266,AG266)</f>
        <v>35405</v>
      </c>
      <c r="V266" s="238">
        <v>22532</v>
      </c>
      <c r="W266" s="426">
        <v>22583</v>
      </c>
      <c r="X266" s="241">
        <v>9215</v>
      </c>
      <c r="Y266" s="240">
        <v>6519</v>
      </c>
      <c r="Z266" s="238">
        <v>5278</v>
      </c>
      <c r="AA266" s="238">
        <v>0</v>
      </c>
      <c r="AB266" s="238">
        <v>0</v>
      </c>
      <c r="AC266" s="426">
        <v>6303</v>
      </c>
      <c r="AD266" s="239"/>
      <c r="AE266" s="426"/>
      <c r="AF266" s="238"/>
      <c r="AG266" s="239"/>
    </row>
    <row r="267" spans="1:33" x14ac:dyDescent="0.2">
      <c r="A267" s="227" t="s">
        <v>48</v>
      </c>
      <c r="B267" s="228" t="s">
        <v>232</v>
      </c>
      <c r="C267" s="319"/>
      <c r="D267" s="229">
        <v>199102</v>
      </c>
      <c r="E267" s="318">
        <v>3</v>
      </c>
      <c r="F267" s="235">
        <f t="shared" si="31"/>
        <v>269574</v>
      </c>
      <c r="G267" s="234">
        <f t="shared" si="32"/>
        <v>257242</v>
      </c>
      <c r="H267" s="238">
        <v>246539</v>
      </c>
      <c r="I267" s="426">
        <v>237778</v>
      </c>
      <c r="J267" s="238">
        <v>1866</v>
      </c>
      <c r="K267" s="426">
        <v>356</v>
      </c>
      <c r="L267" s="238">
        <v>21065</v>
      </c>
      <c r="M267" s="238">
        <v>104</v>
      </c>
      <c r="N267" s="238">
        <v>0</v>
      </c>
      <c r="O267" s="239">
        <v>18908</v>
      </c>
      <c r="P267" s="239">
        <v>200</v>
      </c>
      <c r="Q267" s="240"/>
      <c r="R267" s="238"/>
      <c r="S267" s="240"/>
      <c r="T267" s="236">
        <f t="shared" si="33"/>
        <v>32637</v>
      </c>
      <c r="U267" s="237">
        <f t="shared" si="34"/>
        <v>33326</v>
      </c>
      <c r="V267" s="238">
        <v>23326</v>
      </c>
      <c r="W267" s="426">
        <v>23551</v>
      </c>
      <c r="X267" s="241">
        <v>2553</v>
      </c>
      <c r="Y267" s="426">
        <v>2204</v>
      </c>
      <c r="Z267" s="238">
        <v>6758</v>
      </c>
      <c r="AA267" s="238">
        <v>0</v>
      </c>
      <c r="AB267" s="238">
        <v>0</v>
      </c>
      <c r="AC267" s="239">
        <v>7571</v>
      </c>
      <c r="AD267" s="239"/>
      <c r="AE267" s="240"/>
      <c r="AF267" s="238"/>
      <c r="AG267" s="239"/>
    </row>
    <row r="268" spans="1:33" x14ac:dyDescent="0.2">
      <c r="A268" s="227" t="s">
        <v>48</v>
      </c>
      <c r="B268" s="228" t="s">
        <v>233</v>
      </c>
      <c r="C268" s="319"/>
      <c r="D268" s="229">
        <v>199157</v>
      </c>
      <c r="E268" s="318">
        <v>3</v>
      </c>
      <c r="F268" s="235">
        <f t="shared" si="31"/>
        <v>191123</v>
      </c>
      <c r="G268" s="234">
        <f t="shared" si="32"/>
        <v>188237</v>
      </c>
      <c r="H268" s="238">
        <v>170621</v>
      </c>
      <c r="I268" s="239">
        <v>163622</v>
      </c>
      <c r="J268" s="238">
        <v>165</v>
      </c>
      <c r="K268" s="240">
        <v>364</v>
      </c>
      <c r="L268" s="238">
        <v>20337</v>
      </c>
      <c r="M268" s="238">
        <v>0</v>
      </c>
      <c r="N268" s="238">
        <v>0</v>
      </c>
      <c r="O268" s="239">
        <v>24251</v>
      </c>
      <c r="P268" s="239"/>
      <c r="Q268" s="240"/>
      <c r="R268" s="238"/>
      <c r="S268" s="240"/>
      <c r="T268" s="236">
        <f t="shared" si="33"/>
        <v>41457</v>
      </c>
      <c r="U268" s="237">
        <f t="shared" si="34"/>
        <v>39583</v>
      </c>
      <c r="V268" s="238">
        <v>33173</v>
      </c>
      <c r="W268" s="239">
        <v>32143</v>
      </c>
      <c r="X268" s="241">
        <v>1059</v>
      </c>
      <c r="Y268" s="240">
        <v>590</v>
      </c>
      <c r="Z268" s="238">
        <v>7225</v>
      </c>
      <c r="AA268" s="238">
        <v>0</v>
      </c>
      <c r="AB268" s="238">
        <v>0</v>
      </c>
      <c r="AC268" s="239">
        <v>6850</v>
      </c>
      <c r="AD268" s="239"/>
      <c r="AE268" s="240"/>
      <c r="AF268" s="238"/>
      <c r="AG268" s="239"/>
    </row>
    <row r="269" spans="1:33" x14ac:dyDescent="0.2">
      <c r="A269" s="227" t="s">
        <v>48</v>
      </c>
      <c r="B269" s="228" t="s">
        <v>234</v>
      </c>
      <c r="C269" s="319"/>
      <c r="D269" s="229">
        <v>199218</v>
      </c>
      <c r="E269" s="318">
        <v>3</v>
      </c>
      <c r="F269" s="235">
        <f t="shared" si="31"/>
        <v>349604</v>
      </c>
      <c r="G269" s="234">
        <f t="shared" si="32"/>
        <v>360308</v>
      </c>
      <c r="H269" s="238">
        <v>316370</v>
      </c>
      <c r="I269" s="239">
        <v>324104</v>
      </c>
      <c r="J269" s="238">
        <v>11371</v>
      </c>
      <c r="K269" s="240">
        <v>3509</v>
      </c>
      <c r="L269" s="238">
        <v>21466</v>
      </c>
      <c r="M269" s="238">
        <v>42</v>
      </c>
      <c r="N269" s="238">
        <v>355</v>
      </c>
      <c r="O269" s="239">
        <v>31905</v>
      </c>
      <c r="P269" s="239">
        <v>240</v>
      </c>
      <c r="Q269" s="240">
        <v>550</v>
      </c>
      <c r="R269" s="238"/>
      <c r="S269" s="240"/>
      <c r="T269" s="236">
        <f t="shared" si="33"/>
        <v>20233</v>
      </c>
      <c r="U269" s="237">
        <f t="shared" si="34"/>
        <v>20388</v>
      </c>
      <c r="V269" s="238">
        <v>16250</v>
      </c>
      <c r="W269" s="239">
        <v>15336</v>
      </c>
      <c r="X269" s="241">
        <v>1181</v>
      </c>
      <c r="Y269" s="240">
        <v>883</v>
      </c>
      <c r="Z269" s="238">
        <v>2662</v>
      </c>
      <c r="AA269" s="238">
        <v>105</v>
      </c>
      <c r="AB269" s="238">
        <v>35</v>
      </c>
      <c r="AC269" s="239">
        <v>4065</v>
      </c>
      <c r="AD269" s="239">
        <v>21</v>
      </c>
      <c r="AE269" s="240">
        <v>83</v>
      </c>
      <c r="AF269" s="238"/>
      <c r="AG269" s="239"/>
    </row>
    <row r="270" spans="1:33" x14ac:dyDescent="0.2">
      <c r="A270" s="227" t="s">
        <v>48</v>
      </c>
      <c r="B270" s="228" t="s">
        <v>235</v>
      </c>
      <c r="C270" s="319"/>
      <c r="D270" s="229">
        <v>200004</v>
      </c>
      <c r="E270" s="318">
        <v>3</v>
      </c>
      <c r="F270" s="235">
        <f t="shared" si="31"/>
        <v>215841</v>
      </c>
      <c r="G270" s="234">
        <f t="shared" si="32"/>
        <v>221922</v>
      </c>
      <c r="H270" s="238">
        <v>192524</v>
      </c>
      <c r="I270" s="239">
        <v>196818</v>
      </c>
      <c r="J270" s="238">
        <v>2882</v>
      </c>
      <c r="K270" s="240">
        <v>2039</v>
      </c>
      <c r="L270" s="238">
        <v>20423</v>
      </c>
      <c r="M270" s="238">
        <v>12</v>
      </c>
      <c r="N270" s="238">
        <v>0</v>
      </c>
      <c r="O270" s="239">
        <v>23065</v>
      </c>
      <c r="P270" s="239"/>
      <c r="Q270" s="240"/>
      <c r="R270" s="238"/>
      <c r="S270" s="240"/>
      <c r="T270" s="236">
        <f t="shared" si="33"/>
        <v>31213</v>
      </c>
      <c r="U270" s="237">
        <f t="shared" si="34"/>
        <v>29833</v>
      </c>
      <c r="V270" s="238">
        <v>17721</v>
      </c>
      <c r="W270" s="239">
        <v>17060</v>
      </c>
      <c r="X270" s="241">
        <v>644</v>
      </c>
      <c r="Y270" s="240">
        <v>1321</v>
      </c>
      <c r="Z270" s="238">
        <v>12740</v>
      </c>
      <c r="AA270" s="238">
        <v>108</v>
      </c>
      <c r="AB270" s="238">
        <v>0</v>
      </c>
      <c r="AC270" s="239">
        <v>11452</v>
      </c>
      <c r="AD270" s="239"/>
      <c r="AE270" s="240"/>
      <c r="AF270" s="238"/>
      <c r="AG270" s="239"/>
    </row>
    <row r="271" spans="1:33" x14ac:dyDescent="0.2">
      <c r="A271" s="229" t="s">
        <v>48</v>
      </c>
      <c r="B271" s="228" t="s">
        <v>236</v>
      </c>
      <c r="C271" s="319"/>
      <c r="D271" s="229">
        <v>198543</v>
      </c>
      <c r="E271" s="318">
        <v>4</v>
      </c>
      <c r="F271" s="235">
        <f t="shared" si="31"/>
        <v>148382</v>
      </c>
      <c r="G271" s="234">
        <f t="shared" si="32"/>
        <v>148822</v>
      </c>
      <c r="H271" s="238">
        <v>121779</v>
      </c>
      <c r="I271" s="239">
        <v>118553</v>
      </c>
      <c r="J271" s="238">
        <v>2976</v>
      </c>
      <c r="K271" s="239">
        <v>2480</v>
      </c>
      <c r="L271" s="238">
        <v>23525</v>
      </c>
      <c r="M271" s="238">
        <v>99</v>
      </c>
      <c r="N271" s="238">
        <v>3</v>
      </c>
      <c r="O271" s="239">
        <v>27789</v>
      </c>
      <c r="P271" s="239"/>
      <c r="Q271" s="239"/>
      <c r="R271" s="238"/>
      <c r="S271" s="239"/>
      <c r="T271" s="236">
        <f t="shared" si="33"/>
        <v>10848</v>
      </c>
      <c r="U271" s="237">
        <f t="shared" si="34"/>
        <v>11372</v>
      </c>
      <c r="V271" s="238">
        <v>6176</v>
      </c>
      <c r="W271" s="239">
        <v>6381</v>
      </c>
      <c r="X271" s="241">
        <v>1996</v>
      </c>
      <c r="Y271" s="239">
        <v>2297</v>
      </c>
      <c r="Z271" s="238">
        <v>2676</v>
      </c>
      <c r="AA271" s="238">
        <v>0</v>
      </c>
      <c r="AB271" s="238">
        <v>0</v>
      </c>
      <c r="AC271" s="239">
        <v>2694</v>
      </c>
      <c r="AD271" s="239"/>
      <c r="AE271" s="239"/>
      <c r="AF271" s="238"/>
      <c r="AG271" s="239"/>
    </row>
    <row r="272" spans="1:33" x14ac:dyDescent="0.2">
      <c r="A272" s="229" t="s">
        <v>48</v>
      </c>
      <c r="B272" s="228" t="s">
        <v>237</v>
      </c>
      <c r="C272" s="319"/>
      <c r="D272" s="229">
        <v>199281</v>
      </c>
      <c r="E272" s="318">
        <v>5</v>
      </c>
      <c r="F272" s="235">
        <f t="shared" si="31"/>
        <v>158452</v>
      </c>
      <c r="G272" s="234">
        <f t="shared" si="32"/>
        <v>152310</v>
      </c>
      <c r="H272" s="238">
        <v>121438</v>
      </c>
      <c r="I272" s="239">
        <v>116973</v>
      </c>
      <c r="J272" s="238">
        <v>4301</v>
      </c>
      <c r="K272" s="240">
        <v>4103</v>
      </c>
      <c r="L272" s="238">
        <v>32199</v>
      </c>
      <c r="M272" s="238">
        <v>514</v>
      </c>
      <c r="N272" s="238">
        <v>0</v>
      </c>
      <c r="O272" s="239">
        <v>30338</v>
      </c>
      <c r="P272" s="239">
        <v>896</v>
      </c>
      <c r="Q272" s="240"/>
      <c r="R272" s="238"/>
      <c r="S272" s="240"/>
      <c r="T272" s="236">
        <f t="shared" si="33"/>
        <v>11674</v>
      </c>
      <c r="U272" s="237">
        <f t="shared" si="34"/>
        <v>11853</v>
      </c>
      <c r="V272" s="238">
        <v>3950</v>
      </c>
      <c r="W272" s="239">
        <v>5871</v>
      </c>
      <c r="X272" s="241">
        <v>1325</v>
      </c>
      <c r="Y272" s="240">
        <v>1534</v>
      </c>
      <c r="Z272" s="238">
        <v>6222</v>
      </c>
      <c r="AA272" s="238">
        <v>177</v>
      </c>
      <c r="AB272" s="238">
        <v>0</v>
      </c>
      <c r="AC272" s="239">
        <v>4094</v>
      </c>
      <c r="AD272" s="239">
        <v>354</v>
      </c>
      <c r="AE272" s="240"/>
      <c r="AF272" s="238"/>
      <c r="AG272" s="239"/>
    </row>
    <row r="273" spans="1:33" x14ac:dyDescent="0.2">
      <c r="A273" s="229" t="s">
        <v>48</v>
      </c>
      <c r="B273" s="228" t="s">
        <v>238</v>
      </c>
      <c r="C273" s="319"/>
      <c r="D273" s="229">
        <v>199999</v>
      </c>
      <c r="E273" s="318">
        <v>5</v>
      </c>
      <c r="F273" s="235">
        <f t="shared" si="31"/>
        <v>170464</v>
      </c>
      <c r="G273" s="234">
        <f t="shared" si="32"/>
        <v>155479</v>
      </c>
      <c r="H273" s="238">
        <v>137482</v>
      </c>
      <c r="I273" s="239">
        <v>122922</v>
      </c>
      <c r="J273" s="238">
        <v>12639</v>
      </c>
      <c r="K273" s="240">
        <v>9868</v>
      </c>
      <c r="L273" s="238">
        <v>20343</v>
      </c>
      <c r="M273" s="238">
        <v>0</v>
      </c>
      <c r="N273" s="238">
        <v>0</v>
      </c>
      <c r="O273" s="239">
        <v>22689</v>
      </c>
      <c r="P273" s="239"/>
      <c r="Q273" s="240"/>
      <c r="R273" s="238"/>
      <c r="S273" s="240"/>
      <c r="T273" s="236">
        <f t="shared" si="33"/>
        <v>11354</v>
      </c>
      <c r="U273" s="237">
        <f t="shared" si="34"/>
        <v>11017</v>
      </c>
      <c r="V273" s="238">
        <v>9579</v>
      </c>
      <c r="W273" s="239">
        <v>9200</v>
      </c>
      <c r="X273" s="241">
        <v>235</v>
      </c>
      <c r="Y273" s="240">
        <v>209</v>
      </c>
      <c r="Z273" s="238">
        <v>1534</v>
      </c>
      <c r="AA273" s="238">
        <v>6</v>
      </c>
      <c r="AB273" s="238">
        <v>0</v>
      </c>
      <c r="AC273" s="239">
        <v>1545</v>
      </c>
      <c r="AD273" s="239">
        <v>63</v>
      </c>
      <c r="AE273" s="240"/>
      <c r="AF273" s="238"/>
      <c r="AG273" s="239"/>
    </row>
    <row r="274" spans="1:33" x14ac:dyDescent="0.2">
      <c r="A274" s="229" t="s">
        <v>48</v>
      </c>
      <c r="B274" s="228" t="s">
        <v>239</v>
      </c>
      <c r="C274" s="319"/>
      <c r="D274" s="229">
        <v>198507</v>
      </c>
      <c r="E274" s="318">
        <v>6</v>
      </c>
      <c r="F274" s="235">
        <f t="shared" si="31"/>
        <v>95275</v>
      </c>
      <c r="G274" s="234">
        <f t="shared" si="32"/>
        <v>84812</v>
      </c>
      <c r="H274" s="238">
        <v>76745</v>
      </c>
      <c r="I274" s="239">
        <v>64962</v>
      </c>
      <c r="J274" s="238">
        <v>1580</v>
      </c>
      <c r="K274" s="240">
        <v>936</v>
      </c>
      <c r="L274" s="238">
        <v>16950</v>
      </c>
      <c r="M274" s="238">
        <v>0</v>
      </c>
      <c r="N274" s="238">
        <v>0</v>
      </c>
      <c r="O274" s="239">
        <v>18914</v>
      </c>
      <c r="P274" s="239"/>
      <c r="Q274" s="240"/>
      <c r="R274" s="238"/>
      <c r="S274" s="240"/>
      <c r="T274" s="236">
        <f t="shared" si="33"/>
        <v>1530</v>
      </c>
      <c r="U274" s="237">
        <f t="shared" si="34"/>
        <v>2090</v>
      </c>
      <c r="V274" s="238">
        <v>815</v>
      </c>
      <c r="W274" s="239">
        <v>1182</v>
      </c>
      <c r="X274" s="241">
        <v>33</v>
      </c>
      <c r="Y274" s="240"/>
      <c r="Z274" s="238">
        <v>682</v>
      </c>
      <c r="AA274" s="238">
        <v>0</v>
      </c>
      <c r="AB274" s="238">
        <v>0</v>
      </c>
      <c r="AC274" s="239">
        <v>908</v>
      </c>
      <c r="AD274" s="239"/>
      <c r="AE274" s="240"/>
      <c r="AF274" s="238"/>
      <c r="AG274" s="239"/>
    </row>
    <row r="275" spans="1:33" x14ac:dyDescent="0.2">
      <c r="A275" s="229" t="s">
        <v>48</v>
      </c>
      <c r="B275" s="228" t="s">
        <v>240</v>
      </c>
      <c r="C275" s="319"/>
      <c r="D275" s="229">
        <v>199111</v>
      </c>
      <c r="E275" s="318">
        <v>6</v>
      </c>
      <c r="F275" s="235">
        <f t="shared" si="31"/>
        <v>101367</v>
      </c>
      <c r="G275" s="234">
        <f t="shared" si="32"/>
        <v>97712</v>
      </c>
      <c r="H275" s="238">
        <v>99229</v>
      </c>
      <c r="I275" s="239">
        <v>95609</v>
      </c>
      <c r="J275" s="238">
        <v>1566</v>
      </c>
      <c r="K275" s="240">
        <v>1530</v>
      </c>
      <c r="L275" s="238">
        <v>102</v>
      </c>
      <c r="M275" s="238">
        <v>470</v>
      </c>
      <c r="N275" s="238">
        <v>0</v>
      </c>
      <c r="O275" s="239">
        <v>30</v>
      </c>
      <c r="P275" s="239">
        <v>543</v>
      </c>
      <c r="Q275" s="240"/>
      <c r="R275" s="238"/>
      <c r="S275" s="240"/>
      <c r="T275" s="236">
        <f t="shared" si="33"/>
        <v>542</v>
      </c>
      <c r="U275" s="237">
        <f t="shared" si="34"/>
        <v>491</v>
      </c>
      <c r="V275" s="238">
        <v>479</v>
      </c>
      <c r="W275" s="239">
        <v>491</v>
      </c>
      <c r="X275" s="241">
        <v>63</v>
      </c>
      <c r="Y275" s="240"/>
      <c r="Z275" s="238">
        <v>0</v>
      </c>
      <c r="AA275" s="238">
        <v>0</v>
      </c>
      <c r="AB275" s="238">
        <v>0</v>
      </c>
      <c r="AC275" s="239"/>
      <c r="AD275" s="239"/>
      <c r="AE275" s="240"/>
      <c r="AF275" s="238"/>
      <c r="AG275" s="239"/>
    </row>
    <row r="276" spans="1:33" x14ac:dyDescent="0.2">
      <c r="A276" s="505" t="s">
        <v>48</v>
      </c>
      <c r="B276" s="432" t="s">
        <v>551</v>
      </c>
      <c r="C276" s="434"/>
      <c r="D276" s="435">
        <v>197887</v>
      </c>
      <c r="E276" s="351">
        <v>8</v>
      </c>
      <c r="F276" s="235">
        <f t="shared" si="31"/>
        <v>170479</v>
      </c>
      <c r="G276" s="234">
        <f t="shared" si="32"/>
        <v>169156</v>
      </c>
      <c r="H276" s="392">
        <v>128539</v>
      </c>
      <c r="I276" s="393">
        <v>109938</v>
      </c>
      <c r="J276" s="392">
        <v>3660</v>
      </c>
      <c r="K276" s="516">
        <v>2807</v>
      </c>
      <c r="L276" s="238">
        <v>38280</v>
      </c>
      <c r="M276" s="392">
        <v>0</v>
      </c>
      <c r="N276" s="392">
        <v>0</v>
      </c>
      <c r="O276" s="393">
        <v>56411</v>
      </c>
      <c r="P276" s="393">
        <v>0</v>
      </c>
      <c r="Q276" s="516">
        <v>0</v>
      </c>
      <c r="R276" s="392"/>
      <c r="S276" s="516"/>
      <c r="T276" s="236">
        <f t="shared" si="33"/>
        <v>0</v>
      </c>
      <c r="U276" s="237">
        <f t="shared" si="34"/>
        <v>0</v>
      </c>
      <c r="V276" s="392"/>
      <c r="W276" s="393"/>
      <c r="X276" s="394"/>
      <c r="Y276" s="516"/>
      <c r="Z276" s="392"/>
      <c r="AA276" s="392"/>
      <c r="AB276" s="392"/>
      <c r="AC276" s="393"/>
      <c r="AD276" s="393"/>
      <c r="AE276" s="516"/>
      <c r="AF276" s="392"/>
      <c r="AG276" s="393"/>
    </row>
    <row r="277" spans="1:33" x14ac:dyDescent="0.2">
      <c r="A277" s="505" t="s">
        <v>48</v>
      </c>
      <c r="B277" s="432" t="s">
        <v>552</v>
      </c>
      <c r="C277" s="434"/>
      <c r="D277" s="435">
        <v>198154</v>
      </c>
      <c r="E277" s="351">
        <v>8</v>
      </c>
      <c r="F277" s="235">
        <f t="shared" si="31"/>
        <v>222712</v>
      </c>
      <c r="G277" s="234">
        <f t="shared" si="32"/>
        <v>216572</v>
      </c>
      <c r="H277" s="238">
        <v>160180</v>
      </c>
      <c r="I277" s="239">
        <v>154535</v>
      </c>
      <c r="J277" s="238">
        <v>2115</v>
      </c>
      <c r="K277" s="240">
        <v>808</v>
      </c>
      <c r="L277" s="238">
        <v>60417</v>
      </c>
      <c r="M277" s="238">
        <v>0</v>
      </c>
      <c r="N277" s="238">
        <v>0</v>
      </c>
      <c r="O277" s="239">
        <v>61229</v>
      </c>
      <c r="P277" s="239">
        <v>0</v>
      </c>
      <c r="Q277" s="240">
        <v>0</v>
      </c>
      <c r="R277" s="238"/>
      <c r="S277" s="240"/>
      <c r="T277" s="236">
        <f t="shared" si="33"/>
        <v>0</v>
      </c>
      <c r="U277" s="237">
        <f t="shared" si="34"/>
        <v>0</v>
      </c>
      <c r="V277" s="238"/>
      <c r="W277" s="239"/>
      <c r="X277" s="241"/>
      <c r="Y277" s="240"/>
      <c r="Z277" s="238"/>
      <c r="AA277" s="238"/>
      <c r="AB277" s="238"/>
      <c r="AC277" s="239"/>
      <c r="AD277" s="239"/>
      <c r="AE277" s="240"/>
      <c r="AF277" s="238"/>
      <c r="AG277" s="239"/>
    </row>
    <row r="278" spans="1:33" x14ac:dyDescent="0.2">
      <c r="A278" s="505" t="s">
        <v>48</v>
      </c>
      <c r="B278" s="432" t="s">
        <v>553</v>
      </c>
      <c r="C278" s="434"/>
      <c r="D278" s="435">
        <v>198260</v>
      </c>
      <c r="E278" s="351">
        <v>8</v>
      </c>
      <c r="F278" s="235">
        <f t="shared" si="31"/>
        <v>406206</v>
      </c>
      <c r="G278" s="234">
        <f t="shared" si="32"/>
        <v>403022</v>
      </c>
      <c r="H278" s="238">
        <v>291855</v>
      </c>
      <c r="I278" s="239">
        <v>284295</v>
      </c>
      <c r="J278" s="238">
        <v>2167</v>
      </c>
      <c r="K278" s="240">
        <v>2678</v>
      </c>
      <c r="L278" s="238">
        <v>108291</v>
      </c>
      <c r="M278" s="238">
        <v>0</v>
      </c>
      <c r="N278" s="238">
        <v>3893</v>
      </c>
      <c r="O278" s="239">
        <v>112870</v>
      </c>
      <c r="P278" s="239">
        <v>0</v>
      </c>
      <c r="Q278" s="240">
        <v>3179</v>
      </c>
      <c r="R278" s="238"/>
      <c r="S278" s="240"/>
      <c r="T278" s="236">
        <f t="shared" si="33"/>
        <v>0</v>
      </c>
      <c r="U278" s="237">
        <f t="shared" si="34"/>
        <v>0</v>
      </c>
      <c r="V278" s="238"/>
      <c r="W278" s="239"/>
      <c r="X278" s="241"/>
      <c r="Y278" s="240"/>
      <c r="Z278" s="238"/>
      <c r="AA278" s="238"/>
      <c r="AB278" s="238"/>
      <c r="AC278" s="239"/>
      <c r="AD278" s="239"/>
      <c r="AE278" s="240"/>
      <c r="AF278" s="238"/>
      <c r="AG278" s="239"/>
    </row>
    <row r="279" spans="1:33" x14ac:dyDescent="0.2">
      <c r="A279" s="505" t="s">
        <v>48</v>
      </c>
      <c r="B279" s="432" t="s">
        <v>554</v>
      </c>
      <c r="C279" s="434"/>
      <c r="D279" s="435">
        <v>198534</v>
      </c>
      <c r="E279" s="351">
        <v>8</v>
      </c>
      <c r="F279" s="235">
        <f t="shared" si="31"/>
        <v>236595</v>
      </c>
      <c r="G279" s="234">
        <f t="shared" si="32"/>
        <v>255208</v>
      </c>
      <c r="H279" s="238">
        <v>143996</v>
      </c>
      <c r="I279" s="239">
        <v>149662</v>
      </c>
      <c r="J279" s="238">
        <v>2305</v>
      </c>
      <c r="K279" s="240">
        <v>1606</v>
      </c>
      <c r="L279" s="238">
        <v>89164</v>
      </c>
      <c r="M279" s="238">
        <v>1130</v>
      </c>
      <c r="N279" s="238">
        <v>0</v>
      </c>
      <c r="O279" s="239">
        <v>102851</v>
      </c>
      <c r="P279" s="239">
        <v>1089</v>
      </c>
      <c r="Q279" s="240">
        <v>0</v>
      </c>
      <c r="R279" s="238"/>
      <c r="S279" s="240"/>
      <c r="T279" s="236">
        <f t="shared" si="33"/>
        <v>0</v>
      </c>
      <c r="U279" s="237">
        <f t="shared" si="34"/>
        <v>0</v>
      </c>
      <c r="V279" s="238"/>
      <c r="W279" s="239"/>
      <c r="X279" s="241"/>
      <c r="Y279" s="240"/>
      <c r="Z279" s="238"/>
      <c r="AA279" s="238"/>
      <c r="AB279" s="238"/>
      <c r="AC279" s="239"/>
      <c r="AD279" s="239"/>
      <c r="AE279" s="240"/>
      <c r="AF279" s="238"/>
      <c r="AG279" s="239"/>
    </row>
    <row r="280" spans="1:33" x14ac:dyDescent="0.2">
      <c r="A280" s="505" t="s">
        <v>48</v>
      </c>
      <c r="B280" s="432" t="s">
        <v>555</v>
      </c>
      <c r="C280" s="434"/>
      <c r="D280" s="435">
        <v>198552</v>
      </c>
      <c r="E280" s="351">
        <v>8</v>
      </c>
      <c r="F280" s="235">
        <f t="shared" si="31"/>
        <v>227337</v>
      </c>
      <c r="G280" s="234">
        <f t="shared" si="32"/>
        <v>232956</v>
      </c>
      <c r="H280" s="238">
        <v>148284</v>
      </c>
      <c r="I280" s="239">
        <v>151483</v>
      </c>
      <c r="J280" s="238">
        <v>5446</v>
      </c>
      <c r="K280" s="240">
        <v>5335</v>
      </c>
      <c r="L280" s="238">
        <v>72293</v>
      </c>
      <c r="M280" s="238">
        <v>1314</v>
      </c>
      <c r="N280" s="238">
        <v>0</v>
      </c>
      <c r="O280" s="239">
        <v>75092</v>
      </c>
      <c r="P280" s="239">
        <v>1046</v>
      </c>
      <c r="Q280" s="240">
        <v>0</v>
      </c>
      <c r="R280" s="238"/>
      <c r="S280" s="240"/>
      <c r="T280" s="236">
        <f t="shared" si="33"/>
        <v>0</v>
      </c>
      <c r="U280" s="237">
        <f t="shared" si="34"/>
        <v>0</v>
      </c>
      <c r="V280" s="238"/>
      <c r="W280" s="239"/>
      <c r="X280" s="241"/>
      <c r="Y280" s="240"/>
      <c r="Z280" s="238"/>
      <c r="AA280" s="238"/>
      <c r="AB280" s="238"/>
      <c r="AC280" s="239"/>
      <c r="AD280" s="239"/>
      <c r="AE280" s="240"/>
      <c r="AF280" s="238"/>
      <c r="AG280" s="239"/>
    </row>
    <row r="281" spans="1:33" x14ac:dyDescent="0.2">
      <c r="A281" s="505" t="s">
        <v>48</v>
      </c>
      <c r="B281" s="432" t="s">
        <v>556</v>
      </c>
      <c r="C281" s="433" t="s">
        <v>609</v>
      </c>
      <c r="D281" s="436">
        <v>198570</v>
      </c>
      <c r="E281" s="347">
        <v>8</v>
      </c>
      <c r="F281" s="235">
        <f t="shared" si="31"/>
        <v>149083</v>
      </c>
      <c r="G281" s="234">
        <f t="shared" si="32"/>
        <v>136184</v>
      </c>
      <c r="H281" s="238">
        <v>100582</v>
      </c>
      <c r="I281" s="239">
        <v>88356</v>
      </c>
      <c r="J281" s="238">
        <v>2252</v>
      </c>
      <c r="K281" s="240">
        <v>1290</v>
      </c>
      <c r="L281" s="238">
        <v>45358</v>
      </c>
      <c r="M281" s="238">
        <v>891</v>
      </c>
      <c r="N281" s="238">
        <v>0</v>
      </c>
      <c r="O281" s="239">
        <v>45815</v>
      </c>
      <c r="P281" s="239">
        <v>723</v>
      </c>
      <c r="Q281" s="240">
        <v>0</v>
      </c>
      <c r="R281" s="238"/>
      <c r="S281" s="240"/>
      <c r="T281" s="236">
        <f t="shared" si="33"/>
        <v>0</v>
      </c>
      <c r="U281" s="237">
        <f t="shared" si="34"/>
        <v>0</v>
      </c>
      <c r="V281" s="238"/>
      <c r="W281" s="239"/>
      <c r="X281" s="241"/>
      <c r="Y281" s="240"/>
      <c r="Z281" s="238"/>
      <c r="AA281" s="238"/>
      <c r="AB281" s="238"/>
      <c r="AC281" s="239"/>
      <c r="AD281" s="239"/>
      <c r="AE281" s="240"/>
      <c r="AF281" s="238"/>
      <c r="AG281" s="239"/>
    </row>
    <row r="282" spans="1:33" x14ac:dyDescent="0.2">
      <c r="A282" s="505" t="s">
        <v>48</v>
      </c>
      <c r="B282" s="432" t="s">
        <v>557</v>
      </c>
      <c r="C282" s="434"/>
      <c r="D282" s="435">
        <v>198622</v>
      </c>
      <c r="E282" s="351">
        <v>8</v>
      </c>
      <c r="F282" s="235">
        <f t="shared" si="31"/>
        <v>360948</v>
      </c>
      <c r="G282" s="234">
        <f t="shared" si="32"/>
        <v>350945</v>
      </c>
      <c r="H282" s="238">
        <v>251398</v>
      </c>
      <c r="I282" s="239">
        <v>211110</v>
      </c>
      <c r="J282" s="238">
        <v>2839</v>
      </c>
      <c r="K282" s="240">
        <v>2946</v>
      </c>
      <c r="L282" s="238">
        <v>106711</v>
      </c>
      <c r="M282" s="238">
        <v>0</v>
      </c>
      <c r="N282" s="238">
        <v>0</v>
      </c>
      <c r="O282" s="239">
        <v>136889</v>
      </c>
      <c r="P282" s="239">
        <v>0</v>
      </c>
      <c r="Q282" s="240">
        <v>0</v>
      </c>
      <c r="R282" s="238"/>
      <c r="S282" s="240"/>
      <c r="T282" s="236">
        <f t="shared" si="33"/>
        <v>0</v>
      </c>
      <c r="U282" s="237">
        <f t="shared" si="34"/>
        <v>0</v>
      </c>
      <c r="V282" s="238"/>
      <c r="W282" s="239"/>
      <c r="X282" s="241"/>
      <c r="Y282" s="240"/>
      <c r="Z282" s="238"/>
      <c r="AA282" s="238"/>
      <c r="AB282" s="238"/>
      <c r="AC282" s="239"/>
      <c r="AD282" s="239"/>
      <c r="AE282" s="240"/>
      <c r="AF282" s="238"/>
      <c r="AG282" s="239"/>
    </row>
    <row r="283" spans="1:33" x14ac:dyDescent="0.2">
      <c r="A283" s="505" t="s">
        <v>48</v>
      </c>
      <c r="B283" s="432" t="s">
        <v>558</v>
      </c>
      <c r="C283" s="434"/>
      <c r="D283" s="435">
        <v>199333</v>
      </c>
      <c r="E283" s="351">
        <v>8</v>
      </c>
      <c r="F283" s="235">
        <f t="shared" si="31"/>
        <v>203653</v>
      </c>
      <c r="G283" s="234">
        <f t="shared" si="32"/>
        <v>198387</v>
      </c>
      <c r="H283" s="238">
        <v>126498</v>
      </c>
      <c r="I283" s="239">
        <v>119571</v>
      </c>
      <c r="J283" s="238">
        <v>8561</v>
      </c>
      <c r="K283" s="240">
        <v>7863</v>
      </c>
      <c r="L283" s="238">
        <v>68594</v>
      </c>
      <c r="M283" s="238">
        <v>0</v>
      </c>
      <c r="N283" s="238">
        <v>0</v>
      </c>
      <c r="O283" s="395">
        <v>70953</v>
      </c>
      <c r="P283" s="239">
        <v>0</v>
      </c>
      <c r="Q283" s="240">
        <v>0</v>
      </c>
      <c r="R283" s="238"/>
      <c r="S283" s="240"/>
      <c r="T283" s="236">
        <f t="shared" si="33"/>
        <v>0</v>
      </c>
      <c r="U283" s="237">
        <f t="shared" si="34"/>
        <v>0</v>
      </c>
      <c r="V283" s="238"/>
      <c r="W283" s="239"/>
      <c r="X283" s="241"/>
      <c r="Y283" s="240"/>
      <c r="Z283" s="238"/>
      <c r="AA283" s="238"/>
      <c r="AB283" s="238"/>
      <c r="AC283" s="239"/>
      <c r="AD283" s="239"/>
      <c r="AE283" s="240"/>
      <c r="AF283" s="238"/>
      <c r="AG283" s="239"/>
    </row>
    <row r="284" spans="1:33" x14ac:dyDescent="0.2">
      <c r="A284" s="337" t="s">
        <v>48</v>
      </c>
      <c r="B284" s="341" t="s">
        <v>559</v>
      </c>
      <c r="C284" s="437"/>
      <c r="D284" s="438">
        <v>199494</v>
      </c>
      <c r="E284" s="353">
        <v>8</v>
      </c>
      <c r="F284" s="235">
        <f t="shared" si="31"/>
        <v>171180</v>
      </c>
      <c r="G284" s="234">
        <f t="shared" si="32"/>
        <v>153750</v>
      </c>
      <c r="H284" s="238">
        <v>130991</v>
      </c>
      <c r="I284" s="396">
        <v>115821</v>
      </c>
      <c r="J284" s="238">
        <v>2663</v>
      </c>
      <c r="K284" s="397">
        <v>3398</v>
      </c>
      <c r="L284" s="238">
        <v>35495</v>
      </c>
      <c r="M284" s="238">
        <v>168</v>
      </c>
      <c r="N284" s="238">
        <v>1863</v>
      </c>
      <c r="O284" s="396">
        <v>34114</v>
      </c>
      <c r="P284" s="239">
        <v>0</v>
      </c>
      <c r="Q284" s="240">
        <v>417</v>
      </c>
      <c r="R284" s="238"/>
      <c r="S284" s="240"/>
      <c r="T284" s="236">
        <f t="shared" si="33"/>
        <v>0</v>
      </c>
      <c r="U284" s="237">
        <f t="shared" si="34"/>
        <v>0</v>
      </c>
      <c r="V284" s="238"/>
      <c r="W284" s="396"/>
      <c r="X284" s="241"/>
      <c r="Y284" s="397"/>
      <c r="Z284" s="238"/>
      <c r="AA284" s="238"/>
      <c r="AB284" s="238"/>
      <c r="AC284" s="396"/>
      <c r="AD284" s="239"/>
      <c r="AE284" s="240"/>
      <c r="AF284" s="238"/>
      <c r="AG284" s="239"/>
    </row>
    <row r="285" spans="1:33" x14ac:dyDescent="0.2">
      <c r="A285" s="505" t="s">
        <v>48</v>
      </c>
      <c r="B285" s="432" t="s">
        <v>560</v>
      </c>
      <c r="C285" s="434"/>
      <c r="D285" s="435">
        <v>199856</v>
      </c>
      <c r="E285" s="351">
        <v>8</v>
      </c>
      <c r="F285" s="235">
        <f t="shared" si="31"/>
        <v>380061</v>
      </c>
      <c r="G285" s="234">
        <f t="shared" si="32"/>
        <v>399920</v>
      </c>
      <c r="H285" s="238">
        <v>274597</v>
      </c>
      <c r="I285" s="398">
        <v>275546</v>
      </c>
      <c r="J285" s="238">
        <v>4590</v>
      </c>
      <c r="K285" s="399">
        <v>4102</v>
      </c>
      <c r="L285" s="238">
        <v>100769</v>
      </c>
      <c r="M285" s="238">
        <v>105</v>
      </c>
      <c r="N285" s="238">
        <v>0</v>
      </c>
      <c r="O285" s="398">
        <v>120272</v>
      </c>
      <c r="P285" s="400">
        <v>0</v>
      </c>
      <c r="Q285" s="401">
        <v>0</v>
      </c>
      <c r="R285" s="238"/>
      <c r="S285" s="401"/>
      <c r="T285" s="236">
        <f t="shared" si="33"/>
        <v>0</v>
      </c>
      <c r="U285" s="237">
        <f t="shared" si="34"/>
        <v>0</v>
      </c>
      <c r="V285" s="238"/>
      <c r="W285" s="398"/>
      <c r="X285" s="241"/>
      <c r="Y285" s="399"/>
      <c r="Z285" s="238"/>
      <c r="AA285" s="238"/>
      <c r="AB285" s="238"/>
      <c r="AC285" s="398"/>
      <c r="AD285" s="400"/>
      <c r="AE285" s="401"/>
      <c r="AF285" s="238"/>
      <c r="AG285" s="400"/>
    </row>
    <row r="286" spans="1:33" x14ac:dyDescent="0.2">
      <c r="A286" s="505" t="s">
        <v>48</v>
      </c>
      <c r="B286" s="432" t="s">
        <v>561</v>
      </c>
      <c r="C286" s="433"/>
      <c r="D286" s="435">
        <v>199786</v>
      </c>
      <c r="E286" s="351">
        <v>9</v>
      </c>
      <c r="F286" s="235">
        <f t="shared" si="31"/>
        <v>117779</v>
      </c>
      <c r="G286" s="234">
        <f t="shared" si="32"/>
        <v>106618</v>
      </c>
      <c r="H286" s="238">
        <v>95315</v>
      </c>
      <c r="I286" s="398">
        <v>82995</v>
      </c>
      <c r="J286" s="238">
        <v>3381</v>
      </c>
      <c r="K286" s="399">
        <v>2592</v>
      </c>
      <c r="L286" s="238">
        <v>19083</v>
      </c>
      <c r="M286" s="238">
        <v>0</v>
      </c>
      <c r="N286" s="238">
        <v>0</v>
      </c>
      <c r="O286" s="398">
        <v>21031</v>
      </c>
      <c r="P286" s="239">
        <v>0</v>
      </c>
      <c r="Q286" s="240">
        <v>0</v>
      </c>
      <c r="R286" s="238"/>
      <c r="S286" s="240"/>
      <c r="T286" s="236">
        <f t="shared" si="33"/>
        <v>0</v>
      </c>
      <c r="U286" s="237">
        <f t="shared" si="34"/>
        <v>0</v>
      </c>
      <c r="V286" s="238"/>
      <c r="W286" s="398"/>
      <c r="X286" s="241"/>
      <c r="Y286" s="399"/>
      <c r="Z286" s="238"/>
      <c r="AA286" s="238"/>
      <c r="AB286" s="238"/>
      <c r="AC286" s="398"/>
      <c r="AD286" s="239"/>
      <c r="AE286" s="240"/>
      <c r="AF286" s="238"/>
      <c r="AG286" s="239"/>
    </row>
    <row r="287" spans="1:33" x14ac:dyDescent="0.2">
      <c r="A287" s="505" t="s">
        <v>48</v>
      </c>
      <c r="B287" s="432" t="s">
        <v>562</v>
      </c>
      <c r="C287" s="433"/>
      <c r="D287" s="435">
        <v>198118</v>
      </c>
      <c r="E287" s="351">
        <v>9</v>
      </c>
      <c r="F287" s="235">
        <f t="shared" si="31"/>
        <v>108746</v>
      </c>
      <c r="G287" s="234">
        <f t="shared" si="32"/>
        <v>104983</v>
      </c>
      <c r="H287" s="238">
        <v>65013</v>
      </c>
      <c r="I287" s="239">
        <v>63586</v>
      </c>
      <c r="J287" s="238">
        <v>4094</v>
      </c>
      <c r="K287" s="240">
        <v>1833</v>
      </c>
      <c r="L287" s="238">
        <v>34951</v>
      </c>
      <c r="M287" s="238">
        <v>4688</v>
      </c>
      <c r="N287" s="238">
        <v>0</v>
      </c>
      <c r="O287" s="239">
        <v>34903</v>
      </c>
      <c r="P287" s="239">
        <v>4583</v>
      </c>
      <c r="Q287" s="240">
        <v>78</v>
      </c>
      <c r="R287" s="238"/>
      <c r="S287" s="240"/>
      <c r="T287" s="236">
        <f t="shared" si="33"/>
        <v>0</v>
      </c>
      <c r="U287" s="237">
        <f t="shared" si="34"/>
        <v>0</v>
      </c>
      <c r="V287" s="238"/>
      <c r="W287" s="239"/>
      <c r="X287" s="241"/>
      <c r="Y287" s="240"/>
      <c r="Z287" s="238"/>
      <c r="AA287" s="238"/>
      <c r="AB287" s="238"/>
      <c r="AC287" s="239"/>
      <c r="AD287" s="239"/>
      <c r="AE287" s="240"/>
      <c r="AF287" s="238"/>
      <c r="AG287" s="239"/>
    </row>
    <row r="288" spans="1:33" x14ac:dyDescent="0.2">
      <c r="A288" s="505" t="s">
        <v>48</v>
      </c>
      <c r="B288" s="432" t="s">
        <v>563</v>
      </c>
      <c r="C288" s="433"/>
      <c r="D288" s="436">
        <v>198233</v>
      </c>
      <c r="E288" s="347">
        <v>9</v>
      </c>
      <c r="F288" s="235">
        <f t="shared" si="31"/>
        <v>124083</v>
      </c>
      <c r="G288" s="234">
        <f t="shared" si="32"/>
        <v>112490</v>
      </c>
      <c r="H288" s="238">
        <v>77648</v>
      </c>
      <c r="I288" s="402">
        <v>70013</v>
      </c>
      <c r="J288" s="238">
        <v>3634</v>
      </c>
      <c r="K288" s="403">
        <v>2211</v>
      </c>
      <c r="L288" s="238">
        <v>41889</v>
      </c>
      <c r="M288" s="238">
        <v>0</v>
      </c>
      <c r="N288" s="238">
        <v>912</v>
      </c>
      <c r="O288" s="402">
        <v>39756</v>
      </c>
      <c r="P288" s="239">
        <v>0</v>
      </c>
      <c r="Q288" s="240">
        <v>510</v>
      </c>
      <c r="R288" s="238"/>
      <c r="S288" s="240"/>
      <c r="T288" s="236">
        <f t="shared" si="33"/>
        <v>0</v>
      </c>
      <c r="U288" s="237">
        <f t="shared" si="34"/>
        <v>0</v>
      </c>
      <c r="V288" s="238"/>
      <c r="W288" s="402"/>
      <c r="X288" s="241"/>
      <c r="Y288" s="403"/>
      <c r="Z288" s="238"/>
      <c r="AA288" s="238"/>
      <c r="AB288" s="238"/>
      <c r="AC288" s="402"/>
      <c r="AD288" s="239"/>
      <c r="AE288" s="240"/>
      <c r="AF288" s="238"/>
      <c r="AG288" s="239"/>
    </row>
    <row r="289" spans="1:33" x14ac:dyDescent="0.2">
      <c r="A289" s="505" t="s">
        <v>48</v>
      </c>
      <c r="B289" s="432" t="s">
        <v>564</v>
      </c>
      <c r="C289" s="433"/>
      <c r="D289" s="436">
        <v>198251</v>
      </c>
      <c r="E289" s="347">
        <v>9</v>
      </c>
      <c r="F289" s="235">
        <f t="shared" si="31"/>
        <v>107450</v>
      </c>
      <c r="G289" s="234">
        <f t="shared" si="32"/>
        <v>96971</v>
      </c>
      <c r="H289" s="238">
        <v>65826</v>
      </c>
      <c r="I289" s="239">
        <v>60532</v>
      </c>
      <c r="J289" s="238">
        <v>5023</v>
      </c>
      <c r="K289" s="240">
        <v>2813</v>
      </c>
      <c r="L289" s="238">
        <v>36601</v>
      </c>
      <c r="M289" s="238">
        <v>0</v>
      </c>
      <c r="N289" s="238">
        <v>0</v>
      </c>
      <c r="O289" s="239">
        <v>33626</v>
      </c>
      <c r="P289" s="239">
        <v>0</v>
      </c>
      <c r="Q289" s="240">
        <v>0</v>
      </c>
      <c r="R289" s="238"/>
      <c r="S289" s="240"/>
      <c r="T289" s="236">
        <f t="shared" si="33"/>
        <v>0</v>
      </c>
      <c r="U289" s="237">
        <f t="shared" si="34"/>
        <v>0</v>
      </c>
      <c r="V289" s="238"/>
      <c r="W289" s="239"/>
      <c r="X289" s="241"/>
      <c r="Y289" s="240"/>
      <c r="Z289" s="238"/>
      <c r="AA289" s="238"/>
      <c r="AB289" s="238"/>
      <c r="AC289" s="239"/>
      <c r="AD289" s="239"/>
      <c r="AE289" s="240"/>
      <c r="AF289" s="238"/>
      <c r="AG289" s="239"/>
    </row>
    <row r="290" spans="1:33" x14ac:dyDescent="0.2">
      <c r="A290" s="505" t="s">
        <v>48</v>
      </c>
      <c r="B290" s="432" t="s">
        <v>565</v>
      </c>
      <c r="C290" s="433"/>
      <c r="D290" s="435">
        <v>198321</v>
      </c>
      <c r="E290" s="351">
        <v>9</v>
      </c>
      <c r="F290" s="235">
        <f t="shared" si="31"/>
        <v>82564</v>
      </c>
      <c r="G290" s="234">
        <f t="shared" si="32"/>
        <v>70715</v>
      </c>
      <c r="H290" s="238">
        <v>50903</v>
      </c>
      <c r="I290" s="239">
        <v>39916</v>
      </c>
      <c r="J290" s="238">
        <v>3399</v>
      </c>
      <c r="K290" s="240">
        <v>1793</v>
      </c>
      <c r="L290" s="238">
        <v>28160</v>
      </c>
      <c r="M290" s="238">
        <v>72</v>
      </c>
      <c r="N290" s="238">
        <v>30</v>
      </c>
      <c r="O290" s="239">
        <v>28782</v>
      </c>
      <c r="P290" s="239">
        <v>224</v>
      </c>
      <c r="Q290" s="240">
        <v>0</v>
      </c>
      <c r="R290" s="238"/>
      <c r="S290" s="240"/>
      <c r="T290" s="236">
        <f t="shared" si="33"/>
        <v>0</v>
      </c>
      <c r="U290" s="237">
        <f t="shared" si="34"/>
        <v>0</v>
      </c>
      <c r="V290" s="238"/>
      <c r="W290" s="239"/>
      <c r="X290" s="241"/>
      <c r="Y290" s="240"/>
      <c r="Z290" s="238"/>
      <c r="AA290" s="238"/>
      <c r="AB290" s="238"/>
      <c r="AC290" s="239"/>
      <c r="AD290" s="239"/>
      <c r="AE290" s="240"/>
      <c r="AF290" s="238"/>
      <c r="AG290" s="239"/>
    </row>
    <row r="291" spans="1:33" x14ac:dyDescent="0.2">
      <c r="A291" s="505" t="s">
        <v>48</v>
      </c>
      <c r="B291" s="340" t="s">
        <v>566</v>
      </c>
      <c r="C291" s="439"/>
      <c r="D291" s="435">
        <v>198330</v>
      </c>
      <c r="E291" s="351">
        <v>9</v>
      </c>
      <c r="F291" s="235">
        <f t="shared" si="31"/>
        <v>102920</v>
      </c>
      <c r="G291" s="234">
        <f t="shared" si="32"/>
        <v>114812</v>
      </c>
      <c r="H291" s="238">
        <v>80563</v>
      </c>
      <c r="I291" s="239">
        <v>87435</v>
      </c>
      <c r="J291" s="238">
        <v>933</v>
      </c>
      <c r="K291" s="240">
        <v>828</v>
      </c>
      <c r="L291" s="238">
        <v>21424</v>
      </c>
      <c r="M291" s="238">
        <v>0</v>
      </c>
      <c r="N291" s="238">
        <v>0</v>
      </c>
      <c r="O291" s="239">
        <v>26549</v>
      </c>
      <c r="P291" s="239">
        <v>0</v>
      </c>
      <c r="Q291" s="240">
        <v>0</v>
      </c>
      <c r="R291" s="238"/>
      <c r="S291" s="240"/>
      <c r="T291" s="236">
        <f t="shared" si="33"/>
        <v>0</v>
      </c>
      <c r="U291" s="237">
        <f t="shared" si="34"/>
        <v>0</v>
      </c>
      <c r="V291" s="238"/>
      <c r="W291" s="239"/>
      <c r="X291" s="241"/>
      <c r="Y291" s="240"/>
      <c r="Z291" s="238"/>
      <c r="AA291" s="238"/>
      <c r="AB291" s="238"/>
      <c r="AC291" s="239"/>
      <c r="AD291" s="239"/>
      <c r="AE291" s="240"/>
      <c r="AF291" s="238"/>
      <c r="AG291" s="239"/>
    </row>
    <row r="292" spans="1:33" x14ac:dyDescent="0.2">
      <c r="A292" s="505" t="s">
        <v>48</v>
      </c>
      <c r="B292" s="432" t="s">
        <v>567</v>
      </c>
      <c r="C292" s="434"/>
      <c r="D292" s="435">
        <v>198367</v>
      </c>
      <c r="E292" s="351">
        <v>9</v>
      </c>
      <c r="F292" s="235">
        <f t="shared" si="31"/>
        <v>80746</v>
      </c>
      <c r="G292" s="234">
        <f t="shared" si="32"/>
        <v>75891</v>
      </c>
      <c r="H292" s="238">
        <v>42311</v>
      </c>
      <c r="I292" s="239">
        <v>40405</v>
      </c>
      <c r="J292" s="238">
        <v>898</v>
      </c>
      <c r="K292" s="240">
        <v>1006</v>
      </c>
      <c r="L292" s="238">
        <v>37537</v>
      </c>
      <c r="M292" s="238">
        <v>0</v>
      </c>
      <c r="N292" s="238">
        <v>0</v>
      </c>
      <c r="O292" s="239">
        <v>34480</v>
      </c>
      <c r="P292" s="239">
        <v>0</v>
      </c>
      <c r="Q292" s="240">
        <v>0</v>
      </c>
      <c r="R292" s="238"/>
      <c r="S292" s="240"/>
      <c r="T292" s="236">
        <f t="shared" si="33"/>
        <v>0</v>
      </c>
      <c r="U292" s="237">
        <f t="shared" si="34"/>
        <v>0</v>
      </c>
      <c r="V292" s="238"/>
      <c r="W292" s="239"/>
      <c r="X292" s="241"/>
      <c r="Y292" s="240"/>
      <c r="Z292" s="238"/>
      <c r="AA292" s="238"/>
      <c r="AB292" s="238"/>
      <c r="AC292" s="239"/>
      <c r="AD292" s="239"/>
      <c r="AE292" s="240"/>
      <c r="AF292" s="238"/>
      <c r="AG292" s="239"/>
    </row>
    <row r="293" spans="1:33" x14ac:dyDescent="0.2">
      <c r="A293" s="505" t="s">
        <v>48</v>
      </c>
      <c r="B293" s="432" t="s">
        <v>568</v>
      </c>
      <c r="C293" s="434"/>
      <c r="D293" s="435">
        <v>198376</v>
      </c>
      <c r="E293" s="351">
        <v>9</v>
      </c>
      <c r="F293" s="235">
        <f t="shared" si="31"/>
        <v>97386</v>
      </c>
      <c r="G293" s="234">
        <f t="shared" si="32"/>
        <v>92512</v>
      </c>
      <c r="H293" s="238">
        <v>41085</v>
      </c>
      <c r="I293" s="239">
        <v>42447</v>
      </c>
      <c r="J293" s="238">
        <v>37</v>
      </c>
      <c r="K293" s="240">
        <v>0</v>
      </c>
      <c r="L293" s="238">
        <v>54613</v>
      </c>
      <c r="M293" s="238">
        <v>1651</v>
      </c>
      <c r="N293" s="238">
        <v>0</v>
      </c>
      <c r="O293" s="239">
        <v>49620</v>
      </c>
      <c r="P293" s="239">
        <v>445</v>
      </c>
      <c r="Q293" s="240">
        <v>0</v>
      </c>
      <c r="R293" s="238"/>
      <c r="S293" s="240"/>
      <c r="T293" s="236">
        <f t="shared" si="33"/>
        <v>0</v>
      </c>
      <c r="U293" s="237">
        <f t="shared" si="34"/>
        <v>0</v>
      </c>
      <c r="V293" s="238"/>
      <c r="W293" s="239"/>
      <c r="X293" s="241"/>
      <c r="Y293" s="240"/>
      <c r="Z293" s="238"/>
      <c r="AA293" s="238"/>
      <c r="AB293" s="238"/>
      <c r="AC293" s="239"/>
      <c r="AD293" s="239"/>
      <c r="AE293" s="240"/>
      <c r="AF293" s="238"/>
      <c r="AG293" s="239"/>
    </row>
    <row r="294" spans="1:33" x14ac:dyDescent="0.2">
      <c r="A294" s="337" t="s">
        <v>48</v>
      </c>
      <c r="B294" s="432" t="s">
        <v>569</v>
      </c>
      <c r="C294" s="433"/>
      <c r="D294" s="438">
        <v>198455</v>
      </c>
      <c r="E294" s="347">
        <v>9</v>
      </c>
      <c r="F294" s="235">
        <f t="shared" si="31"/>
        <v>113114</v>
      </c>
      <c r="G294" s="234">
        <f t="shared" si="32"/>
        <v>103479</v>
      </c>
      <c r="H294" s="238">
        <v>88855</v>
      </c>
      <c r="I294" s="239">
        <v>80996</v>
      </c>
      <c r="J294" s="238">
        <v>1637</v>
      </c>
      <c r="K294" s="240">
        <v>1335</v>
      </c>
      <c r="L294" s="238">
        <v>22622</v>
      </c>
      <c r="M294" s="238">
        <v>0</v>
      </c>
      <c r="N294" s="238">
        <v>0</v>
      </c>
      <c r="O294" s="239">
        <v>21148</v>
      </c>
      <c r="P294" s="239">
        <v>0</v>
      </c>
      <c r="Q294" s="240">
        <v>0</v>
      </c>
      <c r="R294" s="238"/>
      <c r="S294" s="240"/>
      <c r="T294" s="236">
        <f t="shared" si="33"/>
        <v>0</v>
      </c>
      <c r="U294" s="237">
        <f t="shared" si="34"/>
        <v>0</v>
      </c>
      <c r="V294" s="238"/>
      <c r="W294" s="239"/>
      <c r="X294" s="241"/>
      <c r="Y294" s="240"/>
      <c r="Z294" s="238"/>
      <c r="AA294" s="238"/>
      <c r="AB294" s="238"/>
      <c r="AC294" s="239"/>
      <c r="AD294" s="239"/>
      <c r="AE294" s="240"/>
      <c r="AF294" s="238"/>
      <c r="AG294" s="239"/>
    </row>
    <row r="295" spans="1:33" x14ac:dyDescent="0.2">
      <c r="A295" s="505" t="s">
        <v>48</v>
      </c>
      <c r="B295" s="432" t="s">
        <v>570</v>
      </c>
      <c r="C295" s="434"/>
      <c r="D295" s="435">
        <v>198491</v>
      </c>
      <c r="E295" s="351">
        <v>9</v>
      </c>
      <c r="F295" s="235">
        <f t="shared" si="31"/>
        <v>81042</v>
      </c>
      <c r="G295" s="234">
        <f t="shared" si="32"/>
        <v>71632</v>
      </c>
      <c r="H295" s="238">
        <v>48063</v>
      </c>
      <c r="I295" s="239">
        <v>41675</v>
      </c>
      <c r="J295" s="238">
        <v>1487</v>
      </c>
      <c r="K295" s="240">
        <v>1511</v>
      </c>
      <c r="L295" s="238">
        <v>31492</v>
      </c>
      <c r="M295" s="238">
        <v>0</v>
      </c>
      <c r="N295" s="238">
        <v>0</v>
      </c>
      <c r="O295" s="239">
        <v>28446</v>
      </c>
      <c r="P295" s="239">
        <v>0</v>
      </c>
      <c r="Q295" s="240">
        <v>0</v>
      </c>
      <c r="R295" s="238"/>
      <c r="S295" s="240"/>
      <c r="T295" s="236">
        <f t="shared" si="33"/>
        <v>0</v>
      </c>
      <c r="U295" s="237">
        <f t="shared" si="34"/>
        <v>0</v>
      </c>
      <c r="V295" s="238"/>
      <c r="W295" s="239"/>
      <c r="X295" s="241"/>
      <c r="Y295" s="240"/>
      <c r="Z295" s="238"/>
      <c r="AA295" s="238"/>
      <c r="AB295" s="238"/>
      <c r="AC295" s="239"/>
      <c r="AD295" s="239"/>
      <c r="AE295" s="240"/>
      <c r="AF295" s="238"/>
      <c r="AG295" s="239"/>
    </row>
    <row r="296" spans="1:33" x14ac:dyDescent="0.2">
      <c r="A296" s="505" t="s">
        <v>48</v>
      </c>
      <c r="B296" s="432" t="s">
        <v>571</v>
      </c>
      <c r="C296" s="433" t="s">
        <v>610</v>
      </c>
      <c r="D296" s="435">
        <v>198668</v>
      </c>
      <c r="E296" s="351">
        <v>9</v>
      </c>
      <c r="F296" s="235">
        <f t="shared" si="31"/>
        <v>53214</v>
      </c>
      <c r="G296" s="234">
        <f t="shared" si="32"/>
        <v>50154</v>
      </c>
      <c r="H296" s="238">
        <v>30722</v>
      </c>
      <c r="I296" s="239">
        <v>28524</v>
      </c>
      <c r="J296" s="238">
        <v>1391</v>
      </c>
      <c r="K296" s="240">
        <v>1231</v>
      </c>
      <c r="L296" s="238">
        <v>21086</v>
      </c>
      <c r="M296" s="238">
        <v>15</v>
      </c>
      <c r="N296" s="238">
        <v>0</v>
      </c>
      <c r="O296" s="239">
        <v>20321</v>
      </c>
      <c r="P296" s="239">
        <v>78</v>
      </c>
      <c r="Q296" s="240">
        <v>0</v>
      </c>
      <c r="R296" s="238"/>
      <c r="S296" s="240"/>
      <c r="T296" s="236">
        <f t="shared" si="33"/>
        <v>0</v>
      </c>
      <c r="U296" s="237">
        <f t="shared" si="34"/>
        <v>0</v>
      </c>
      <c r="V296" s="238"/>
      <c r="W296" s="239"/>
      <c r="X296" s="241"/>
      <c r="Y296" s="240"/>
      <c r="Z296" s="238"/>
      <c r="AA296" s="238"/>
      <c r="AB296" s="238"/>
      <c r="AC296" s="239"/>
      <c r="AD296" s="239"/>
      <c r="AE296" s="240"/>
      <c r="AF296" s="238"/>
      <c r="AG296" s="239"/>
    </row>
    <row r="297" spans="1:33" x14ac:dyDescent="0.2">
      <c r="A297" s="505" t="s">
        <v>48</v>
      </c>
      <c r="B297" s="432" t="s">
        <v>572</v>
      </c>
      <c r="C297" s="434" t="s">
        <v>351</v>
      </c>
      <c r="D297" s="435">
        <v>198710</v>
      </c>
      <c r="E297" s="351">
        <v>9</v>
      </c>
      <c r="F297" s="235">
        <f t="shared" si="31"/>
        <v>66550</v>
      </c>
      <c r="G297" s="234">
        <f t="shared" si="32"/>
        <v>55766</v>
      </c>
      <c r="H297" s="238">
        <v>44480</v>
      </c>
      <c r="I297" s="239">
        <v>40890</v>
      </c>
      <c r="J297" s="238">
        <v>1567</v>
      </c>
      <c r="K297" s="240">
        <v>1723</v>
      </c>
      <c r="L297" s="238">
        <v>20503</v>
      </c>
      <c r="M297" s="238">
        <v>0</v>
      </c>
      <c r="N297" s="238">
        <v>0</v>
      </c>
      <c r="O297" s="239">
        <v>13153</v>
      </c>
      <c r="P297" s="239">
        <v>0</v>
      </c>
      <c r="Q297" s="240">
        <v>0</v>
      </c>
      <c r="R297" s="238"/>
      <c r="S297" s="240"/>
      <c r="T297" s="236">
        <f t="shared" si="33"/>
        <v>0</v>
      </c>
      <c r="U297" s="237">
        <f t="shared" si="34"/>
        <v>0</v>
      </c>
      <c r="V297" s="238"/>
      <c r="W297" s="239"/>
      <c r="X297" s="241"/>
      <c r="Y297" s="240"/>
      <c r="Z297" s="238"/>
      <c r="AA297" s="238"/>
      <c r="AB297" s="238"/>
      <c r="AC297" s="239"/>
      <c r="AD297" s="239"/>
      <c r="AE297" s="240"/>
      <c r="AF297" s="238"/>
      <c r="AG297" s="239"/>
    </row>
    <row r="298" spans="1:33" x14ac:dyDescent="0.2">
      <c r="A298" s="505" t="s">
        <v>48</v>
      </c>
      <c r="B298" s="432" t="s">
        <v>573</v>
      </c>
      <c r="C298" s="434"/>
      <c r="D298" s="435">
        <v>198774</v>
      </c>
      <c r="E298" s="351">
        <v>9</v>
      </c>
      <c r="F298" s="235">
        <f t="shared" si="31"/>
        <v>94039</v>
      </c>
      <c r="G298" s="234">
        <f t="shared" si="32"/>
        <v>92702</v>
      </c>
      <c r="H298" s="238">
        <v>62956</v>
      </c>
      <c r="I298" s="239">
        <v>57410</v>
      </c>
      <c r="J298" s="238">
        <v>2916</v>
      </c>
      <c r="K298" s="240">
        <v>1753</v>
      </c>
      <c r="L298" s="238">
        <v>27921</v>
      </c>
      <c r="M298" s="238">
        <v>66</v>
      </c>
      <c r="N298" s="238">
        <v>180</v>
      </c>
      <c r="O298" s="239">
        <v>33202</v>
      </c>
      <c r="P298" s="239">
        <v>337</v>
      </c>
      <c r="Q298" s="240">
        <v>0</v>
      </c>
      <c r="R298" s="238"/>
      <c r="S298" s="240"/>
      <c r="T298" s="236">
        <f t="shared" si="33"/>
        <v>0</v>
      </c>
      <c r="U298" s="237">
        <f t="shared" si="34"/>
        <v>0</v>
      </c>
      <c r="V298" s="238"/>
      <c r="W298" s="239"/>
      <c r="X298" s="241"/>
      <c r="Y298" s="240"/>
      <c r="Z298" s="238"/>
      <c r="AA298" s="238"/>
      <c r="AB298" s="238"/>
      <c r="AC298" s="239"/>
      <c r="AD298" s="239"/>
      <c r="AE298" s="240"/>
      <c r="AF298" s="238"/>
      <c r="AG298" s="239"/>
    </row>
    <row r="299" spans="1:33" x14ac:dyDescent="0.2">
      <c r="A299" s="505" t="s">
        <v>48</v>
      </c>
      <c r="B299" s="432" t="s">
        <v>574</v>
      </c>
      <c r="C299" s="434"/>
      <c r="D299" s="435">
        <v>198817</v>
      </c>
      <c r="E299" s="351">
        <v>9</v>
      </c>
      <c r="F299" s="235">
        <f t="shared" si="31"/>
        <v>81170</v>
      </c>
      <c r="G299" s="234">
        <f t="shared" si="32"/>
        <v>71359</v>
      </c>
      <c r="H299" s="238">
        <v>45873</v>
      </c>
      <c r="I299" s="239">
        <v>39119</v>
      </c>
      <c r="J299" s="238">
        <v>1112</v>
      </c>
      <c r="K299" s="240">
        <v>1514</v>
      </c>
      <c r="L299" s="238">
        <v>34185</v>
      </c>
      <c r="M299" s="238">
        <v>0</v>
      </c>
      <c r="N299" s="238">
        <v>0</v>
      </c>
      <c r="O299" s="239">
        <v>30687</v>
      </c>
      <c r="P299" s="239">
        <v>39</v>
      </c>
      <c r="Q299" s="240">
        <v>0</v>
      </c>
      <c r="R299" s="238"/>
      <c r="S299" s="240"/>
      <c r="T299" s="236">
        <f t="shared" si="33"/>
        <v>0</v>
      </c>
      <c r="U299" s="237">
        <f t="shared" si="34"/>
        <v>0</v>
      </c>
      <c r="V299" s="238"/>
      <c r="W299" s="239"/>
      <c r="X299" s="241"/>
      <c r="Y299" s="240"/>
      <c r="Z299" s="238"/>
      <c r="AA299" s="238"/>
      <c r="AB299" s="238"/>
      <c r="AC299" s="239"/>
      <c r="AD299" s="239"/>
      <c r="AE299" s="240"/>
      <c r="AF299" s="238"/>
      <c r="AG299" s="239"/>
    </row>
    <row r="300" spans="1:33" x14ac:dyDescent="0.2">
      <c r="A300" s="505" t="s">
        <v>48</v>
      </c>
      <c r="B300" s="432" t="s">
        <v>575</v>
      </c>
      <c r="C300" s="434"/>
      <c r="D300" s="435">
        <v>198987</v>
      </c>
      <c r="E300" s="351">
        <v>9</v>
      </c>
      <c r="F300" s="235">
        <f t="shared" si="31"/>
        <v>78940</v>
      </c>
      <c r="G300" s="234">
        <f t="shared" si="32"/>
        <v>77407</v>
      </c>
      <c r="H300" s="238">
        <v>51525</v>
      </c>
      <c r="I300" s="239">
        <v>47791</v>
      </c>
      <c r="J300" s="238">
        <v>1914</v>
      </c>
      <c r="K300" s="240">
        <v>2030</v>
      </c>
      <c r="L300" s="238">
        <v>25501</v>
      </c>
      <c r="M300" s="238">
        <v>0</v>
      </c>
      <c r="N300" s="238">
        <v>0</v>
      </c>
      <c r="O300" s="239">
        <v>27580</v>
      </c>
      <c r="P300" s="239">
        <v>6</v>
      </c>
      <c r="Q300" s="240">
        <v>0</v>
      </c>
      <c r="R300" s="238"/>
      <c r="S300" s="240"/>
      <c r="T300" s="236">
        <f t="shared" si="33"/>
        <v>0</v>
      </c>
      <c r="U300" s="237">
        <f t="shared" si="34"/>
        <v>0</v>
      </c>
      <c r="V300" s="238"/>
      <c r="W300" s="239"/>
      <c r="X300" s="241"/>
      <c r="Y300" s="240"/>
      <c r="Z300" s="238"/>
      <c r="AA300" s="238"/>
      <c r="AB300" s="238"/>
      <c r="AC300" s="239"/>
      <c r="AD300" s="239"/>
      <c r="AE300" s="240"/>
      <c r="AF300" s="238"/>
      <c r="AG300" s="239"/>
    </row>
    <row r="301" spans="1:33" x14ac:dyDescent="0.2">
      <c r="A301" s="505" t="s">
        <v>48</v>
      </c>
      <c r="B301" s="432" t="s">
        <v>576</v>
      </c>
      <c r="C301" s="434"/>
      <c r="D301" s="435">
        <v>199087</v>
      </c>
      <c r="E301" s="351">
        <v>9</v>
      </c>
      <c r="F301" s="235">
        <f t="shared" si="31"/>
        <v>64602</v>
      </c>
      <c r="G301" s="234">
        <f t="shared" si="32"/>
        <v>69602</v>
      </c>
      <c r="H301" s="238">
        <v>48607</v>
      </c>
      <c r="I301" s="239">
        <v>47216</v>
      </c>
      <c r="J301" s="238">
        <v>1787</v>
      </c>
      <c r="K301" s="240">
        <v>1695</v>
      </c>
      <c r="L301" s="238">
        <v>13830</v>
      </c>
      <c r="M301" s="238">
        <v>378</v>
      </c>
      <c r="N301" s="238">
        <v>0</v>
      </c>
      <c r="O301" s="239">
        <v>20478</v>
      </c>
      <c r="P301" s="239">
        <v>195</v>
      </c>
      <c r="Q301" s="240">
        <v>18</v>
      </c>
      <c r="R301" s="238"/>
      <c r="S301" s="240"/>
      <c r="T301" s="236">
        <f t="shared" si="33"/>
        <v>0</v>
      </c>
      <c r="U301" s="237">
        <f t="shared" si="34"/>
        <v>0</v>
      </c>
      <c r="V301" s="238"/>
      <c r="W301" s="239"/>
      <c r="X301" s="241"/>
      <c r="Y301" s="240"/>
      <c r="Z301" s="238"/>
      <c r="AA301" s="238"/>
      <c r="AB301" s="238"/>
      <c r="AC301" s="239"/>
      <c r="AD301" s="239"/>
      <c r="AE301" s="240"/>
      <c r="AF301" s="238"/>
      <c r="AG301" s="239"/>
    </row>
    <row r="302" spans="1:33" x14ac:dyDescent="0.2">
      <c r="A302" s="505" t="s">
        <v>48</v>
      </c>
      <c r="B302" s="432" t="s">
        <v>577</v>
      </c>
      <c r="C302" s="434"/>
      <c r="D302" s="435">
        <v>199421</v>
      </c>
      <c r="E302" s="351">
        <v>9</v>
      </c>
      <c r="F302" s="235">
        <f t="shared" si="31"/>
        <v>66168</v>
      </c>
      <c r="G302" s="234">
        <f t="shared" si="32"/>
        <v>62778</v>
      </c>
      <c r="H302" s="238">
        <v>46386</v>
      </c>
      <c r="I302" s="239">
        <v>44586</v>
      </c>
      <c r="J302" s="238">
        <v>1922</v>
      </c>
      <c r="K302" s="240">
        <v>1860</v>
      </c>
      <c r="L302" s="238">
        <v>16156</v>
      </c>
      <c r="M302" s="238">
        <v>1341</v>
      </c>
      <c r="N302" s="238">
        <v>363</v>
      </c>
      <c r="O302" s="239">
        <v>16254</v>
      </c>
      <c r="P302" s="239">
        <v>0</v>
      </c>
      <c r="Q302" s="240">
        <v>78</v>
      </c>
      <c r="R302" s="238"/>
      <c r="S302" s="240"/>
      <c r="T302" s="236">
        <f t="shared" si="33"/>
        <v>0</v>
      </c>
      <c r="U302" s="237">
        <f t="shared" si="34"/>
        <v>0</v>
      </c>
      <c r="V302" s="238"/>
      <c r="W302" s="239"/>
      <c r="X302" s="241"/>
      <c r="Y302" s="240"/>
      <c r="Z302" s="238"/>
      <c r="AA302" s="238"/>
      <c r="AB302" s="238"/>
      <c r="AC302" s="239"/>
      <c r="AD302" s="239"/>
      <c r="AE302" s="240"/>
      <c r="AF302" s="238"/>
      <c r="AG302" s="239"/>
    </row>
    <row r="303" spans="1:33" x14ac:dyDescent="0.2">
      <c r="A303" s="505" t="s">
        <v>48</v>
      </c>
      <c r="B303" s="432" t="s">
        <v>578</v>
      </c>
      <c r="C303" s="434"/>
      <c r="D303" s="435">
        <v>199476</v>
      </c>
      <c r="E303" s="351">
        <v>9</v>
      </c>
      <c r="F303" s="235">
        <f t="shared" si="31"/>
        <v>61963</v>
      </c>
      <c r="G303" s="234">
        <f t="shared" si="32"/>
        <v>59513</v>
      </c>
      <c r="H303" s="238">
        <v>49541</v>
      </c>
      <c r="I303" s="239">
        <v>46686</v>
      </c>
      <c r="J303" s="238">
        <v>1270</v>
      </c>
      <c r="K303" s="240">
        <v>406</v>
      </c>
      <c r="L303" s="238">
        <v>11152</v>
      </c>
      <c r="M303" s="238">
        <v>0</v>
      </c>
      <c r="N303" s="238">
        <v>0</v>
      </c>
      <c r="O303" s="239">
        <v>12412</v>
      </c>
      <c r="P303" s="239">
        <v>9</v>
      </c>
      <c r="Q303" s="240">
        <v>0</v>
      </c>
      <c r="R303" s="238"/>
      <c r="S303" s="240"/>
      <c r="T303" s="236">
        <f t="shared" si="33"/>
        <v>0</v>
      </c>
      <c r="U303" s="237">
        <f t="shared" si="34"/>
        <v>0</v>
      </c>
      <c r="V303" s="238"/>
      <c r="W303" s="239"/>
      <c r="X303" s="241"/>
      <c r="Y303" s="240"/>
      <c r="Z303" s="238"/>
      <c r="AA303" s="238"/>
      <c r="AB303" s="238"/>
      <c r="AC303" s="239"/>
      <c r="AD303" s="239"/>
      <c r="AE303" s="240"/>
      <c r="AF303" s="238"/>
      <c r="AG303" s="239"/>
    </row>
    <row r="304" spans="1:33" x14ac:dyDescent="0.2">
      <c r="A304" s="505" t="s">
        <v>48</v>
      </c>
      <c r="B304" s="432" t="s">
        <v>579</v>
      </c>
      <c r="C304" s="434"/>
      <c r="D304" s="435">
        <v>199634</v>
      </c>
      <c r="E304" s="351">
        <v>9</v>
      </c>
      <c r="F304" s="235">
        <f t="shared" si="31"/>
        <v>98813</v>
      </c>
      <c r="G304" s="234">
        <f t="shared" si="32"/>
        <v>91735</v>
      </c>
      <c r="H304" s="238">
        <v>62879</v>
      </c>
      <c r="I304" s="239">
        <v>56427</v>
      </c>
      <c r="J304" s="238">
        <v>1794</v>
      </c>
      <c r="K304" s="240">
        <v>1306</v>
      </c>
      <c r="L304" s="238">
        <v>34080</v>
      </c>
      <c r="M304" s="238">
        <v>0</v>
      </c>
      <c r="N304" s="238">
        <v>60</v>
      </c>
      <c r="O304" s="239">
        <v>34002</v>
      </c>
      <c r="P304" s="239">
        <v>0</v>
      </c>
      <c r="Q304" s="240">
        <v>0</v>
      </c>
      <c r="R304" s="238"/>
      <c r="S304" s="240"/>
      <c r="T304" s="236">
        <f t="shared" si="33"/>
        <v>0</v>
      </c>
      <c r="U304" s="237">
        <f t="shared" si="34"/>
        <v>0</v>
      </c>
      <c r="V304" s="238"/>
      <c r="W304" s="239"/>
      <c r="X304" s="241"/>
      <c r="Y304" s="240"/>
      <c r="Z304" s="238"/>
      <c r="AA304" s="238"/>
      <c r="AB304" s="238"/>
      <c r="AC304" s="239"/>
      <c r="AD304" s="239"/>
      <c r="AE304" s="240"/>
      <c r="AF304" s="238"/>
      <c r="AG304" s="239"/>
    </row>
    <row r="305" spans="1:33" x14ac:dyDescent="0.2">
      <c r="A305" s="505" t="s">
        <v>48</v>
      </c>
      <c r="B305" s="432" t="s">
        <v>580</v>
      </c>
      <c r="C305" s="434"/>
      <c r="D305" s="435">
        <v>199740</v>
      </c>
      <c r="E305" s="351">
        <v>9</v>
      </c>
      <c r="F305" s="235">
        <f t="shared" si="31"/>
        <v>70082</v>
      </c>
      <c r="G305" s="234">
        <f t="shared" si="32"/>
        <v>65452</v>
      </c>
      <c r="H305" s="392">
        <v>26070</v>
      </c>
      <c r="I305" s="407">
        <v>23034</v>
      </c>
      <c r="J305" s="392">
        <v>2601</v>
      </c>
      <c r="K305" s="408">
        <v>823</v>
      </c>
      <c r="L305" s="238">
        <v>38657</v>
      </c>
      <c r="M305" s="392">
        <v>2754</v>
      </c>
      <c r="N305" s="392">
        <v>0</v>
      </c>
      <c r="O305" s="407">
        <v>41202</v>
      </c>
      <c r="P305" s="407">
        <v>393</v>
      </c>
      <c r="Q305" s="408">
        <v>0</v>
      </c>
      <c r="R305" s="392"/>
      <c r="S305" s="408"/>
      <c r="T305" s="236">
        <f t="shared" si="33"/>
        <v>0</v>
      </c>
      <c r="U305" s="237">
        <f t="shared" si="34"/>
        <v>0</v>
      </c>
      <c r="V305" s="392"/>
      <c r="W305" s="407"/>
      <c r="X305" s="394"/>
      <c r="Y305" s="408"/>
      <c r="Z305" s="392"/>
      <c r="AA305" s="392"/>
      <c r="AB305" s="392"/>
      <c r="AC305" s="407"/>
      <c r="AD305" s="407"/>
      <c r="AE305" s="408"/>
      <c r="AF305" s="392"/>
      <c r="AG305" s="407"/>
    </row>
    <row r="306" spans="1:33" x14ac:dyDescent="0.2">
      <c r="A306" s="505" t="s">
        <v>48</v>
      </c>
      <c r="B306" s="432" t="s">
        <v>581</v>
      </c>
      <c r="C306" s="434"/>
      <c r="D306" s="435">
        <v>199768</v>
      </c>
      <c r="E306" s="351">
        <v>9</v>
      </c>
      <c r="F306" s="235">
        <f t="shared" si="31"/>
        <v>62205</v>
      </c>
      <c r="G306" s="234">
        <f t="shared" si="32"/>
        <v>56715</v>
      </c>
      <c r="H306" s="238">
        <v>44980</v>
      </c>
      <c r="I306" s="239">
        <v>37713</v>
      </c>
      <c r="J306" s="238">
        <v>91</v>
      </c>
      <c r="K306" s="240">
        <v>249</v>
      </c>
      <c r="L306" s="238">
        <v>16280</v>
      </c>
      <c r="M306" s="238">
        <v>854</v>
      </c>
      <c r="N306" s="238">
        <v>0</v>
      </c>
      <c r="O306" s="239">
        <v>17835</v>
      </c>
      <c r="P306" s="239">
        <v>918</v>
      </c>
      <c r="Q306" s="240">
        <v>0</v>
      </c>
      <c r="R306" s="238"/>
      <c r="S306" s="240"/>
      <c r="T306" s="236">
        <f t="shared" si="33"/>
        <v>0</v>
      </c>
      <c r="U306" s="237">
        <f t="shared" si="34"/>
        <v>0</v>
      </c>
      <c r="V306" s="238"/>
      <c r="W306" s="239"/>
      <c r="X306" s="241"/>
      <c r="Y306" s="240"/>
      <c r="Z306" s="238"/>
      <c r="AA306" s="238"/>
      <c r="AB306" s="238"/>
      <c r="AC306" s="239"/>
      <c r="AD306" s="239"/>
      <c r="AE306" s="240"/>
      <c r="AF306" s="238"/>
      <c r="AG306" s="239"/>
    </row>
    <row r="307" spans="1:33" x14ac:dyDescent="0.2">
      <c r="A307" s="505" t="s">
        <v>48</v>
      </c>
      <c r="B307" s="432" t="s">
        <v>582</v>
      </c>
      <c r="C307" s="434"/>
      <c r="D307" s="435">
        <v>199838</v>
      </c>
      <c r="E307" s="351">
        <v>9</v>
      </c>
      <c r="F307" s="235">
        <f t="shared" ref="F307:F369" si="35">SUM(H307,J307,L307,M307,N307,R307)</f>
        <v>85707</v>
      </c>
      <c r="G307" s="234">
        <f t="shared" ref="G307:G369" si="36">SUM(I307,K307,O307,P307,Q307,S307)</f>
        <v>83195</v>
      </c>
      <c r="H307" s="238">
        <v>56528</v>
      </c>
      <c r="I307" s="239">
        <v>52119</v>
      </c>
      <c r="J307" s="238">
        <v>1002</v>
      </c>
      <c r="K307" s="240">
        <v>942</v>
      </c>
      <c r="L307" s="238">
        <v>26690</v>
      </c>
      <c r="M307" s="238">
        <v>1487</v>
      </c>
      <c r="N307" s="238">
        <v>0</v>
      </c>
      <c r="O307" s="239">
        <v>28236</v>
      </c>
      <c r="P307" s="239">
        <v>1898</v>
      </c>
      <c r="Q307" s="240">
        <v>0</v>
      </c>
      <c r="R307" s="238"/>
      <c r="S307" s="240"/>
      <c r="T307" s="236">
        <f t="shared" ref="T307:T401" si="37">SUM(V307,X307,Z307,AA307,AB307,AF307)</f>
        <v>0</v>
      </c>
      <c r="U307" s="237">
        <f t="shared" ref="U307:U401" si="38">SUM(W307,Y307,AC307,AD307,AE307,AG307)</f>
        <v>0</v>
      </c>
      <c r="V307" s="238"/>
      <c r="W307" s="239"/>
      <c r="X307" s="241"/>
      <c r="Y307" s="240"/>
      <c r="Z307" s="238"/>
      <c r="AA307" s="238"/>
      <c r="AB307" s="238"/>
      <c r="AC307" s="239"/>
      <c r="AD307" s="239"/>
      <c r="AE307" s="240"/>
      <c r="AF307" s="238"/>
      <c r="AG307" s="239"/>
    </row>
    <row r="308" spans="1:33" x14ac:dyDescent="0.2">
      <c r="A308" s="505" t="s">
        <v>48</v>
      </c>
      <c r="B308" s="432" t="s">
        <v>583</v>
      </c>
      <c r="C308" s="434"/>
      <c r="D308" s="435">
        <v>199892</v>
      </c>
      <c r="E308" s="351">
        <v>9</v>
      </c>
      <c r="F308" s="235">
        <f t="shared" si="35"/>
        <v>87967</v>
      </c>
      <c r="G308" s="234">
        <f t="shared" si="36"/>
        <v>83523</v>
      </c>
      <c r="H308" s="238">
        <v>48188</v>
      </c>
      <c r="I308" s="239">
        <v>44563</v>
      </c>
      <c r="J308" s="238">
        <v>1705</v>
      </c>
      <c r="K308" s="240">
        <v>1360</v>
      </c>
      <c r="L308" s="238">
        <v>37963</v>
      </c>
      <c r="M308" s="238">
        <v>0</v>
      </c>
      <c r="N308" s="238">
        <v>111</v>
      </c>
      <c r="O308" s="239">
        <v>37417</v>
      </c>
      <c r="P308" s="239">
        <v>0</v>
      </c>
      <c r="Q308" s="240">
        <v>183</v>
      </c>
      <c r="R308" s="238"/>
      <c r="S308" s="240"/>
      <c r="T308" s="236">
        <f t="shared" si="37"/>
        <v>0</v>
      </c>
      <c r="U308" s="237">
        <f t="shared" si="38"/>
        <v>0</v>
      </c>
      <c r="V308" s="238"/>
      <c r="W308" s="239"/>
      <c r="X308" s="241"/>
      <c r="Y308" s="240"/>
      <c r="Z308" s="238"/>
      <c r="AA308" s="238"/>
      <c r="AB308" s="238"/>
      <c r="AC308" s="239"/>
      <c r="AD308" s="239"/>
      <c r="AE308" s="240"/>
      <c r="AF308" s="238"/>
      <c r="AG308" s="239"/>
    </row>
    <row r="309" spans="1:33" x14ac:dyDescent="0.2">
      <c r="A309" s="505" t="s">
        <v>48</v>
      </c>
      <c r="B309" s="432" t="s">
        <v>584</v>
      </c>
      <c r="C309" s="434"/>
      <c r="D309" s="435">
        <v>199908</v>
      </c>
      <c r="E309" s="351">
        <v>9</v>
      </c>
      <c r="F309" s="235">
        <f t="shared" si="35"/>
        <v>78718</v>
      </c>
      <c r="G309" s="234">
        <f t="shared" si="36"/>
        <v>67513</v>
      </c>
      <c r="H309" s="238">
        <v>46666</v>
      </c>
      <c r="I309" s="239">
        <v>40953</v>
      </c>
      <c r="J309" s="238">
        <v>679</v>
      </c>
      <c r="K309" s="240">
        <v>524</v>
      </c>
      <c r="L309" s="238">
        <v>31373</v>
      </c>
      <c r="M309" s="238">
        <v>0</v>
      </c>
      <c r="N309" s="238">
        <v>0</v>
      </c>
      <c r="O309" s="239">
        <v>26036</v>
      </c>
      <c r="P309" s="239">
        <v>0</v>
      </c>
      <c r="Q309" s="240">
        <v>0</v>
      </c>
      <c r="R309" s="238"/>
      <c r="S309" s="240"/>
      <c r="T309" s="236">
        <f t="shared" si="37"/>
        <v>0</v>
      </c>
      <c r="U309" s="237">
        <f t="shared" si="38"/>
        <v>0</v>
      </c>
      <c r="V309" s="238"/>
      <c r="W309" s="239"/>
      <c r="X309" s="241"/>
      <c r="Y309" s="240"/>
      <c r="Z309" s="238"/>
      <c r="AA309" s="238"/>
      <c r="AB309" s="238"/>
      <c r="AC309" s="239"/>
      <c r="AD309" s="239"/>
      <c r="AE309" s="240"/>
      <c r="AF309" s="238"/>
      <c r="AG309" s="239"/>
    </row>
    <row r="310" spans="1:33" x14ac:dyDescent="0.2">
      <c r="A310" s="505" t="s">
        <v>48</v>
      </c>
      <c r="B310" s="432" t="s">
        <v>585</v>
      </c>
      <c r="C310" s="434"/>
      <c r="D310" s="435">
        <v>199926</v>
      </c>
      <c r="E310" s="351">
        <v>9</v>
      </c>
      <c r="F310" s="235">
        <f t="shared" si="35"/>
        <v>66709</v>
      </c>
      <c r="G310" s="234">
        <f t="shared" si="36"/>
        <v>60141</v>
      </c>
      <c r="H310" s="238">
        <v>48138</v>
      </c>
      <c r="I310" s="239">
        <v>42428</v>
      </c>
      <c r="J310" s="238">
        <v>138</v>
      </c>
      <c r="K310" s="240">
        <v>728</v>
      </c>
      <c r="L310" s="238">
        <v>15573</v>
      </c>
      <c r="M310" s="238">
        <v>2860</v>
      </c>
      <c r="N310" s="238">
        <v>0</v>
      </c>
      <c r="O310" s="239">
        <v>14494</v>
      </c>
      <c r="P310" s="239">
        <v>2491</v>
      </c>
      <c r="Q310" s="240">
        <v>0</v>
      </c>
      <c r="R310" s="238"/>
      <c r="S310" s="240"/>
      <c r="T310" s="236">
        <f t="shared" si="37"/>
        <v>0</v>
      </c>
      <c r="U310" s="237">
        <f t="shared" si="38"/>
        <v>0</v>
      </c>
      <c r="V310" s="238"/>
      <c r="W310" s="239"/>
      <c r="X310" s="241"/>
      <c r="Y310" s="240"/>
      <c r="Z310" s="238"/>
      <c r="AA310" s="238"/>
      <c r="AB310" s="238"/>
      <c r="AC310" s="239"/>
      <c r="AD310" s="239"/>
      <c r="AE310" s="240"/>
      <c r="AF310" s="238"/>
      <c r="AG310" s="239"/>
    </row>
    <row r="311" spans="1:33" x14ac:dyDescent="0.2">
      <c r="A311" s="337" t="s">
        <v>48</v>
      </c>
      <c r="B311" s="432" t="s">
        <v>586</v>
      </c>
      <c r="C311" s="433"/>
      <c r="D311" s="435">
        <v>197966</v>
      </c>
      <c r="E311" s="351">
        <v>10</v>
      </c>
      <c r="F311" s="235">
        <f t="shared" si="35"/>
        <v>41143</v>
      </c>
      <c r="G311" s="234">
        <f t="shared" si="36"/>
        <v>40077</v>
      </c>
      <c r="H311" s="238">
        <v>24804</v>
      </c>
      <c r="I311" s="239">
        <v>23748</v>
      </c>
      <c r="J311" s="238">
        <v>1305</v>
      </c>
      <c r="K311" s="240">
        <v>162</v>
      </c>
      <c r="L311" s="238">
        <v>14560</v>
      </c>
      <c r="M311" s="238">
        <v>0</v>
      </c>
      <c r="N311" s="238">
        <v>474</v>
      </c>
      <c r="O311" s="239">
        <v>15656</v>
      </c>
      <c r="P311" s="239">
        <v>0</v>
      </c>
      <c r="Q311" s="240">
        <v>511</v>
      </c>
      <c r="R311" s="238"/>
      <c r="S311" s="240"/>
      <c r="T311" s="236">
        <f t="shared" si="37"/>
        <v>0</v>
      </c>
      <c r="U311" s="237">
        <f t="shared" si="38"/>
        <v>0</v>
      </c>
      <c r="V311" s="238"/>
      <c r="W311" s="239"/>
      <c r="X311" s="241"/>
      <c r="Y311" s="240"/>
      <c r="Z311" s="238"/>
      <c r="AA311" s="238"/>
      <c r="AB311" s="238"/>
      <c r="AC311" s="239"/>
      <c r="AD311" s="239"/>
      <c r="AE311" s="240"/>
      <c r="AF311" s="238"/>
      <c r="AG311" s="239"/>
    </row>
    <row r="312" spans="1:33" x14ac:dyDescent="0.2">
      <c r="A312" s="505" t="s">
        <v>48</v>
      </c>
      <c r="B312" s="432" t="s">
        <v>587</v>
      </c>
      <c r="C312" s="433"/>
      <c r="D312" s="435">
        <v>198011</v>
      </c>
      <c r="E312" s="351">
        <v>10</v>
      </c>
      <c r="F312" s="235">
        <f t="shared" si="35"/>
        <v>42178</v>
      </c>
      <c r="G312" s="234">
        <f t="shared" si="36"/>
        <v>37420</v>
      </c>
      <c r="H312" s="238">
        <v>22444</v>
      </c>
      <c r="I312" s="239">
        <v>18314</v>
      </c>
      <c r="J312" s="238">
        <v>342</v>
      </c>
      <c r="K312" s="240">
        <v>17</v>
      </c>
      <c r="L312" s="238">
        <v>14939</v>
      </c>
      <c r="M312" s="238">
        <v>2440</v>
      </c>
      <c r="N312" s="238">
        <v>2013</v>
      </c>
      <c r="O312" s="239">
        <v>15311</v>
      </c>
      <c r="P312" s="239">
        <v>1867</v>
      </c>
      <c r="Q312" s="240">
        <v>1911</v>
      </c>
      <c r="R312" s="238"/>
      <c r="S312" s="240"/>
      <c r="T312" s="236">
        <f t="shared" si="37"/>
        <v>0</v>
      </c>
      <c r="U312" s="237">
        <f t="shared" si="38"/>
        <v>0</v>
      </c>
      <c r="V312" s="238"/>
      <c r="W312" s="239"/>
      <c r="X312" s="241"/>
      <c r="Y312" s="240"/>
      <c r="Z312" s="238"/>
      <c r="AA312" s="238"/>
      <c r="AB312" s="238"/>
      <c r="AC312" s="239"/>
      <c r="AD312" s="239"/>
      <c r="AE312" s="240"/>
      <c r="AF312" s="238"/>
      <c r="AG312" s="239"/>
    </row>
    <row r="313" spans="1:33" x14ac:dyDescent="0.2">
      <c r="A313" s="505" t="s">
        <v>48</v>
      </c>
      <c r="B313" s="432" t="s">
        <v>588</v>
      </c>
      <c r="C313" s="433"/>
      <c r="D313" s="436">
        <v>198039</v>
      </c>
      <c r="E313" s="347">
        <v>10</v>
      </c>
      <c r="F313" s="235">
        <f t="shared" si="35"/>
        <v>44619</v>
      </c>
      <c r="G313" s="234">
        <f t="shared" si="36"/>
        <v>43931</v>
      </c>
      <c r="H313" s="238">
        <v>29847</v>
      </c>
      <c r="I313" s="239">
        <v>28949</v>
      </c>
      <c r="J313" s="238">
        <v>700</v>
      </c>
      <c r="K313" s="240">
        <v>700</v>
      </c>
      <c r="L313" s="238">
        <v>13366</v>
      </c>
      <c r="M313" s="238">
        <v>79</v>
      </c>
      <c r="N313" s="238">
        <v>627</v>
      </c>
      <c r="O313" s="239">
        <v>14182</v>
      </c>
      <c r="P313" s="239">
        <v>76</v>
      </c>
      <c r="Q313" s="240">
        <v>24</v>
      </c>
      <c r="R313" s="238"/>
      <c r="S313" s="240"/>
      <c r="T313" s="236">
        <f t="shared" si="37"/>
        <v>0</v>
      </c>
      <c r="U313" s="237">
        <f t="shared" si="38"/>
        <v>0</v>
      </c>
      <c r="V313" s="238"/>
      <c r="W313" s="239"/>
      <c r="X313" s="241"/>
      <c r="Y313" s="240"/>
      <c r="Z313" s="238"/>
      <c r="AA313" s="238"/>
      <c r="AB313" s="238"/>
      <c r="AC313" s="239"/>
      <c r="AD313" s="239"/>
      <c r="AE313" s="240"/>
      <c r="AF313" s="238"/>
      <c r="AG313" s="239"/>
    </row>
    <row r="314" spans="1:33" x14ac:dyDescent="0.2">
      <c r="A314" s="505" t="s">
        <v>48</v>
      </c>
      <c r="B314" s="432" t="s">
        <v>589</v>
      </c>
      <c r="C314" s="433"/>
      <c r="D314" s="435">
        <v>198084</v>
      </c>
      <c r="E314" s="351">
        <v>10</v>
      </c>
      <c r="F314" s="235">
        <f t="shared" si="35"/>
        <v>33401</v>
      </c>
      <c r="G314" s="234">
        <f t="shared" si="36"/>
        <v>34192</v>
      </c>
      <c r="H314" s="238">
        <v>22046</v>
      </c>
      <c r="I314" s="239">
        <v>21093</v>
      </c>
      <c r="J314" s="238">
        <v>167</v>
      </c>
      <c r="K314" s="240">
        <v>291</v>
      </c>
      <c r="L314" s="238">
        <v>11010</v>
      </c>
      <c r="M314" s="238">
        <v>178</v>
      </c>
      <c r="N314" s="238">
        <v>0</v>
      </c>
      <c r="O314" s="239">
        <v>12687</v>
      </c>
      <c r="P314" s="239">
        <v>121</v>
      </c>
      <c r="Q314" s="240">
        <v>0</v>
      </c>
      <c r="R314" s="238"/>
      <c r="S314" s="240"/>
      <c r="T314" s="236">
        <f t="shared" si="37"/>
        <v>0</v>
      </c>
      <c r="U314" s="237">
        <f t="shared" si="38"/>
        <v>0</v>
      </c>
      <c r="V314" s="238"/>
      <c r="W314" s="239"/>
      <c r="X314" s="241"/>
      <c r="Y314" s="240"/>
      <c r="Z314" s="238"/>
      <c r="AA314" s="238"/>
      <c r="AB314" s="238"/>
      <c r="AC314" s="239"/>
      <c r="AD314" s="239"/>
      <c r="AE314" s="240"/>
      <c r="AF314" s="238"/>
      <c r="AG314" s="239"/>
    </row>
    <row r="315" spans="1:33" x14ac:dyDescent="0.2">
      <c r="A315" s="505" t="s">
        <v>48</v>
      </c>
      <c r="B315" s="432" t="s">
        <v>590</v>
      </c>
      <c r="C315" s="433"/>
      <c r="D315" s="435">
        <v>198206</v>
      </c>
      <c r="E315" s="351">
        <v>10</v>
      </c>
      <c r="F315" s="235">
        <f t="shared" si="35"/>
        <v>39625</v>
      </c>
      <c r="G315" s="234">
        <f t="shared" si="36"/>
        <v>37113</v>
      </c>
      <c r="H315" s="238">
        <v>24147</v>
      </c>
      <c r="I315" s="239">
        <v>20753</v>
      </c>
      <c r="J315" s="238">
        <v>1451</v>
      </c>
      <c r="K315" s="240">
        <v>1321</v>
      </c>
      <c r="L315" s="238">
        <v>14027</v>
      </c>
      <c r="M315" s="238">
        <v>0</v>
      </c>
      <c r="N315" s="238">
        <v>0</v>
      </c>
      <c r="O315" s="239">
        <v>15039</v>
      </c>
      <c r="P315" s="239">
        <v>0</v>
      </c>
      <c r="Q315" s="240">
        <v>0</v>
      </c>
      <c r="R315" s="238"/>
      <c r="S315" s="240"/>
      <c r="T315" s="236">
        <f t="shared" si="37"/>
        <v>0</v>
      </c>
      <c r="U315" s="237">
        <f t="shared" si="38"/>
        <v>0</v>
      </c>
      <c r="V315" s="238"/>
      <c r="W315" s="239"/>
      <c r="X315" s="241"/>
      <c r="Y315" s="240"/>
      <c r="Z315" s="238"/>
      <c r="AA315" s="238"/>
      <c r="AB315" s="238"/>
      <c r="AC315" s="239"/>
      <c r="AD315" s="239"/>
      <c r="AE315" s="240"/>
      <c r="AF315" s="238"/>
      <c r="AG315" s="239"/>
    </row>
    <row r="316" spans="1:33" x14ac:dyDescent="0.2">
      <c r="A316" s="505" t="s">
        <v>48</v>
      </c>
      <c r="B316" s="432" t="s">
        <v>591</v>
      </c>
      <c r="C316" s="433" t="s">
        <v>515</v>
      </c>
      <c r="D316" s="436">
        <v>197814</v>
      </c>
      <c r="E316" s="347">
        <v>10</v>
      </c>
      <c r="F316" s="235">
        <f t="shared" si="35"/>
        <v>59628</v>
      </c>
      <c r="G316" s="234">
        <f t="shared" si="36"/>
        <v>58793</v>
      </c>
      <c r="H316" s="238">
        <v>34420</v>
      </c>
      <c r="I316" s="239">
        <v>32581</v>
      </c>
      <c r="J316" s="238">
        <v>1117</v>
      </c>
      <c r="K316" s="240">
        <v>1116</v>
      </c>
      <c r="L316" s="238">
        <v>24040</v>
      </c>
      <c r="M316" s="238">
        <v>51</v>
      </c>
      <c r="N316" s="238">
        <v>0</v>
      </c>
      <c r="O316" s="239">
        <v>24991</v>
      </c>
      <c r="P316" s="239">
        <v>105</v>
      </c>
      <c r="Q316" s="240">
        <v>0</v>
      </c>
      <c r="R316" s="238"/>
      <c r="S316" s="240"/>
      <c r="T316" s="236">
        <f t="shared" si="37"/>
        <v>0</v>
      </c>
      <c r="U316" s="237">
        <f t="shared" si="38"/>
        <v>0</v>
      </c>
      <c r="V316" s="238"/>
      <c r="W316" s="239"/>
      <c r="X316" s="241"/>
      <c r="Y316" s="240"/>
      <c r="Z316" s="238"/>
      <c r="AA316" s="238"/>
      <c r="AB316" s="238"/>
      <c r="AC316" s="239"/>
      <c r="AD316" s="239"/>
      <c r="AE316" s="240"/>
      <c r="AF316" s="238"/>
      <c r="AG316" s="239"/>
    </row>
    <row r="317" spans="1:33" x14ac:dyDescent="0.2">
      <c r="A317" s="505" t="s">
        <v>48</v>
      </c>
      <c r="B317" s="432" t="s">
        <v>592</v>
      </c>
      <c r="C317" s="434"/>
      <c r="D317" s="435">
        <v>198640</v>
      </c>
      <c r="E317" s="351">
        <v>10</v>
      </c>
      <c r="F317" s="235">
        <f t="shared" si="35"/>
        <v>39829</v>
      </c>
      <c r="G317" s="234">
        <f t="shared" si="36"/>
        <v>36096</v>
      </c>
      <c r="H317" s="238">
        <v>22310</v>
      </c>
      <c r="I317" s="239">
        <v>24046</v>
      </c>
      <c r="J317" s="238">
        <v>2388</v>
      </c>
      <c r="K317" s="240">
        <v>780</v>
      </c>
      <c r="L317" s="238">
        <v>15131</v>
      </c>
      <c r="M317" s="238">
        <v>0</v>
      </c>
      <c r="N317" s="238">
        <v>0</v>
      </c>
      <c r="O317" s="239">
        <v>10499</v>
      </c>
      <c r="P317" s="239">
        <v>771</v>
      </c>
      <c r="Q317" s="240">
        <v>0</v>
      </c>
      <c r="R317" s="238"/>
      <c r="S317" s="240"/>
      <c r="T317" s="236">
        <f t="shared" si="37"/>
        <v>0</v>
      </c>
      <c r="U317" s="237">
        <f t="shared" si="38"/>
        <v>0</v>
      </c>
      <c r="V317" s="238"/>
      <c r="W317" s="239"/>
      <c r="X317" s="241"/>
      <c r="Y317" s="240"/>
      <c r="Z317" s="238"/>
      <c r="AA317" s="238"/>
      <c r="AB317" s="238"/>
      <c r="AC317" s="239"/>
      <c r="AD317" s="239"/>
      <c r="AE317" s="240"/>
      <c r="AF317" s="238"/>
      <c r="AG317" s="239"/>
    </row>
    <row r="318" spans="1:33" x14ac:dyDescent="0.2">
      <c r="A318" s="505" t="s">
        <v>48</v>
      </c>
      <c r="B318" s="432" t="s">
        <v>593</v>
      </c>
      <c r="C318" s="434"/>
      <c r="D318" s="435">
        <v>198729</v>
      </c>
      <c r="E318" s="351">
        <v>10</v>
      </c>
      <c r="F318" s="235">
        <f t="shared" si="35"/>
        <v>32735</v>
      </c>
      <c r="G318" s="234">
        <f t="shared" si="36"/>
        <v>32457</v>
      </c>
      <c r="H318" s="238">
        <v>22329</v>
      </c>
      <c r="I318" s="239">
        <v>22648</v>
      </c>
      <c r="J318" s="238">
        <v>735</v>
      </c>
      <c r="K318" s="240">
        <v>475</v>
      </c>
      <c r="L318" s="238">
        <v>8995</v>
      </c>
      <c r="M318" s="238">
        <v>676</v>
      </c>
      <c r="N318" s="238">
        <v>0</v>
      </c>
      <c r="O318" s="239">
        <v>8584</v>
      </c>
      <c r="P318" s="239">
        <v>750</v>
      </c>
      <c r="Q318" s="240">
        <v>0</v>
      </c>
      <c r="R318" s="238"/>
      <c r="S318" s="240"/>
      <c r="T318" s="236">
        <f t="shared" si="37"/>
        <v>0</v>
      </c>
      <c r="U318" s="237">
        <f t="shared" si="38"/>
        <v>0</v>
      </c>
      <c r="V318" s="238"/>
      <c r="W318" s="239"/>
      <c r="X318" s="241"/>
      <c r="Y318" s="240"/>
      <c r="Z318" s="238"/>
      <c r="AA318" s="238"/>
      <c r="AB318" s="238"/>
      <c r="AC318" s="239"/>
      <c r="AD318" s="239"/>
      <c r="AE318" s="240"/>
      <c r="AF318" s="238"/>
      <c r="AG318" s="239"/>
    </row>
    <row r="319" spans="1:33" x14ac:dyDescent="0.2">
      <c r="A319" s="505" t="s">
        <v>48</v>
      </c>
      <c r="B319" s="432" t="s">
        <v>594</v>
      </c>
      <c r="C319" s="434"/>
      <c r="D319" s="435">
        <v>198905</v>
      </c>
      <c r="E319" s="351">
        <v>10</v>
      </c>
      <c r="F319" s="235">
        <f t="shared" si="35"/>
        <v>17598</v>
      </c>
      <c r="G319" s="234">
        <f t="shared" si="36"/>
        <v>17153</v>
      </c>
      <c r="H319" s="238">
        <v>8360</v>
      </c>
      <c r="I319" s="239">
        <v>7934</v>
      </c>
      <c r="J319" s="238">
        <v>520</v>
      </c>
      <c r="K319" s="240">
        <v>297</v>
      </c>
      <c r="L319" s="238">
        <v>8544</v>
      </c>
      <c r="M319" s="238">
        <v>174</v>
      </c>
      <c r="N319" s="238">
        <v>0</v>
      </c>
      <c r="O319" s="239">
        <v>8832</v>
      </c>
      <c r="P319" s="239">
        <v>90</v>
      </c>
      <c r="Q319" s="240">
        <v>0</v>
      </c>
      <c r="R319" s="238"/>
      <c r="S319" s="240"/>
      <c r="T319" s="236">
        <f t="shared" si="37"/>
        <v>0</v>
      </c>
      <c r="U319" s="237">
        <f t="shared" si="38"/>
        <v>0</v>
      </c>
      <c r="V319" s="238"/>
      <c r="W319" s="239"/>
      <c r="X319" s="241"/>
      <c r="Y319" s="240"/>
      <c r="Z319" s="238"/>
      <c r="AA319" s="238"/>
      <c r="AB319" s="238"/>
      <c r="AC319" s="239"/>
      <c r="AD319" s="239"/>
      <c r="AE319" s="240"/>
      <c r="AF319" s="238"/>
      <c r="AG319" s="239"/>
    </row>
    <row r="320" spans="1:33" x14ac:dyDescent="0.2">
      <c r="A320" s="337" t="s">
        <v>48</v>
      </c>
      <c r="B320" s="432" t="s">
        <v>595</v>
      </c>
      <c r="C320" s="433"/>
      <c r="D320" s="436">
        <v>198914</v>
      </c>
      <c r="E320" s="347">
        <v>10</v>
      </c>
      <c r="F320" s="235">
        <f t="shared" si="35"/>
        <v>25241</v>
      </c>
      <c r="G320" s="234">
        <f t="shared" si="36"/>
        <v>22821</v>
      </c>
      <c r="H320" s="238">
        <v>18321</v>
      </c>
      <c r="I320" s="239">
        <v>17009</v>
      </c>
      <c r="J320" s="238">
        <v>3638</v>
      </c>
      <c r="K320" s="240">
        <v>1761</v>
      </c>
      <c r="L320" s="238">
        <v>3282</v>
      </c>
      <c r="M320" s="238">
        <v>0</v>
      </c>
      <c r="N320" s="238">
        <v>0</v>
      </c>
      <c r="O320" s="239">
        <v>3922</v>
      </c>
      <c r="P320" s="239">
        <v>129</v>
      </c>
      <c r="Q320" s="240">
        <v>0</v>
      </c>
      <c r="R320" s="238"/>
      <c r="S320" s="240"/>
      <c r="T320" s="236">
        <f t="shared" si="37"/>
        <v>0</v>
      </c>
      <c r="U320" s="237">
        <f t="shared" si="38"/>
        <v>0</v>
      </c>
      <c r="V320" s="238"/>
      <c r="W320" s="239"/>
      <c r="X320" s="241"/>
      <c r="Y320" s="240"/>
      <c r="Z320" s="238"/>
      <c r="AA320" s="238"/>
      <c r="AB320" s="238"/>
      <c r="AC320" s="239"/>
      <c r="AD320" s="239"/>
      <c r="AE320" s="240"/>
      <c r="AF320" s="238"/>
      <c r="AG320" s="239"/>
    </row>
    <row r="321" spans="1:33" x14ac:dyDescent="0.2">
      <c r="A321" s="505" t="s">
        <v>48</v>
      </c>
      <c r="B321" s="432" t="s">
        <v>596</v>
      </c>
      <c r="C321" s="434"/>
      <c r="D321" s="435">
        <v>198923</v>
      </c>
      <c r="E321" s="351">
        <v>10</v>
      </c>
      <c r="F321" s="235">
        <f t="shared" si="35"/>
        <v>33977</v>
      </c>
      <c r="G321" s="234">
        <f t="shared" si="36"/>
        <v>28709</v>
      </c>
      <c r="H321" s="238">
        <v>26090</v>
      </c>
      <c r="I321" s="239">
        <v>21862</v>
      </c>
      <c r="J321" s="238">
        <v>1107</v>
      </c>
      <c r="K321" s="240">
        <v>0</v>
      </c>
      <c r="L321" s="238">
        <v>6471</v>
      </c>
      <c r="M321" s="238">
        <v>96</v>
      </c>
      <c r="N321" s="238">
        <v>213</v>
      </c>
      <c r="O321" s="239">
        <v>6694</v>
      </c>
      <c r="P321" s="239">
        <v>27</v>
      </c>
      <c r="Q321" s="240">
        <v>126</v>
      </c>
      <c r="R321" s="238"/>
      <c r="S321" s="240"/>
      <c r="T321" s="236">
        <f t="shared" si="37"/>
        <v>0</v>
      </c>
      <c r="U321" s="237">
        <f t="shared" si="38"/>
        <v>0</v>
      </c>
      <c r="V321" s="238"/>
      <c r="W321" s="239"/>
      <c r="X321" s="241"/>
      <c r="Y321" s="240"/>
      <c r="Z321" s="238"/>
      <c r="AA321" s="238"/>
      <c r="AB321" s="238"/>
      <c r="AC321" s="239"/>
      <c r="AD321" s="239"/>
      <c r="AE321" s="240"/>
      <c r="AF321" s="238"/>
      <c r="AG321" s="239"/>
    </row>
    <row r="322" spans="1:33" x14ac:dyDescent="0.2">
      <c r="A322" s="505" t="s">
        <v>48</v>
      </c>
      <c r="B322" s="432" t="s">
        <v>597</v>
      </c>
      <c r="C322" s="434"/>
      <c r="D322" s="435">
        <v>199023</v>
      </c>
      <c r="E322" s="351">
        <v>10</v>
      </c>
      <c r="F322" s="235">
        <f t="shared" si="35"/>
        <v>18854</v>
      </c>
      <c r="G322" s="234">
        <f t="shared" si="36"/>
        <v>17341</v>
      </c>
      <c r="H322" s="238">
        <v>10933</v>
      </c>
      <c r="I322" s="239">
        <v>9713</v>
      </c>
      <c r="J322" s="238">
        <v>568</v>
      </c>
      <c r="K322" s="240">
        <v>577</v>
      </c>
      <c r="L322" s="238">
        <v>7182</v>
      </c>
      <c r="M322" s="238">
        <v>171</v>
      </c>
      <c r="N322" s="238">
        <v>0</v>
      </c>
      <c r="O322" s="239">
        <v>7003</v>
      </c>
      <c r="P322" s="239">
        <v>48</v>
      </c>
      <c r="Q322" s="240">
        <v>0</v>
      </c>
      <c r="R322" s="238"/>
      <c r="S322" s="240"/>
      <c r="T322" s="236">
        <f t="shared" si="37"/>
        <v>0</v>
      </c>
      <c r="U322" s="237">
        <f t="shared" si="38"/>
        <v>0</v>
      </c>
      <c r="V322" s="238"/>
      <c r="W322" s="239"/>
      <c r="X322" s="241"/>
      <c r="Y322" s="240"/>
      <c r="Z322" s="238"/>
      <c r="AA322" s="238"/>
      <c r="AB322" s="238"/>
      <c r="AC322" s="239"/>
      <c r="AD322" s="239"/>
      <c r="AE322" s="240"/>
      <c r="AF322" s="238"/>
      <c r="AG322" s="239"/>
    </row>
    <row r="323" spans="1:33" x14ac:dyDescent="0.2">
      <c r="A323" s="505" t="s">
        <v>48</v>
      </c>
      <c r="B323" s="432" t="s">
        <v>598</v>
      </c>
      <c r="C323" s="434"/>
      <c r="D323" s="435">
        <v>199263</v>
      </c>
      <c r="E323" s="351">
        <v>10</v>
      </c>
      <c r="F323" s="235">
        <f t="shared" si="35"/>
        <v>12899</v>
      </c>
      <c r="G323" s="234">
        <f t="shared" si="36"/>
        <v>8939</v>
      </c>
      <c r="H323" s="238">
        <v>5003</v>
      </c>
      <c r="I323" s="239">
        <v>3100</v>
      </c>
      <c r="J323" s="238">
        <v>2335</v>
      </c>
      <c r="K323" s="240">
        <v>286</v>
      </c>
      <c r="L323" s="238">
        <v>5540</v>
      </c>
      <c r="M323" s="238">
        <v>9</v>
      </c>
      <c r="N323" s="238">
        <v>12</v>
      </c>
      <c r="O323" s="239">
        <v>5502</v>
      </c>
      <c r="P323" s="239">
        <v>51</v>
      </c>
      <c r="Q323" s="240">
        <v>0</v>
      </c>
      <c r="R323" s="238"/>
      <c r="S323" s="240"/>
      <c r="T323" s="236">
        <f t="shared" si="37"/>
        <v>0</v>
      </c>
      <c r="U323" s="237">
        <f t="shared" si="38"/>
        <v>0</v>
      </c>
      <c r="V323" s="238"/>
      <c r="W323" s="239"/>
      <c r="X323" s="241"/>
      <c r="Y323" s="240"/>
      <c r="Z323" s="238"/>
      <c r="AA323" s="238"/>
      <c r="AB323" s="238"/>
      <c r="AC323" s="239"/>
      <c r="AD323" s="239"/>
      <c r="AE323" s="240"/>
      <c r="AF323" s="238"/>
      <c r="AG323" s="239"/>
    </row>
    <row r="324" spans="1:33" x14ac:dyDescent="0.2">
      <c r="A324" s="505" t="s">
        <v>48</v>
      </c>
      <c r="B324" s="432" t="s">
        <v>599</v>
      </c>
      <c r="C324" s="433"/>
      <c r="D324" s="436">
        <v>199324</v>
      </c>
      <c r="E324" s="347">
        <v>10</v>
      </c>
      <c r="F324" s="235">
        <f t="shared" si="35"/>
        <v>54804</v>
      </c>
      <c r="G324" s="234">
        <f t="shared" si="36"/>
        <v>43570</v>
      </c>
      <c r="H324" s="238">
        <v>33467</v>
      </c>
      <c r="I324" s="239">
        <v>26766</v>
      </c>
      <c r="J324" s="238">
        <v>2244</v>
      </c>
      <c r="K324" s="240">
        <v>601</v>
      </c>
      <c r="L324" s="238">
        <v>16170</v>
      </c>
      <c r="M324" s="238">
        <v>2923</v>
      </c>
      <c r="N324" s="238">
        <v>0</v>
      </c>
      <c r="O324" s="239">
        <v>13247</v>
      </c>
      <c r="P324" s="239">
        <v>2956</v>
      </c>
      <c r="Q324" s="240">
        <v>0</v>
      </c>
      <c r="R324" s="238"/>
      <c r="S324" s="240"/>
      <c r="T324" s="236">
        <f t="shared" si="37"/>
        <v>0</v>
      </c>
      <c r="U324" s="237">
        <f t="shared" si="38"/>
        <v>0</v>
      </c>
      <c r="V324" s="238"/>
      <c r="W324" s="239"/>
      <c r="X324" s="241"/>
      <c r="Y324" s="240"/>
      <c r="Z324" s="238"/>
      <c r="AA324" s="238"/>
      <c r="AB324" s="238"/>
      <c r="AC324" s="239"/>
      <c r="AD324" s="239"/>
      <c r="AE324" s="240"/>
      <c r="AF324" s="238"/>
      <c r="AG324" s="239"/>
    </row>
    <row r="325" spans="1:33" x14ac:dyDescent="0.2">
      <c r="A325" s="505" t="s">
        <v>48</v>
      </c>
      <c r="B325" s="432" t="s">
        <v>600</v>
      </c>
      <c r="C325" s="433" t="s">
        <v>515</v>
      </c>
      <c r="D325" s="436">
        <v>199449</v>
      </c>
      <c r="E325" s="347">
        <v>10</v>
      </c>
      <c r="F325" s="235">
        <f t="shared" si="35"/>
        <v>48530</v>
      </c>
      <c r="G325" s="234">
        <f t="shared" si="36"/>
        <v>55462</v>
      </c>
      <c r="H325" s="238">
        <v>36643</v>
      </c>
      <c r="I325" s="239">
        <v>40903</v>
      </c>
      <c r="J325" s="238">
        <v>530</v>
      </c>
      <c r="K325" s="240">
        <v>373</v>
      </c>
      <c r="L325" s="238">
        <v>11330</v>
      </c>
      <c r="M325" s="238">
        <v>27</v>
      </c>
      <c r="N325" s="238">
        <v>0</v>
      </c>
      <c r="O325" s="239">
        <v>14083</v>
      </c>
      <c r="P325" s="239">
        <v>103</v>
      </c>
      <c r="Q325" s="240">
        <v>0</v>
      </c>
      <c r="R325" s="238"/>
      <c r="S325" s="240"/>
      <c r="T325" s="236">
        <f t="shared" si="37"/>
        <v>0</v>
      </c>
      <c r="U325" s="237">
        <f t="shared" si="38"/>
        <v>0</v>
      </c>
      <c r="V325" s="238"/>
      <c r="W325" s="239"/>
      <c r="X325" s="241"/>
      <c r="Y325" s="240"/>
      <c r="Z325" s="238"/>
      <c r="AA325" s="238"/>
      <c r="AB325" s="238"/>
      <c r="AC325" s="239"/>
      <c r="AD325" s="239"/>
      <c r="AE325" s="240"/>
      <c r="AF325" s="238"/>
      <c r="AG325" s="239"/>
    </row>
    <row r="326" spans="1:33" x14ac:dyDescent="0.2">
      <c r="A326" s="505" t="s">
        <v>48</v>
      </c>
      <c r="B326" s="432" t="s">
        <v>601</v>
      </c>
      <c r="C326" s="434"/>
      <c r="D326" s="435">
        <v>199467</v>
      </c>
      <c r="E326" s="351">
        <v>10</v>
      </c>
      <c r="F326" s="235">
        <f t="shared" si="35"/>
        <v>18873</v>
      </c>
      <c r="G326" s="234">
        <f t="shared" si="36"/>
        <v>18454</v>
      </c>
      <c r="H326" s="238">
        <v>12284</v>
      </c>
      <c r="I326" s="239">
        <v>12689</v>
      </c>
      <c r="J326" s="238">
        <v>1416</v>
      </c>
      <c r="K326" s="240">
        <v>23</v>
      </c>
      <c r="L326" s="238">
        <v>4999</v>
      </c>
      <c r="M326" s="238">
        <v>174</v>
      </c>
      <c r="N326" s="238">
        <v>0</v>
      </c>
      <c r="O326" s="239">
        <v>5631</v>
      </c>
      <c r="P326" s="239">
        <v>111</v>
      </c>
      <c r="Q326" s="240">
        <v>0</v>
      </c>
      <c r="R326" s="238"/>
      <c r="S326" s="240"/>
      <c r="T326" s="236">
        <f t="shared" si="37"/>
        <v>0</v>
      </c>
      <c r="U326" s="237">
        <f t="shared" si="38"/>
        <v>0</v>
      </c>
      <c r="V326" s="238"/>
      <c r="W326" s="239"/>
      <c r="X326" s="241"/>
      <c r="Y326" s="240"/>
      <c r="Z326" s="238"/>
      <c r="AA326" s="238"/>
      <c r="AB326" s="238"/>
      <c r="AC326" s="239"/>
      <c r="AD326" s="239"/>
      <c r="AE326" s="240"/>
      <c r="AF326" s="238"/>
      <c r="AG326" s="239"/>
    </row>
    <row r="327" spans="1:33" x14ac:dyDescent="0.2">
      <c r="A327" s="505" t="s">
        <v>48</v>
      </c>
      <c r="B327" s="432" t="s">
        <v>602</v>
      </c>
      <c r="C327" s="433"/>
      <c r="D327" s="436">
        <v>199485</v>
      </c>
      <c r="E327" s="347">
        <v>10</v>
      </c>
      <c r="F327" s="235">
        <f t="shared" si="35"/>
        <v>53436</v>
      </c>
      <c r="G327" s="234">
        <f t="shared" si="36"/>
        <v>47516</v>
      </c>
      <c r="H327" s="238">
        <v>43574</v>
      </c>
      <c r="I327" s="239">
        <v>38654</v>
      </c>
      <c r="J327" s="238">
        <v>0</v>
      </c>
      <c r="K327" s="240">
        <v>473</v>
      </c>
      <c r="L327" s="238">
        <v>9682</v>
      </c>
      <c r="M327" s="238">
        <v>108</v>
      </c>
      <c r="N327" s="238">
        <v>72</v>
      </c>
      <c r="O327" s="239">
        <v>8266</v>
      </c>
      <c r="P327" s="239">
        <v>123</v>
      </c>
      <c r="Q327" s="240">
        <v>0</v>
      </c>
      <c r="R327" s="238"/>
      <c r="S327" s="240"/>
      <c r="T327" s="236">
        <f t="shared" si="37"/>
        <v>0</v>
      </c>
      <c r="U327" s="237">
        <f t="shared" si="38"/>
        <v>0</v>
      </c>
      <c r="V327" s="238"/>
      <c r="W327" s="239"/>
      <c r="X327" s="241"/>
      <c r="Y327" s="240"/>
      <c r="Z327" s="238"/>
      <c r="AA327" s="238"/>
      <c r="AB327" s="238"/>
      <c r="AC327" s="239"/>
      <c r="AD327" s="239"/>
      <c r="AE327" s="240"/>
      <c r="AF327" s="238"/>
      <c r="AG327" s="239"/>
    </row>
    <row r="328" spans="1:33" x14ac:dyDescent="0.2">
      <c r="A328" s="505" t="s">
        <v>48</v>
      </c>
      <c r="B328" s="432" t="s">
        <v>603</v>
      </c>
      <c r="C328" s="433"/>
      <c r="D328" s="435">
        <v>199625</v>
      </c>
      <c r="E328" s="351">
        <v>10</v>
      </c>
      <c r="F328" s="235">
        <f t="shared" si="35"/>
        <v>32343</v>
      </c>
      <c r="G328" s="234">
        <f t="shared" si="36"/>
        <v>31433</v>
      </c>
      <c r="H328" s="238">
        <v>26486</v>
      </c>
      <c r="I328" s="239">
        <v>24327</v>
      </c>
      <c r="J328" s="238">
        <v>242</v>
      </c>
      <c r="K328" s="240">
        <v>425</v>
      </c>
      <c r="L328" s="238">
        <v>4878</v>
      </c>
      <c r="M328" s="238">
        <v>737</v>
      </c>
      <c r="N328" s="238">
        <v>0</v>
      </c>
      <c r="O328" s="239">
        <v>5964</v>
      </c>
      <c r="P328" s="239">
        <v>717</v>
      </c>
      <c r="Q328" s="240">
        <v>0</v>
      </c>
      <c r="R328" s="238"/>
      <c r="S328" s="240"/>
      <c r="T328" s="236">
        <f t="shared" si="37"/>
        <v>0</v>
      </c>
      <c r="U328" s="237">
        <f t="shared" si="38"/>
        <v>0</v>
      </c>
      <c r="V328" s="238"/>
      <c r="W328" s="239"/>
      <c r="X328" s="241"/>
      <c r="Y328" s="240"/>
      <c r="Z328" s="238"/>
      <c r="AA328" s="238"/>
      <c r="AB328" s="238"/>
      <c r="AC328" s="239"/>
      <c r="AD328" s="239"/>
      <c r="AE328" s="240"/>
      <c r="AF328" s="238"/>
      <c r="AG328" s="239"/>
    </row>
    <row r="329" spans="1:33" x14ac:dyDescent="0.2">
      <c r="A329" s="505" t="s">
        <v>48</v>
      </c>
      <c r="B329" s="432" t="s">
        <v>604</v>
      </c>
      <c r="C329" s="433" t="s">
        <v>515</v>
      </c>
      <c r="D329" s="436">
        <v>197850</v>
      </c>
      <c r="E329" s="347">
        <v>10</v>
      </c>
      <c r="F329" s="235">
        <f t="shared" si="35"/>
        <v>52463</v>
      </c>
      <c r="G329" s="234">
        <f t="shared" si="36"/>
        <v>48373</v>
      </c>
      <c r="H329" s="238">
        <v>29354</v>
      </c>
      <c r="I329" s="239">
        <v>23804</v>
      </c>
      <c r="J329" s="238">
        <v>1661</v>
      </c>
      <c r="K329" s="240">
        <v>778</v>
      </c>
      <c r="L329" s="238">
        <v>20970</v>
      </c>
      <c r="M329" s="238">
        <v>478</v>
      </c>
      <c r="N329" s="238">
        <v>0</v>
      </c>
      <c r="O329" s="239">
        <v>23632</v>
      </c>
      <c r="P329" s="239">
        <v>159</v>
      </c>
      <c r="Q329" s="240">
        <v>0</v>
      </c>
      <c r="R329" s="238"/>
      <c r="S329" s="240"/>
      <c r="T329" s="236">
        <f t="shared" si="37"/>
        <v>0</v>
      </c>
      <c r="U329" s="237">
        <f t="shared" si="38"/>
        <v>0</v>
      </c>
      <c r="V329" s="238"/>
      <c r="W329" s="239"/>
      <c r="X329" s="241"/>
      <c r="Y329" s="240"/>
      <c r="Z329" s="238"/>
      <c r="AA329" s="238"/>
      <c r="AB329" s="238"/>
      <c r="AC329" s="239"/>
      <c r="AD329" s="239"/>
      <c r="AE329" s="240"/>
      <c r="AF329" s="238"/>
      <c r="AG329" s="239"/>
    </row>
    <row r="330" spans="1:33" x14ac:dyDescent="0.2">
      <c r="A330" s="505" t="s">
        <v>48</v>
      </c>
      <c r="B330" s="432" t="s">
        <v>605</v>
      </c>
      <c r="C330" s="433" t="s">
        <v>515</v>
      </c>
      <c r="D330" s="436">
        <v>199722</v>
      </c>
      <c r="E330" s="347">
        <v>10</v>
      </c>
      <c r="F330" s="235">
        <f t="shared" si="35"/>
        <v>50838</v>
      </c>
      <c r="G330" s="234">
        <f t="shared" si="36"/>
        <v>43237</v>
      </c>
      <c r="H330" s="238">
        <v>32989</v>
      </c>
      <c r="I330" s="239">
        <v>26702</v>
      </c>
      <c r="J330" s="238">
        <v>820</v>
      </c>
      <c r="K330" s="240">
        <v>599</v>
      </c>
      <c r="L330" s="238">
        <v>16507</v>
      </c>
      <c r="M330" s="238">
        <v>522</v>
      </c>
      <c r="N330" s="238">
        <v>0</v>
      </c>
      <c r="O330" s="239">
        <v>15550</v>
      </c>
      <c r="P330" s="239">
        <v>386</v>
      </c>
      <c r="Q330" s="240">
        <v>0</v>
      </c>
      <c r="R330" s="238"/>
      <c r="S330" s="240"/>
      <c r="T330" s="236">
        <f t="shared" si="37"/>
        <v>0</v>
      </c>
      <c r="U330" s="237">
        <f t="shared" si="38"/>
        <v>0</v>
      </c>
      <c r="V330" s="238"/>
      <c r="W330" s="239"/>
      <c r="X330" s="241"/>
      <c r="Y330" s="240"/>
      <c r="Z330" s="238"/>
      <c r="AA330" s="238"/>
      <c r="AB330" s="238"/>
      <c r="AC330" s="239"/>
      <c r="AD330" s="239"/>
      <c r="AE330" s="240"/>
      <c r="AF330" s="238"/>
      <c r="AG330" s="239"/>
    </row>
    <row r="331" spans="1:33" x14ac:dyDescent="0.2">
      <c r="A331" s="505" t="s">
        <v>48</v>
      </c>
      <c r="B331" s="432" t="s">
        <v>606</v>
      </c>
      <c r="C331" s="433" t="s">
        <v>515</v>
      </c>
      <c r="D331" s="436">
        <v>199731</v>
      </c>
      <c r="E331" s="347">
        <v>10</v>
      </c>
      <c r="F331" s="235">
        <f t="shared" si="35"/>
        <v>56784</v>
      </c>
      <c r="G331" s="234">
        <f t="shared" si="36"/>
        <v>56366</v>
      </c>
      <c r="H331" s="238">
        <v>29738</v>
      </c>
      <c r="I331" s="239">
        <v>28174</v>
      </c>
      <c r="J331" s="238">
        <v>2378</v>
      </c>
      <c r="K331" s="240">
        <v>2424</v>
      </c>
      <c r="L331" s="238">
        <v>22455</v>
      </c>
      <c r="M331" s="238">
        <v>2213</v>
      </c>
      <c r="N331" s="238">
        <v>0</v>
      </c>
      <c r="O331" s="239">
        <v>24278</v>
      </c>
      <c r="P331" s="239">
        <v>1490</v>
      </c>
      <c r="Q331" s="240">
        <v>0</v>
      </c>
      <c r="R331" s="238"/>
      <c r="S331" s="240"/>
      <c r="T331" s="236">
        <f t="shared" si="37"/>
        <v>0</v>
      </c>
      <c r="U331" s="237">
        <f t="shared" si="38"/>
        <v>0</v>
      </c>
      <c r="V331" s="238"/>
      <c r="W331" s="239"/>
      <c r="X331" s="241"/>
      <c r="Y331" s="240"/>
      <c r="Z331" s="238"/>
      <c r="AA331" s="238"/>
      <c r="AB331" s="238"/>
      <c r="AC331" s="239"/>
      <c r="AD331" s="239"/>
      <c r="AE331" s="240"/>
      <c r="AF331" s="238"/>
      <c r="AG331" s="239"/>
    </row>
    <row r="332" spans="1:33" x14ac:dyDescent="0.2">
      <c r="A332" s="505" t="s">
        <v>48</v>
      </c>
      <c r="B332" s="432" t="s">
        <v>607</v>
      </c>
      <c r="C332" s="434"/>
      <c r="D332" s="435">
        <v>199795</v>
      </c>
      <c r="E332" s="351">
        <v>10</v>
      </c>
      <c r="F332" s="235">
        <f t="shared" si="35"/>
        <v>30327</v>
      </c>
      <c r="G332" s="234">
        <f t="shared" si="36"/>
        <v>30174</v>
      </c>
      <c r="H332" s="238">
        <v>13948</v>
      </c>
      <c r="I332" s="239">
        <v>12727</v>
      </c>
      <c r="J332" s="238">
        <v>474</v>
      </c>
      <c r="K332" s="240">
        <v>242</v>
      </c>
      <c r="L332" s="238">
        <v>15342</v>
      </c>
      <c r="M332" s="238">
        <v>563</v>
      </c>
      <c r="N332" s="238">
        <v>0</v>
      </c>
      <c r="O332" s="239">
        <v>16524</v>
      </c>
      <c r="P332" s="239">
        <v>681</v>
      </c>
      <c r="Q332" s="240">
        <v>0</v>
      </c>
      <c r="R332" s="238"/>
      <c r="S332" s="240"/>
      <c r="T332" s="236">
        <f t="shared" si="37"/>
        <v>0</v>
      </c>
      <c r="U332" s="237">
        <f t="shared" si="38"/>
        <v>0</v>
      </c>
      <c r="V332" s="238"/>
      <c r="W332" s="239"/>
      <c r="X332" s="241"/>
      <c r="Y332" s="240"/>
      <c r="Z332" s="238"/>
      <c r="AA332" s="238"/>
      <c r="AB332" s="238"/>
      <c r="AC332" s="239"/>
      <c r="AD332" s="239"/>
      <c r="AE332" s="240"/>
      <c r="AF332" s="238"/>
      <c r="AG332" s="239"/>
    </row>
    <row r="333" spans="1:33" x14ac:dyDescent="0.2">
      <c r="A333" s="505" t="s">
        <v>48</v>
      </c>
      <c r="B333" s="432" t="s">
        <v>608</v>
      </c>
      <c r="C333" s="433"/>
      <c r="D333" s="436">
        <v>199953</v>
      </c>
      <c r="E333" s="347">
        <v>10</v>
      </c>
      <c r="F333" s="235">
        <f t="shared" si="35"/>
        <v>50883</v>
      </c>
      <c r="G333" s="234">
        <f t="shared" si="36"/>
        <v>43485</v>
      </c>
      <c r="H333" s="238">
        <v>26041</v>
      </c>
      <c r="I333" s="239">
        <v>20145</v>
      </c>
      <c r="J333" s="238">
        <v>1127</v>
      </c>
      <c r="K333" s="240">
        <v>829</v>
      </c>
      <c r="L333" s="238">
        <v>20897</v>
      </c>
      <c r="M333" s="238">
        <v>0</v>
      </c>
      <c r="N333" s="238">
        <v>2818</v>
      </c>
      <c r="O333" s="239">
        <v>20176</v>
      </c>
      <c r="P333" s="239">
        <v>0</v>
      </c>
      <c r="Q333" s="240">
        <v>2335</v>
      </c>
      <c r="R333" s="238"/>
      <c r="S333" s="240"/>
      <c r="T333" s="236">
        <f t="shared" si="37"/>
        <v>0</v>
      </c>
      <c r="U333" s="237">
        <f t="shared" si="38"/>
        <v>0</v>
      </c>
      <c r="V333" s="238"/>
      <c r="W333" s="239"/>
      <c r="X333" s="241"/>
      <c r="Y333" s="240"/>
      <c r="Z333" s="238"/>
      <c r="AA333" s="238"/>
      <c r="AB333" s="238"/>
      <c r="AC333" s="239"/>
      <c r="AD333" s="239"/>
      <c r="AE333" s="240"/>
      <c r="AF333" s="238"/>
      <c r="AG333" s="239"/>
    </row>
    <row r="334" spans="1:33" x14ac:dyDescent="0.2">
      <c r="A334" s="460" t="s">
        <v>49</v>
      </c>
      <c r="B334" s="331" t="s">
        <v>674</v>
      </c>
      <c r="C334" s="332"/>
      <c r="D334" s="324">
        <v>207388</v>
      </c>
      <c r="E334" s="325">
        <v>1</v>
      </c>
      <c r="F334" s="235">
        <f t="shared" si="35"/>
        <v>0</v>
      </c>
      <c r="G334" s="234">
        <f t="shared" si="36"/>
        <v>537599</v>
      </c>
      <c r="H334" s="231"/>
      <c r="I334" s="232">
        <v>486723</v>
      </c>
      <c r="J334" s="231"/>
      <c r="K334" s="233">
        <v>4066</v>
      </c>
      <c r="L334" s="231"/>
      <c r="M334" s="231"/>
      <c r="N334" s="231"/>
      <c r="O334" s="232">
        <v>46810</v>
      </c>
      <c r="P334" s="232"/>
      <c r="Q334" s="233"/>
      <c r="R334" s="238"/>
      <c r="S334" s="240"/>
      <c r="T334" s="236">
        <f t="shared" si="37"/>
        <v>0</v>
      </c>
      <c r="U334" s="237">
        <f t="shared" si="38"/>
        <v>76920</v>
      </c>
      <c r="V334" s="238"/>
      <c r="W334" s="239">
        <v>56625</v>
      </c>
      <c r="X334" s="241"/>
      <c r="Y334" s="240">
        <v>1657</v>
      </c>
      <c r="Z334" s="238"/>
      <c r="AA334" s="238"/>
      <c r="AB334" s="238"/>
      <c r="AC334" s="239">
        <v>18638</v>
      </c>
      <c r="AD334" s="239"/>
      <c r="AE334" s="240"/>
      <c r="AF334" s="238"/>
      <c r="AG334" s="239"/>
    </row>
    <row r="335" spans="1:33" x14ac:dyDescent="0.2">
      <c r="A335" s="460" t="s">
        <v>49</v>
      </c>
      <c r="B335" s="331" t="s">
        <v>675</v>
      </c>
      <c r="C335" s="332"/>
      <c r="D335" s="460">
        <v>207500</v>
      </c>
      <c r="E335" s="330">
        <v>1</v>
      </c>
      <c r="F335" s="235">
        <f t="shared" si="35"/>
        <v>542963</v>
      </c>
      <c r="G335" s="234">
        <f t="shared" si="36"/>
        <v>563754</v>
      </c>
      <c r="H335" s="231">
        <v>474471</v>
      </c>
      <c r="I335" s="232">
        <v>487962</v>
      </c>
      <c r="J335" s="231">
        <v>6059</v>
      </c>
      <c r="K335" s="233">
        <v>6610</v>
      </c>
      <c r="L335" s="231">
        <v>60898</v>
      </c>
      <c r="M335" s="231">
        <v>316</v>
      </c>
      <c r="N335" s="231">
        <v>656</v>
      </c>
      <c r="O335" s="232">
        <v>64312</v>
      </c>
      <c r="P335" s="232">
        <v>231</v>
      </c>
      <c r="Q335" s="233">
        <v>2510</v>
      </c>
      <c r="R335" s="238">
        <v>563</v>
      </c>
      <c r="S335" s="240">
        <v>2129</v>
      </c>
      <c r="T335" s="236">
        <f t="shared" si="37"/>
        <v>94236</v>
      </c>
      <c r="U335" s="237">
        <f t="shared" si="38"/>
        <v>93253</v>
      </c>
      <c r="V335" s="238">
        <v>57912</v>
      </c>
      <c r="W335" s="239">
        <v>55596</v>
      </c>
      <c r="X335" s="241">
        <v>19766</v>
      </c>
      <c r="Y335" s="240">
        <v>19567</v>
      </c>
      <c r="Z335" s="238">
        <v>13679</v>
      </c>
      <c r="AA335" s="238">
        <v>570</v>
      </c>
      <c r="AB335" s="238">
        <v>2309</v>
      </c>
      <c r="AC335" s="239">
        <v>15049</v>
      </c>
      <c r="AD335" s="239">
        <v>268</v>
      </c>
      <c r="AE335" s="240">
        <v>2366</v>
      </c>
      <c r="AF335" s="238"/>
      <c r="AG335" s="239">
        <v>407</v>
      </c>
    </row>
    <row r="336" spans="1:33" x14ac:dyDescent="0.2">
      <c r="A336" s="460" t="s">
        <v>49</v>
      </c>
      <c r="B336" s="331" t="s">
        <v>676</v>
      </c>
      <c r="C336" s="332"/>
      <c r="D336" s="460">
        <v>207263</v>
      </c>
      <c r="E336" s="330">
        <v>3</v>
      </c>
      <c r="F336" s="235">
        <f t="shared" si="35"/>
        <v>207096</v>
      </c>
      <c r="G336" s="234">
        <f t="shared" si="36"/>
        <v>190715</v>
      </c>
      <c r="H336" s="231">
        <v>172794</v>
      </c>
      <c r="I336" s="232">
        <v>156067</v>
      </c>
      <c r="J336" s="231"/>
      <c r="K336" s="233">
        <v>1018</v>
      </c>
      <c r="L336" s="231">
        <v>33255</v>
      </c>
      <c r="M336" s="231">
        <v>1047</v>
      </c>
      <c r="N336" s="231"/>
      <c r="O336" s="232">
        <v>32814</v>
      </c>
      <c r="P336" s="232">
        <v>816</v>
      </c>
      <c r="Q336" s="233"/>
      <c r="R336" s="238"/>
      <c r="S336" s="240"/>
      <c r="T336" s="236">
        <f t="shared" si="37"/>
        <v>20260</v>
      </c>
      <c r="U336" s="237">
        <f t="shared" si="38"/>
        <v>20730</v>
      </c>
      <c r="V336" s="238">
        <v>18033</v>
      </c>
      <c r="W336" s="239">
        <v>17144</v>
      </c>
      <c r="X336" s="241"/>
      <c r="Y336" s="240"/>
      <c r="Z336" s="238">
        <v>1831</v>
      </c>
      <c r="AA336" s="238">
        <v>396</v>
      </c>
      <c r="AB336" s="238"/>
      <c r="AC336" s="239">
        <v>2786</v>
      </c>
      <c r="AD336" s="239">
        <v>800</v>
      </c>
      <c r="AE336" s="240"/>
      <c r="AF336" s="238"/>
      <c r="AG336" s="239"/>
    </row>
    <row r="337" spans="1:33" x14ac:dyDescent="0.2">
      <c r="A337" s="460" t="s">
        <v>49</v>
      </c>
      <c r="B337" s="331" t="s">
        <v>677</v>
      </c>
      <c r="C337" s="332"/>
      <c r="D337" s="460">
        <v>206941</v>
      </c>
      <c r="E337" s="330">
        <v>3</v>
      </c>
      <c r="F337" s="235">
        <f t="shared" si="35"/>
        <v>373521</v>
      </c>
      <c r="G337" s="234">
        <f t="shared" si="36"/>
        <v>373158</v>
      </c>
      <c r="H337" s="231">
        <v>336270</v>
      </c>
      <c r="I337" s="232">
        <v>331193</v>
      </c>
      <c r="J337" s="231">
        <v>4355</v>
      </c>
      <c r="K337" s="233">
        <v>4510</v>
      </c>
      <c r="L337" s="231">
        <v>29082</v>
      </c>
      <c r="M337" s="231">
        <v>150</v>
      </c>
      <c r="N337" s="231">
        <v>3664</v>
      </c>
      <c r="O337" s="232">
        <v>33625</v>
      </c>
      <c r="P337" s="232">
        <v>170</v>
      </c>
      <c r="Q337" s="233">
        <v>3660</v>
      </c>
      <c r="R337" s="238"/>
      <c r="S337" s="240"/>
      <c r="T337" s="236">
        <f t="shared" si="37"/>
        <v>28239</v>
      </c>
      <c r="U337" s="237">
        <f t="shared" si="38"/>
        <v>27514</v>
      </c>
      <c r="V337" s="238">
        <v>24735</v>
      </c>
      <c r="W337" s="239">
        <v>24758</v>
      </c>
      <c r="X337" s="241">
        <v>71</v>
      </c>
      <c r="Y337" s="240">
        <v>48</v>
      </c>
      <c r="Z337" s="238">
        <v>1391</v>
      </c>
      <c r="AA337" s="238">
        <v>90</v>
      </c>
      <c r="AB337" s="238">
        <v>1952</v>
      </c>
      <c r="AC337" s="239">
        <v>1231</v>
      </c>
      <c r="AD337" s="239">
        <v>30</v>
      </c>
      <c r="AE337" s="240">
        <v>1447</v>
      </c>
      <c r="AF337" s="238"/>
      <c r="AG337" s="239"/>
    </row>
    <row r="338" spans="1:33" x14ac:dyDescent="0.2">
      <c r="A338" s="460" t="s">
        <v>49</v>
      </c>
      <c r="B338" s="331" t="s">
        <v>682</v>
      </c>
      <c r="C338" s="333" t="s">
        <v>326</v>
      </c>
      <c r="D338" s="324">
        <v>207847</v>
      </c>
      <c r="E338" s="464">
        <v>4</v>
      </c>
      <c r="F338" s="235">
        <f t="shared" si="35"/>
        <v>97592</v>
      </c>
      <c r="G338" s="234">
        <f t="shared" si="36"/>
        <v>95226</v>
      </c>
      <c r="H338" s="231">
        <v>67649</v>
      </c>
      <c r="I338" s="232">
        <v>64076</v>
      </c>
      <c r="J338" s="231"/>
      <c r="K338" s="233">
        <v>39</v>
      </c>
      <c r="L338" s="231">
        <v>24179</v>
      </c>
      <c r="M338" s="231">
        <v>5764</v>
      </c>
      <c r="N338" s="231"/>
      <c r="O338" s="232">
        <v>27567</v>
      </c>
      <c r="P338" s="232">
        <v>3544</v>
      </c>
      <c r="Q338" s="233"/>
      <c r="R338" s="238"/>
      <c r="S338" s="240"/>
      <c r="T338" s="236">
        <f t="shared" si="37"/>
        <v>6177</v>
      </c>
      <c r="U338" s="237">
        <f t="shared" si="38"/>
        <v>6114</v>
      </c>
      <c r="V338" s="238">
        <v>4550</v>
      </c>
      <c r="W338" s="239">
        <v>3332</v>
      </c>
      <c r="X338" s="241"/>
      <c r="Y338" s="240"/>
      <c r="Z338" s="238">
        <v>1390</v>
      </c>
      <c r="AA338" s="238">
        <v>237</v>
      </c>
      <c r="AB338" s="238"/>
      <c r="AC338" s="239">
        <v>2707</v>
      </c>
      <c r="AD338" s="239">
        <v>75</v>
      </c>
      <c r="AE338" s="240"/>
      <c r="AF338" s="238"/>
      <c r="AG338" s="239"/>
    </row>
    <row r="339" spans="1:33" x14ac:dyDescent="0.2">
      <c r="A339" s="460" t="s">
        <v>49</v>
      </c>
      <c r="B339" s="331" t="s">
        <v>678</v>
      </c>
      <c r="C339" s="332"/>
      <c r="D339" s="460">
        <v>206914</v>
      </c>
      <c r="E339" s="330">
        <v>5</v>
      </c>
      <c r="F339" s="235">
        <f t="shared" si="35"/>
        <v>139044</v>
      </c>
      <c r="G339" s="234">
        <f t="shared" si="36"/>
        <v>134095</v>
      </c>
      <c r="H339" s="231">
        <v>107420</v>
      </c>
      <c r="I339" s="232">
        <v>102459</v>
      </c>
      <c r="J339" s="231">
        <v>2911</v>
      </c>
      <c r="K339" s="233">
        <v>2569</v>
      </c>
      <c r="L339" s="231">
        <v>19017</v>
      </c>
      <c r="M339" s="231">
        <v>9696</v>
      </c>
      <c r="N339" s="231"/>
      <c r="O339" s="232">
        <v>19194</v>
      </c>
      <c r="P339" s="232">
        <v>9873</v>
      </c>
      <c r="Q339" s="233"/>
      <c r="R339" s="238"/>
      <c r="S339" s="240"/>
      <c r="T339" s="236">
        <f t="shared" si="37"/>
        <v>7449</v>
      </c>
      <c r="U339" s="237">
        <f t="shared" si="38"/>
        <v>7839</v>
      </c>
      <c r="V339" s="238">
        <v>3567</v>
      </c>
      <c r="W339" s="239">
        <v>4077</v>
      </c>
      <c r="X339" s="241"/>
      <c r="Y339" s="240"/>
      <c r="Z339" s="238">
        <v>2508</v>
      </c>
      <c r="AA339" s="238">
        <v>1374</v>
      </c>
      <c r="AB339" s="238"/>
      <c r="AC339" s="239">
        <v>2421</v>
      </c>
      <c r="AD339" s="239">
        <v>1341</v>
      </c>
      <c r="AE339" s="240"/>
      <c r="AF339" s="238"/>
      <c r="AG339" s="239"/>
    </row>
    <row r="340" spans="1:33" x14ac:dyDescent="0.2">
      <c r="A340" s="460" t="s">
        <v>49</v>
      </c>
      <c r="B340" s="331" t="s">
        <v>679</v>
      </c>
      <c r="C340" s="332"/>
      <c r="D340" s="460">
        <v>207041</v>
      </c>
      <c r="E340" s="330">
        <v>5</v>
      </c>
      <c r="F340" s="235">
        <f t="shared" si="35"/>
        <v>106761</v>
      </c>
      <c r="G340" s="234">
        <f t="shared" si="36"/>
        <v>103379</v>
      </c>
      <c r="H340" s="231">
        <v>89844</v>
      </c>
      <c r="I340" s="232">
        <v>86784</v>
      </c>
      <c r="J340" s="231">
        <v>426</v>
      </c>
      <c r="K340" s="233">
        <v>84</v>
      </c>
      <c r="L340" s="231">
        <v>8521</v>
      </c>
      <c r="M340" s="231">
        <v>3560</v>
      </c>
      <c r="N340" s="231">
        <v>4410</v>
      </c>
      <c r="O340" s="232">
        <v>7717</v>
      </c>
      <c r="P340" s="232">
        <v>3995</v>
      </c>
      <c r="Q340" s="233">
        <v>4799</v>
      </c>
      <c r="R340" s="238"/>
      <c r="S340" s="240"/>
      <c r="T340" s="236">
        <f t="shared" si="37"/>
        <v>15756</v>
      </c>
      <c r="U340" s="237">
        <f t="shared" si="38"/>
        <v>10724</v>
      </c>
      <c r="V340" s="238">
        <v>5779</v>
      </c>
      <c r="W340" s="239">
        <v>263</v>
      </c>
      <c r="X340" s="241">
        <v>462</v>
      </c>
      <c r="Y340" s="240">
        <v>551</v>
      </c>
      <c r="Z340" s="238">
        <v>7160</v>
      </c>
      <c r="AA340" s="238">
        <v>1641</v>
      </c>
      <c r="AB340" s="238">
        <v>714</v>
      </c>
      <c r="AC340" s="239">
        <v>7185</v>
      </c>
      <c r="AD340" s="239">
        <v>1912</v>
      </c>
      <c r="AE340" s="240">
        <v>813</v>
      </c>
      <c r="AF340" s="238"/>
      <c r="AG340" s="239"/>
    </row>
    <row r="341" spans="1:33" x14ac:dyDescent="0.2">
      <c r="A341" s="460" t="s">
        <v>49</v>
      </c>
      <c r="B341" s="331" t="s">
        <v>680</v>
      </c>
      <c r="C341" s="332"/>
      <c r="D341" s="460">
        <v>207209</v>
      </c>
      <c r="E341" s="330">
        <v>5</v>
      </c>
      <c r="F341" s="235">
        <f t="shared" si="35"/>
        <v>62132</v>
      </c>
      <c r="G341" s="234">
        <f t="shared" si="36"/>
        <v>56562</v>
      </c>
      <c r="H341" s="231">
        <v>61185</v>
      </c>
      <c r="I341" s="232">
        <v>54788</v>
      </c>
      <c r="J341" s="231">
        <v>162</v>
      </c>
      <c r="K341" s="233"/>
      <c r="L341" s="231">
        <v>520</v>
      </c>
      <c r="M341" s="231">
        <v>265</v>
      </c>
      <c r="N341" s="231"/>
      <c r="O341" s="232">
        <v>807</v>
      </c>
      <c r="P341" s="232">
        <v>967</v>
      </c>
      <c r="Q341" s="233"/>
      <c r="R341" s="238"/>
      <c r="S341" s="240"/>
      <c r="T341" s="236">
        <f t="shared" si="37"/>
        <v>9995</v>
      </c>
      <c r="U341" s="237">
        <f t="shared" si="38"/>
        <v>10055</v>
      </c>
      <c r="V341" s="238">
        <v>9032</v>
      </c>
      <c r="W341" s="239">
        <v>8309</v>
      </c>
      <c r="X341" s="241"/>
      <c r="Y341" s="240"/>
      <c r="Z341" s="238">
        <v>882</v>
      </c>
      <c r="AA341" s="238">
        <v>81</v>
      </c>
      <c r="AB341" s="238"/>
      <c r="AC341" s="239">
        <v>1395</v>
      </c>
      <c r="AD341" s="239">
        <v>351</v>
      </c>
      <c r="AE341" s="240"/>
      <c r="AF341" s="238"/>
      <c r="AG341" s="239"/>
    </row>
    <row r="342" spans="1:33" x14ac:dyDescent="0.2">
      <c r="A342" s="460" t="s">
        <v>49</v>
      </c>
      <c r="B342" s="331" t="s">
        <v>681</v>
      </c>
      <c r="C342" s="332"/>
      <c r="D342" s="460">
        <v>207306</v>
      </c>
      <c r="E342" s="330">
        <v>5</v>
      </c>
      <c r="F342" s="235">
        <f t="shared" si="35"/>
        <v>52469</v>
      </c>
      <c r="G342" s="234">
        <f t="shared" si="36"/>
        <v>51151</v>
      </c>
      <c r="H342" s="231">
        <v>39001</v>
      </c>
      <c r="I342" s="515">
        <v>36998</v>
      </c>
      <c r="J342" s="231">
        <v>138</v>
      </c>
      <c r="K342" s="515">
        <v>99</v>
      </c>
      <c r="L342" s="231">
        <v>5053</v>
      </c>
      <c r="M342" s="231">
        <v>8277</v>
      </c>
      <c r="N342" s="231"/>
      <c r="O342" s="232">
        <v>5160</v>
      </c>
      <c r="P342" s="232">
        <v>8714</v>
      </c>
      <c r="Q342" s="233">
        <v>180</v>
      </c>
      <c r="R342" s="238"/>
      <c r="S342" s="240"/>
      <c r="T342" s="236">
        <f t="shared" si="37"/>
        <v>2309</v>
      </c>
      <c r="U342" s="237">
        <f t="shared" si="38"/>
        <v>2982</v>
      </c>
      <c r="V342" s="238">
        <v>1303</v>
      </c>
      <c r="W342" s="239">
        <v>1380</v>
      </c>
      <c r="X342" s="241">
        <v>2</v>
      </c>
      <c r="Y342" s="240">
        <v>23</v>
      </c>
      <c r="Z342" s="238">
        <v>206</v>
      </c>
      <c r="AA342" s="238">
        <v>798</v>
      </c>
      <c r="AB342" s="238"/>
      <c r="AC342" s="239">
        <v>234</v>
      </c>
      <c r="AD342" s="239">
        <v>1345</v>
      </c>
      <c r="AE342" s="240"/>
      <c r="AF342" s="238"/>
      <c r="AG342" s="239"/>
    </row>
    <row r="343" spans="1:33" x14ac:dyDescent="0.2">
      <c r="A343" s="459" t="s">
        <v>49</v>
      </c>
      <c r="B343" s="331" t="s">
        <v>683</v>
      </c>
      <c r="C343" s="332"/>
      <c r="D343" s="324">
        <v>207865</v>
      </c>
      <c r="E343" s="325">
        <v>5</v>
      </c>
      <c r="F343" s="235">
        <f t="shared" si="35"/>
        <v>124777</v>
      </c>
      <c r="G343" s="234">
        <f t="shared" si="36"/>
        <v>119697</v>
      </c>
      <c r="H343" s="231">
        <v>110061</v>
      </c>
      <c r="I343" s="232">
        <v>104838</v>
      </c>
      <c r="J343" s="231">
        <v>1566</v>
      </c>
      <c r="K343" s="232">
        <v>687</v>
      </c>
      <c r="L343" s="231">
        <v>10192</v>
      </c>
      <c r="M343" s="231">
        <v>1707</v>
      </c>
      <c r="N343" s="231">
        <v>1251</v>
      </c>
      <c r="O343" s="232">
        <v>12930</v>
      </c>
      <c r="P343" s="232">
        <v>1194</v>
      </c>
      <c r="Q343" s="232">
        <v>48</v>
      </c>
      <c r="R343" s="238"/>
      <c r="S343" s="239"/>
      <c r="T343" s="236">
        <f t="shared" si="37"/>
        <v>14178</v>
      </c>
      <c r="U343" s="237">
        <f t="shared" si="38"/>
        <v>15387</v>
      </c>
      <c r="V343" s="238">
        <v>8985</v>
      </c>
      <c r="W343" s="239">
        <v>8781</v>
      </c>
      <c r="X343" s="241">
        <v>10</v>
      </c>
      <c r="Y343" s="239">
        <v>1989</v>
      </c>
      <c r="Z343" s="238">
        <v>1292</v>
      </c>
      <c r="AA343" s="238">
        <v>3891</v>
      </c>
      <c r="AB343" s="238"/>
      <c r="AC343" s="239">
        <v>2418</v>
      </c>
      <c r="AD343" s="239">
        <v>2199</v>
      </c>
      <c r="AE343" s="239"/>
      <c r="AF343" s="238"/>
      <c r="AG343" s="239"/>
    </row>
    <row r="344" spans="1:33" x14ac:dyDescent="0.2">
      <c r="A344" s="459" t="s">
        <v>49</v>
      </c>
      <c r="B344" s="331" t="s">
        <v>684</v>
      </c>
      <c r="C344" s="332"/>
      <c r="D344" s="324">
        <v>207351</v>
      </c>
      <c r="E344" s="325">
        <v>6</v>
      </c>
      <c r="F344" s="235">
        <f t="shared" si="35"/>
        <v>39218</v>
      </c>
      <c r="G344" s="234">
        <f t="shared" si="36"/>
        <v>42508</v>
      </c>
      <c r="H344" s="231">
        <v>34003</v>
      </c>
      <c r="I344" s="232">
        <v>35702</v>
      </c>
      <c r="J344" s="231"/>
      <c r="K344" s="233"/>
      <c r="L344" s="231">
        <v>5050</v>
      </c>
      <c r="M344" s="231">
        <v>165</v>
      </c>
      <c r="N344" s="231"/>
      <c r="O344" s="232">
        <v>6719</v>
      </c>
      <c r="P344" s="232">
        <v>87</v>
      </c>
      <c r="Q344" s="233"/>
      <c r="R344" s="238"/>
      <c r="S344" s="240"/>
      <c r="T344" s="236">
        <f t="shared" si="37"/>
        <v>0</v>
      </c>
      <c r="U344" s="237">
        <f t="shared" si="38"/>
        <v>0</v>
      </c>
      <c r="V344" s="238"/>
      <c r="W344" s="239"/>
      <c r="X344" s="241"/>
      <c r="Y344" s="240"/>
      <c r="Z344" s="238"/>
      <c r="AA344" s="238"/>
      <c r="AB344" s="238"/>
      <c r="AC344" s="239"/>
      <c r="AD344" s="239"/>
      <c r="AE344" s="240"/>
      <c r="AF344" s="238"/>
      <c r="AG344" s="239"/>
    </row>
    <row r="345" spans="1:33" x14ac:dyDescent="0.2">
      <c r="A345" s="461" t="s">
        <v>49</v>
      </c>
      <c r="B345" s="462" t="s">
        <v>685</v>
      </c>
      <c r="C345" s="465"/>
      <c r="D345" s="329">
        <v>207661</v>
      </c>
      <c r="E345" s="466">
        <v>6</v>
      </c>
      <c r="F345" s="235">
        <f t="shared" si="35"/>
        <v>104846</v>
      </c>
      <c r="G345" s="234">
        <f t="shared" si="36"/>
        <v>106177</v>
      </c>
      <c r="H345" s="231">
        <v>72813</v>
      </c>
      <c r="I345" s="232">
        <v>73815</v>
      </c>
      <c r="J345" s="231">
        <v>2951</v>
      </c>
      <c r="K345" s="233">
        <v>2922</v>
      </c>
      <c r="L345" s="231">
        <v>26519</v>
      </c>
      <c r="M345" s="231">
        <v>2563</v>
      </c>
      <c r="N345" s="231"/>
      <c r="O345" s="232">
        <v>27187</v>
      </c>
      <c r="P345" s="232">
        <v>2253</v>
      </c>
      <c r="Q345" s="233"/>
      <c r="R345" s="238"/>
      <c r="S345" s="240"/>
      <c r="T345" s="236">
        <f t="shared" si="37"/>
        <v>0</v>
      </c>
      <c r="U345" s="237">
        <f t="shared" si="38"/>
        <v>0</v>
      </c>
      <c r="V345" s="238"/>
      <c r="W345" s="239"/>
      <c r="X345" s="241"/>
      <c r="Y345" s="240"/>
      <c r="Z345" s="238"/>
      <c r="AA345" s="238"/>
      <c r="AB345" s="238"/>
      <c r="AC345" s="239"/>
      <c r="AD345" s="239"/>
      <c r="AE345" s="240"/>
      <c r="AF345" s="238"/>
      <c r="AG345" s="239"/>
    </row>
    <row r="346" spans="1:33" x14ac:dyDescent="0.2">
      <c r="A346" s="459" t="s">
        <v>49</v>
      </c>
      <c r="B346" s="331" t="s">
        <v>686</v>
      </c>
      <c r="C346" s="332"/>
      <c r="D346" s="324">
        <v>207722</v>
      </c>
      <c r="E346" s="325">
        <v>6</v>
      </c>
      <c r="F346" s="235">
        <f t="shared" si="35"/>
        <v>30810</v>
      </c>
      <c r="G346" s="234">
        <f t="shared" si="36"/>
        <v>28393</v>
      </c>
      <c r="H346" s="231">
        <v>30690</v>
      </c>
      <c r="I346" s="232">
        <v>28330</v>
      </c>
      <c r="J346" s="231">
        <v>120</v>
      </c>
      <c r="K346" s="233">
        <v>63</v>
      </c>
      <c r="L346" s="231"/>
      <c r="M346" s="231"/>
      <c r="N346" s="231"/>
      <c r="O346" s="232"/>
      <c r="P346" s="232"/>
      <c r="Q346" s="233"/>
      <c r="R346" s="238"/>
      <c r="S346" s="240"/>
      <c r="T346" s="236">
        <f t="shared" si="37"/>
        <v>0</v>
      </c>
      <c r="U346" s="237">
        <f t="shared" si="38"/>
        <v>0</v>
      </c>
      <c r="V346" s="238"/>
      <c r="W346" s="239"/>
      <c r="X346" s="241"/>
      <c r="Y346" s="240"/>
      <c r="Z346" s="238"/>
      <c r="AA346" s="238"/>
      <c r="AB346" s="238"/>
      <c r="AC346" s="239"/>
      <c r="AD346" s="239"/>
      <c r="AE346" s="240"/>
      <c r="AF346" s="238"/>
      <c r="AG346" s="239"/>
    </row>
    <row r="347" spans="1:33" x14ac:dyDescent="0.2">
      <c r="A347" s="461" t="s">
        <v>49</v>
      </c>
      <c r="B347" s="331" t="s">
        <v>687</v>
      </c>
      <c r="C347" s="332" t="s">
        <v>701</v>
      </c>
      <c r="D347" s="324">
        <v>207397</v>
      </c>
      <c r="E347" s="467">
        <v>7</v>
      </c>
      <c r="F347" s="235">
        <f t="shared" si="35"/>
        <v>95815</v>
      </c>
      <c r="G347" s="234">
        <f t="shared" si="36"/>
        <v>96340</v>
      </c>
      <c r="H347" s="231">
        <v>75353</v>
      </c>
      <c r="I347" s="232">
        <v>74115</v>
      </c>
      <c r="J347" s="231">
        <v>10254</v>
      </c>
      <c r="K347" s="233">
        <v>10223</v>
      </c>
      <c r="L347" s="231">
        <v>10208</v>
      </c>
      <c r="M347" s="231"/>
      <c r="N347" s="231"/>
      <c r="O347" s="232">
        <v>12002</v>
      </c>
      <c r="P347" s="232"/>
      <c r="Q347" s="233"/>
      <c r="R347" s="238"/>
      <c r="S347" s="240"/>
      <c r="T347" s="236">
        <f t="shared" si="37"/>
        <v>0</v>
      </c>
      <c r="U347" s="237">
        <f t="shared" si="38"/>
        <v>0</v>
      </c>
      <c r="V347" s="238"/>
      <c r="W347" s="239"/>
      <c r="X347" s="241"/>
      <c r="Y347" s="240"/>
      <c r="Z347" s="238"/>
      <c r="AA347" s="238"/>
      <c r="AB347" s="238"/>
      <c r="AC347" s="239"/>
      <c r="AD347" s="239"/>
      <c r="AE347" s="240"/>
      <c r="AF347" s="238"/>
      <c r="AG347" s="239"/>
    </row>
    <row r="348" spans="1:33" x14ac:dyDescent="0.2">
      <c r="A348" s="459" t="s">
        <v>49</v>
      </c>
      <c r="B348" s="331" t="s">
        <v>688</v>
      </c>
      <c r="C348" s="332" t="s">
        <v>702</v>
      </c>
      <c r="D348" s="324">
        <v>207564</v>
      </c>
      <c r="E348" s="412">
        <v>7</v>
      </c>
      <c r="F348" s="235">
        <f t="shared" si="35"/>
        <v>169257</v>
      </c>
      <c r="G348" s="234">
        <f t="shared" si="36"/>
        <v>162903</v>
      </c>
      <c r="H348" s="231">
        <v>111532</v>
      </c>
      <c r="I348" s="232">
        <v>103082</v>
      </c>
      <c r="J348" s="231">
        <v>5012</v>
      </c>
      <c r="K348" s="233">
        <v>4166</v>
      </c>
      <c r="L348" s="231">
        <v>47470</v>
      </c>
      <c r="M348" s="231">
        <v>5170</v>
      </c>
      <c r="N348" s="231"/>
      <c r="O348" s="232">
        <v>50967</v>
      </c>
      <c r="P348" s="232">
        <v>4588</v>
      </c>
      <c r="Q348" s="233"/>
      <c r="R348" s="238">
        <v>73</v>
      </c>
      <c r="S348" s="240">
        <v>100</v>
      </c>
      <c r="T348" s="236">
        <f t="shared" si="37"/>
        <v>0</v>
      </c>
      <c r="U348" s="237">
        <f t="shared" si="38"/>
        <v>0</v>
      </c>
      <c r="V348" s="238"/>
      <c r="W348" s="239"/>
      <c r="X348" s="241"/>
      <c r="Y348" s="240"/>
      <c r="Z348" s="238"/>
      <c r="AA348" s="238"/>
      <c r="AB348" s="238"/>
      <c r="AC348" s="239"/>
      <c r="AD348" s="239"/>
      <c r="AE348" s="240"/>
      <c r="AF348" s="238"/>
      <c r="AG348" s="239"/>
    </row>
    <row r="349" spans="1:33" x14ac:dyDescent="0.2">
      <c r="A349" s="459" t="s">
        <v>49</v>
      </c>
      <c r="B349" s="405" t="s">
        <v>689</v>
      </c>
      <c r="C349" s="332"/>
      <c r="D349" s="324">
        <v>207449</v>
      </c>
      <c r="E349" s="412">
        <v>8</v>
      </c>
      <c r="F349" s="235">
        <f t="shared" si="35"/>
        <v>323628</v>
      </c>
      <c r="G349" s="234">
        <f t="shared" si="36"/>
        <v>275005</v>
      </c>
      <c r="H349" s="231">
        <v>189505</v>
      </c>
      <c r="I349" s="232">
        <v>191522</v>
      </c>
      <c r="J349" s="231">
        <v>20424</v>
      </c>
      <c r="K349" s="233">
        <v>20563</v>
      </c>
      <c r="L349" s="231">
        <v>52316</v>
      </c>
      <c r="M349" s="231"/>
      <c r="N349" s="231">
        <v>60962</v>
      </c>
      <c r="O349" s="232">
        <v>62499</v>
      </c>
      <c r="P349" s="232"/>
      <c r="Q349" s="233"/>
      <c r="R349" s="238">
        <v>421</v>
      </c>
      <c r="S349" s="240">
        <v>421</v>
      </c>
      <c r="T349" s="236">
        <f t="shared" si="37"/>
        <v>0</v>
      </c>
      <c r="U349" s="237">
        <f t="shared" si="38"/>
        <v>0</v>
      </c>
      <c r="V349" s="238"/>
      <c r="W349" s="239"/>
      <c r="X349" s="241"/>
      <c r="Y349" s="240"/>
      <c r="Z349" s="238"/>
      <c r="AA349" s="238"/>
      <c r="AB349" s="238"/>
      <c r="AC349" s="239"/>
      <c r="AD349" s="239"/>
      <c r="AE349" s="240"/>
      <c r="AF349" s="238"/>
      <c r="AG349" s="239"/>
    </row>
    <row r="350" spans="1:33" x14ac:dyDescent="0.2">
      <c r="A350" s="459" t="s">
        <v>49</v>
      </c>
      <c r="B350" s="331" t="s">
        <v>690</v>
      </c>
      <c r="C350" s="463"/>
      <c r="D350" s="324">
        <v>207670</v>
      </c>
      <c r="E350" s="467">
        <v>8</v>
      </c>
      <c r="F350" s="235">
        <f t="shared" si="35"/>
        <v>162006</v>
      </c>
      <c r="G350" s="234">
        <f t="shared" si="36"/>
        <v>152987</v>
      </c>
      <c r="H350" s="231">
        <v>121773</v>
      </c>
      <c r="I350" s="232">
        <v>112226</v>
      </c>
      <c r="J350" s="231">
        <v>5722</v>
      </c>
      <c r="K350" s="233">
        <v>3864</v>
      </c>
      <c r="L350" s="231">
        <v>31677</v>
      </c>
      <c r="M350" s="231">
        <v>169</v>
      </c>
      <c r="N350" s="231">
        <v>2665</v>
      </c>
      <c r="O350" s="232">
        <v>34531</v>
      </c>
      <c r="P350" s="232">
        <v>468</v>
      </c>
      <c r="Q350" s="233">
        <v>1898</v>
      </c>
      <c r="R350" s="238"/>
      <c r="S350" s="240"/>
      <c r="T350" s="236">
        <f t="shared" si="37"/>
        <v>0</v>
      </c>
      <c r="U350" s="237">
        <f t="shared" si="38"/>
        <v>0</v>
      </c>
      <c r="V350" s="238"/>
      <c r="W350" s="239"/>
      <c r="X350" s="241"/>
      <c r="Y350" s="240"/>
      <c r="Z350" s="238"/>
      <c r="AA350" s="238"/>
      <c r="AB350" s="238"/>
      <c r="AC350" s="239"/>
      <c r="AD350" s="239"/>
      <c r="AE350" s="240"/>
      <c r="AF350" s="238"/>
      <c r="AG350" s="239"/>
    </row>
    <row r="351" spans="1:33" x14ac:dyDescent="0.2">
      <c r="A351" s="459" t="s">
        <v>49</v>
      </c>
      <c r="B351" s="331" t="s">
        <v>691</v>
      </c>
      <c r="C351" s="332"/>
      <c r="D351" s="324">
        <v>207935</v>
      </c>
      <c r="E351" s="412">
        <v>8</v>
      </c>
      <c r="F351" s="235">
        <f t="shared" si="35"/>
        <v>397010</v>
      </c>
      <c r="G351" s="234">
        <f t="shared" si="36"/>
        <v>382906</v>
      </c>
      <c r="H351" s="231">
        <v>290409</v>
      </c>
      <c r="I351" s="232">
        <v>273968</v>
      </c>
      <c r="J351" s="231">
        <v>18548</v>
      </c>
      <c r="K351" s="233">
        <v>19227</v>
      </c>
      <c r="L351" s="231">
        <v>88053</v>
      </c>
      <c r="M351" s="231"/>
      <c r="N351" s="231"/>
      <c r="O351" s="232">
        <v>89711</v>
      </c>
      <c r="P351" s="232"/>
      <c r="Q351" s="233"/>
      <c r="R351" s="238"/>
      <c r="S351" s="240"/>
      <c r="T351" s="236">
        <f t="shared" si="37"/>
        <v>0</v>
      </c>
      <c r="U351" s="237">
        <f t="shared" si="38"/>
        <v>0</v>
      </c>
      <c r="V351" s="238"/>
      <c r="W351" s="239"/>
      <c r="X351" s="241"/>
      <c r="Y351" s="240"/>
      <c r="Z351" s="238"/>
      <c r="AA351" s="238"/>
      <c r="AB351" s="238"/>
      <c r="AC351" s="239"/>
      <c r="AD351" s="239"/>
      <c r="AE351" s="240"/>
      <c r="AF351" s="238"/>
      <c r="AG351" s="239"/>
    </row>
    <row r="352" spans="1:33" x14ac:dyDescent="0.2">
      <c r="A352" s="459" t="s">
        <v>49</v>
      </c>
      <c r="B352" s="331" t="s">
        <v>693</v>
      </c>
      <c r="C352" s="333" t="s">
        <v>703</v>
      </c>
      <c r="D352" s="324">
        <v>206923</v>
      </c>
      <c r="E352" s="468">
        <v>9</v>
      </c>
      <c r="F352" s="235">
        <f t="shared" si="35"/>
        <v>63341</v>
      </c>
      <c r="G352" s="234">
        <f t="shared" si="36"/>
        <v>62913</v>
      </c>
      <c r="H352" s="231">
        <v>23647</v>
      </c>
      <c r="I352" s="232">
        <v>46623</v>
      </c>
      <c r="J352" s="231"/>
      <c r="K352" s="233"/>
      <c r="L352" s="231">
        <v>14516</v>
      </c>
      <c r="M352" s="231">
        <v>177</v>
      </c>
      <c r="N352" s="231">
        <v>25001</v>
      </c>
      <c r="O352" s="232">
        <v>14748</v>
      </c>
      <c r="P352" s="232">
        <v>1542</v>
      </c>
      <c r="Q352" s="233"/>
      <c r="R352" s="238"/>
      <c r="S352" s="240"/>
      <c r="T352" s="236">
        <f t="shared" si="37"/>
        <v>0</v>
      </c>
      <c r="U352" s="237">
        <f t="shared" si="38"/>
        <v>0</v>
      </c>
      <c r="V352" s="238"/>
      <c r="W352" s="239"/>
      <c r="X352" s="241"/>
      <c r="Y352" s="240"/>
      <c r="Z352" s="238"/>
      <c r="AA352" s="238"/>
      <c r="AB352" s="238"/>
      <c r="AC352" s="239"/>
      <c r="AD352" s="239"/>
      <c r="AE352" s="240"/>
      <c r="AF352" s="238"/>
      <c r="AG352" s="239"/>
    </row>
    <row r="353" spans="1:33" x14ac:dyDescent="0.2">
      <c r="A353" s="459" t="s">
        <v>49</v>
      </c>
      <c r="B353" s="405" t="s">
        <v>692</v>
      </c>
      <c r="C353" s="332"/>
      <c r="D353" s="324">
        <v>207281</v>
      </c>
      <c r="E353" s="412">
        <v>9</v>
      </c>
      <c r="F353" s="235">
        <f t="shared" si="35"/>
        <v>120330</v>
      </c>
      <c r="G353" s="234">
        <f t="shared" si="36"/>
        <v>98353</v>
      </c>
      <c r="H353" s="231">
        <v>82422</v>
      </c>
      <c r="I353" s="232">
        <v>72760</v>
      </c>
      <c r="J353" s="231">
        <v>9788</v>
      </c>
      <c r="K353" s="233">
        <v>738</v>
      </c>
      <c r="L353" s="231">
        <v>12089</v>
      </c>
      <c r="M353" s="231">
        <v>15674</v>
      </c>
      <c r="N353" s="231">
        <v>357</v>
      </c>
      <c r="O353" s="232">
        <v>9432</v>
      </c>
      <c r="P353" s="232">
        <v>15079</v>
      </c>
      <c r="Q353" s="233">
        <v>344</v>
      </c>
      <c r="R353" s="238"/>
      <c r="S353" s="240"/>
      <c r="T353" s="236">
        <f t="shared" si="37"/>
        <v>0</v>
      </c>
      <c r="U353" s="237">
        <f t="shared" si="38"/>
        <v>0</v>
      </c>
      <c r="V353" s="238"/>
      <c r="W353" s="239"/>
      <c r="X353" s="241"/>
      <c r="Y353" s="240"/>
      <c r="Z353" s="238"/>
      <c r="AA353" s="238"/>
      <c r="AB353" s="238"/>
      <c r="AC353" s="239"/>
      <c r="AD353" s="239"/>
      <c r="AE353" s="240"/>
      <c r="AF353" s="238"/>
      <c r="AG353" s="239"/>
    </row>
    <row r="354" spans="1:33" x14ac:dyDescent="0.2">
      <c r="A354" s="459" t="s">
        <v>49</v>
      </c>
      <c r="B354" s="331" t="s">
        <v>694</v>
      </c>
      <c r="C354" s="332" t="s">
        <v>702</v>
      </c>
      <c r="D354" s="324">
        <v>206996</v>
      </c>
      <c r="E354" s="412">
        <v>10</v>
      </c>
      <c r="F354" s="235">
        <f t="shared" si="35"/>
        <v>58495</v>
      </c>
      <c r="G354" s="234">
        <f t="shared" si="36"/>
        <v>59443</v>
      </c>
      <c r="H354" s="231">
        <v>37804</v>
      </c>
      <c r="I354" s="232">
        <v>43886</v>
      </c>
      <c r="J354" s="231">
        <v>9473</v>
      </c>
      <c r="K354" s="233">
        <v>5312</v>
      </c>
      <c r="L354" s="231">
        <v>4895</v>
      </c>
      <c r="M354" s="231">
        <v>6323</v>
      </c>
      <c r="N354" s="231"/>
      <c r="O354" s="232">
        <v>7408</v>
      </c>
      <c r="P354" s="232">
        <v>2837</v>
      </c>
      <c r="Q354" s="233"/>
      <c r="R354" s="238"/>
      <c r="S354" s="240"/>
      <c r="T354" s="236">
        <f t="shared" si="37"/>
        <v>0</v>
      </c>
      <c r="U354" s="237">
        <f t="shared" si="38"/>
        <v>0</v>
      </c>
      <c r="V354" s="238"/>
      <c r="W354" s="239"/>
      <c r="X354" s="241"/>
      <c r="Y354" s="240"/>
      <c r="Z354" s="238"/>
      <c r="AA354" s="238"/>
      <c r="AB354" s="238"/>
      <c r="AC354" s="239"/>
      <c r="AD354" s="239"/>
      <c r="AE354" s="240"/>
      <c r="AF354" s="238"/>
      <c r="AG354" s="239"/>
    </row>
    <row r="355" spans="1:33" x14ac:dyDescent="0.2">
      <c r="A355" s="459" t="s">
        <v>49</v>
      </c>
      <c r="B355" s="331" t="s">
        <v>695</v>
      </c>
      <c r="C355" s="332"/>
      <c r="D355" s="324">
        <v>207050</v>
      </c>
      <c r="E355" s="412">
        <v>10</v>
      </c>
      <c r="F355" s="235">
        <f t="shared" si="35"/>
        <v>45357</v>
      </c>
      <c r="G355" s="234">
        <f t="shared" si="36"/>
        <v>42460</v>
      </c>
      <c r="H355" s="231">
        <v>33741</v>
      </c>
      <c r="I355" s="232">
        <v>31959</v>
      </c>
      <c r="J355" s="231">
        <v>2461</v>
      </c>
      <c r="K355" s="233">
        <v>960</v>
      </c>
      <c r="L355" s="231">
        <v>6102</v>
      </c>
      <c r="M355" s="231">
        <v>3053</v>
      </c>
      <c r="N355" s="231"/>
      <c r="O355" s="232">
        <v>6474</v>
      </c>
      <c r="P355" s="232">
        <v>3067</v>
      </c>
      <c r="Q355" s="233"/>
      <c r="R355" s="238"/>
      <c r="S355" s="240"/>
      <c r="T355" s="236">
        <f t="shared" si="37"/>
        <v>0</v>
      </c>
      <c r="U355" s="237">
        <f t="shared" si="38"/>
        <v>0</v>
      </c>
      <c r="V355" s="238"/>
      <c r="W355" s="239"/>
      <c r="X355" s="241"/>
      <c r="Y355" s="240"/>
      <c r="Z355" s="238"/>
      <c r="AA355" s="238"/>
      <c r="AB355" s="238"/>
      <c r="AC355" s="239"/>
      <c r="AD355" s="239"/>
      <c r="AE355" s="240"/>
      <c r="AF355" s="238"/>
      <c r="AG355" s="239"/>
    </row>
    <row r="356" spans="1:33" x14ac:dyDescent="0.2">
      <c r="A356" s="459" t="s">
        <v>49</v>
      </c>
      <c r="B356" s="331" t="s">
        <v>696</v>
      </c>
      <c r="C356" s="332"/>
      <c r="D356" s="324">
        <v>207236</v>
      </c>
      <c r="E356" s="412">
        <v>10</v>
      </c>
      <c r="F356" s="235">
        <f t="shared" si="35"/>
        <v>59204</v>
      </c>
      <c r="G356" s="234">
        <f t="shared" si="36"/>
        <v>56231</v>
      </c>
      <c r="H356" s="231">
        <v>37440</v>
      </c>
      <c r="I356" s="232">
        <v>32886</v>
      </c>
      <c r="J356" s="231">
        <v>2772</v>
      </c>
      <c r="K356" s="233">
        <v>2621</v>
      </c>
      <c r="L356" s="231">
        <v>11207</v>
      </c>
      <c r="M356" s="231">
        <v>7749</v>
      </c>
      <c r="N356" s="231">
        <v>36</v>
      </c>
      <c r="O356" s="232">
        <v>12930</v>
      </c>
      <c r="P356" s="232">
        <v>7760</v>
      </c>
      <c r="Q356" s="233">
        <v>34</v>
      </c>
      <c r="R356" s="238"/>
      <c r="S356" s="240"/>
      <c r="T356" s="236">
        <f t="shared" si="37"/>
        <v>0</v>
      </c>
      <c r="U356" s="237">
        <f t="shared" si="38"/>
        <v>0</v>
      </c>
      <c r="V356" s="238"/>
      <c r="W356" s="239"/>
      <c r="X356" s="241"/>
      <c r="Y356" s="240"/>
      <c r="Z356" s="238"/>
      <c r="AA356" s="238"/>
      <c r="AB356" s="238"/>
      <c r="AC356" s="239"/>
      <c r="AD356" s="239"/>
      <c r="AE356" s="240"/>
      <c r="AF356" s="238"/>
      <c r="AG356" s="239"/>
    </row>
    <row r="357" spans="1:33" x14ac:dyDescent="0.2">
      <c r="A357" s="459" t="s">
        <v>49</v>
      </c>
      <c r="B357" s="331" t="s">
        <v>697</v>
      </c>
      <c r="C357" s="332"/>
      <c r="D357" s="324">
        <v>207290</v>
      </c>
      <c r="E357" s="412">
        <v>10</v>
      </c>
      <c r="F357" s="235">
        <f t="shared" si="35"/>
        <v>63634</v>
      </c>
      <c r="G357" s="234">
        <f t="shared" si="36"/>
        <v>61592</v>
      </c>
      <c r="H357" s="231">
        <v>49728</v>
      </c>
      <c r="I357" s="232">
        <v>48910</v>
      </c>
      <c r="J357" s="231">
        <v>1586</v>
      </c>
      <c r="K357" s="233">
        <v>105</v>
      </c>
      <c r="L357" s="231">
        <v>10937</v>
      </c>
      <c r="M357" s="231">
        <v>1383</v>
      </c>
      <c r="N357" s="231"/>
      <c r="O357" s="232">
        <v>11382</v>
      </c>
      <c r="P357" s="232">
        <v>1195</v>
      </c>
      <c r="Q357" s="233"/>
      <c r="R357" s="238"/>
      <c r="S357" s="240"/>
      <c r="T357" s="236">
        <f t="shared" si="37"/>
        <v>0</v>
      </c>
      <c r="U357" s="237">
        <f t="shared" si="38"/>
        <v>0</v>
      </c>
      <c r="V357" s="238"/>
      <c r="W357" s="239"/>
      <c r="X357" s="241"/>
      <c r="Y357" s="240"/>
      <c r="Z357" s="238"/>
      <c r="AA357" s="238"/>
      <c r="AB357" s="238"/>
      <c r="AC357" s="239"/>
      <c r="AD357" s="239"/>
      <c r="AE357" s="240"/>
      <c r="AF357" s="238"/>
      <c r="AG357" s="239"/>
    </row>
    <row r="358" spans="1:33" x14ac:dyDescent="0.2">
      <c r="A358" s="459" t="s">
        <v>49</v>
      </c>
      <c r="B358" s="331" t="s">
        <v>698</v>
      </c>
      <c r="C358" s="332"/>
      <c r="D358" s="324">
        <v>207069</v>
      </c>
      <c r="E358" s="412">
        <v>10</v>
      </c>
      <c r="F358" s="235">
        <f t="shared" si="35"/>
        <v>49031</v>
      </c>
      <c r="G358" s="234">
        <f t="shared" si="36"/>
        <v>40630</v>
      </c>
      <c r="H358" s="231">
        <v>25983</v>
      </c>
      <c r="I358" s="232">
        <v>23316</v>
      </c>
      <c r="J358" s="231">
        <v>6878</v>
      </c>
      <c r="K358" s="233">
        <v>1608</v>
      </c>
      <c r="L358" s="231">
        <v>14415</v>
      </c>
      <c r="M358" s="231">
        <v>1755</v>
      </c>
      <c r="N358" s="231"/>
      <c r="O358" s="232">
        <v>14098</v>
      </c>
      <c r="P358" s="232">
        <v>1608</v>
      </c>
      <c r="Q358" s="233"/>
      <c r="R358" s="238"/>
      <c r="S358" s="240"/>
      <c r="T358" s="236">
        <f t="shared" si="37"/>
        <v>0</v>
      </c>
      <c r="U358" s="237">
        <f t="shared" si="38"/>
        <v>0</v>
      </c>
      <c r="V358" s="238"/>
      <c r="W358" s="239"/>
      <c r="X358" s="241"/>
      <c r="Y358" s="240"/>
      <c r="Z358" s="238"/>
      <c r="AA358" s="238"/>
      <c r="AB358" s="238"/>
      <c r="AC358" s="239"/>
      <c r="AD358" s="239"/>
      <c r="AE358" s="240"/>
      <c r="AF358" s="238"/>
      <c r="AG358" s="239"/>
    </row>
    <row r="359" spans="1:33" x14ac:dyDescent="0.2">
      <c r="A359" s="459" t="s">
        <v>49</v>
      </c>
      <c r="B359" s="331" t="s">
        <v>699</v>
      </c>
      <c r="C359" s="332"/>
      <c r="D359" s="324">
        <v>207740</v>
      </c>
      <c r="E359" s="412">
        <v>10</v>
      </c>
      <c r="F359" s="235">
        <f t="shared" si="35"/>
        <v>45684</v>
      </c>
      <c r="G359" s="234">
        <f t="shared" si="36"/>
        <v>36897</v>
      </c>
      <c r="H359" s="231">
        <v>29558</v>
      </c>
      <c r="I359" s="232">
        <v>28095</v>
      </c>
      <c r="J359" s="231">
        <v>7727</v>
      </c>
      <c r="K359" s="233">
        <v>105</v>
      </c>
      <c r="L359" s="231">
        <v>8288</v>
      </c>
      <c r="M359" s="231">
        <v>111</v>
      </c>
      <c r="N359" s="231"/>
      <c r="O359" s="232">
        <v>8592</v>
      </c>
      <c r="P359" s="232">
        <v>105</v>
      </c>
      <c r="Q359" s="233"/>
      <c r="R359" s="238"/>
      <c r="S359" s="240"/>
      <c r="T359" s="236">
        <f t="shared" si="37"/>
        <v>0</v>
      </c>
      <c r="U359" s="237">
        <f t="shared" si="38"/>
        <v>0</v>
      </c>
      <c r="V359" s="238"/>
      <c r="W359" s="239"/>
      <c r="X359" s="241"/>
      <c r="Y359" s="240"/>
      <c r="Z359" s="238"/>
      <c r="AA359" s="238"/>
      <c r="AB359" s="238"/>
      <c r="AC359" s="239"/>
      <c r="AD359" s="239"/>
      <c r="AE359" s="240"/>
      <c r="AF359" s="238"/>
      <c r="AG359" s="239"/>
    </row>
    <row r="360" spans="1:33" x14ac:dyDescent="0.2">
      <c r="A360" s="459" t="s">
        <v>49</v>
      </c>
      <c r="B360" s="331" t="s">
        <v>700</v>
      </c>
      <c r="C360" s="332" t="s">
        <v>704</v>
      </c>
      <c r="D360" s="324">
        <v>208035</v>
      </c>
      <c r="E360" s="412">
        <v>10</v>
      </c>
      <c r="F360" s="235">
        <f t="shared" si="35"/>
        <v>63048</v>
      </c>
      <c r="G360" s="234">
        <f t="shared" si="36"/>
        <v>64584</v>
      </c>
      <c r="H360" s="231">
        <v>20713</v>
      </c>
      <c r="I360" s="232">
        <v>18950</v>
      </c>
      <c r="J360" s="231">
        <v>6022</v>
      </c>
      <c r="K360" s="233">
        <v>4760</v>
      </c>
      <c r="L360" s="231">
        <v>34238</v>
      </c>
      <c r="M360" s="231">
        <v>1715</v>
      </c>
      <c r="N360" s="231">
        <v>360</v>
      </c>
      <c r="O360" s="232">
        <v>39105</v>
      </c>
      <c r="P360" s="232">
        <v>1478</v>
      </c>
      <c r="Q360" s="233">
        <v>291</v>
      </c>
      <c r="R360" s="238"/>
      <c r="S360" s="240"/>
      <c r="T360" s="236">
        <f t="shared" si="37"/>
        <v>0</v>
      </c>
      <c r="U360" s="237">
        <f t="shared" si="38"/>
        <v>0</v>
      </c>
      <c r="V360" s="238"/>
      <c r="W360" s="239"/>
      <c r="X360" s="241"/>
      <c r="Y360" s="240"/>
      <c r="Z360" s="238"/>
      <c r="AA360" s="238"/>
      <c r="AB360" s="238"/>
      <c r="AC360" s="239"/>
      <c r="AD360" s="239"/>
      <c r="AE360" s="240"/>
      <c r="AF360" s="238"/>
      <c r="AG360" s="239"/>
    </row>
    <row r="361" spans="1:33" x14ac:dyDescent="0.2">
      <c r="A361" s="558" t="s">
        <v>50</v>
      </c>
      <c r="B361" s="559" t="s">
        <v>814</v>
      </c>
      <c r="C361" s="560"/>
      <c r="D361" s="558">
        <v>217882</v>
      </c>
      <c r="E361" s="561">
        <v>1</v>
      </c>
      <c r="F361" s="235">
        <f t="shared" si="35"/>
        <v>491334</v>
      </c>
      <c r="G361" s="234">
        <f t="shared" si="36"/>
        <v>500847</v>
      </c>
      <c r="H361" s="238">
        <v>451941</v>
      </c>
      <c r="I361" s="239">
        <v>460203</v>
      </c>
      <c r="J361" s="238">
        <v>15418</v>
      </c>
      <c r="K361" s="240">
        <v>7816</v>
      </c>
      <c r="L361" s="238">
        <v>23975</v>
      </c>
      <c r="M361" s="238"/>
      <c r="N361" s="238"/>
      <c r="O361" s="239">
        <v>32828</v>
      </c>
      <c r="P361" s="239">
        <v>0</v>
      </c>
      <c r="Q361" s="240">
        <v>0</v>
      </c>
      <c r="R361" s="238"/>
      <c r="S361" s="240"/>
      <c r="T361" s="562">
        <f t="shared" si="37"/>
        <v>77271</v>
      </c>
      <c r="U361" s="237">
        <f t="shared" si="38"/>
        <v>79236</v>
      </c>
      <c r="V361" s="238">
        <v>57340</v>
      </c>
      <c r="W361" s="239">
        <v>57004</v>
      </c>
      <c r="X361" s="241">
        <v>15684</v>
      </c>
      <c r="Y361" s="240">
        <v>16428</v>
      </c>
      <c r="Z361" s="238">
        <v>4247</v>
      </c>
      <c r="AA361" s="238"/>
      <c r="AB361" s="238"/>
      <c r="AC361" s="563">
        <v>5804</v>
      </c>
      <c r="AD361" s="239"/>
      <c r="AE361" s="240"/>
      <c r="AF361" s="238"/>
      <c r="AG361" s="239"/>
    </row>
    <row r="362" spans="1:33" x14ac:dyDescent="0.2">
      <c r="A362" s="558" t="s">
        <v>50</v>
      </c>
      <c r="B362" s="559" t="s">
        <v>815</v>
      </c>
      <c r="C362" s="560"/>
      <c r="D362" s="558">
        <v>218663</v>
      </c>
      <c r="E362" s="561">
        <v>1</v>
      </c>
      <c r="F362" s="235">
        <f t="shared" si="35"/>
        <v>674943</v>
      </c>
      <c r="G362" s="234">
        <f t="shared" si="36"/>
        <v>705386</v>
      </c>
      <c r="H362" s="238">
        <v>637395</v>
      </c>
      <c r="I362" s="239">
        <v>664128</v>
      </c>
      <c r="J362" s="238">
        <v>15367</v>
      </c>
      <c r="K362" s="240">
        <v>14946</v>
      </c>
      <c r="L362" s="238">
        <v>17159</v>
      </c>
      <c r="M362" s="238">
        <v>3833</v>
      </c>
      <c r="N362" s="238">
        <v>1189</v>
      </c>
      <c r="O362" s="239">
        <v>22319</v>
      </c>
      <c r="P362" s="239">
        <v>2851</v>
      </c>
      <c r="Q362" s="240">
        <v>1142</v>
      </c>
      <c r="R362" s="238"/>
      <c r="S362" s="240"/>
      <c r="T362" s="562">
        <f t="shared" si="37"/>
        <v>118222</v>
      </c>
      <c r="U362" s="237">
        <f t="shared" si="38"/>
        <v>113207</v>
      </c>
      <c r="V362" s="238">
        <v>73946</v>
      </c>
      <c r="W362" s="239">
        <v>73066</v>
      </c>
      <c r="X362" s="241">
        <v>9895</v>
      </c>
      <c r="Y362" s="240">
        <v>9585</v>
      </c>
      <c r="Z362" s="238">
        <v>32293</v>
      </c>
      <c r="AA362" s="238">
        <v>174</v>
      </c>
      <c r="AB362" s="238">
        <v>1914</v>
      </c>
      <c r="AC362" s="563">
        <v>28059</v>
      </c>
      <c r="AD362" s="239">
        <v>498</v>
      </c>
      <c r="AE362" s="240">
        <v>1999</v>
      </c>
      <c r="AF362" s="238"/>
      <c r="AG362" s="239"/>
    </row>
    <row r="363" spans="1:33" x14ac:dyDescent="0.2">
      <c r="A363" s="558" t="s">
        <v>50</v>
      </c>
      <c r="B363" s="559" t="s">
        <v>816</v>
      </c>
      <c r="C363" s="560"/>
      <c r="D363" s="558">
        <v>217819</v>
      </c>
      <c r="E363" s="561">
        <v>3</v>
      </c>
      <c r="F363" s="235">
        <f t="shared" si="35"/>
        <v>302217</v>
      </c>
      <c r="G363" s="234">
        <f t="shared" si="36"/>
        <v>309549</v>
      </c>
      <c r="H363" s="238">
        <v>299380</v>
      </c>
      <c r="I363" s="239">
        <v>305193</v>
      </c>
      <c r="J363" s="238">
        <v>1795</v>
      </c>
      <c r="K363" s="240">
        <v>2604</v>
      </c>
      <c r="L363" s="238">
        <v>1042</v>
      </c>
      <c r="M363" s="238"/>
      <c r="N363" s="238"/>
      <c r="O363" s="239">
        <v>1752</v>
      </c>
      <c r="P363" s="239">
        <v>0</v>
      </c>
      <c r="Q363" s="240">
        <v>0</v>
      </c>
      <c r="R363" s="238"/>
      <c r="S363" s="240"/>
      <c r="T363" s="562">
        <f t="shared" si="37"/>
        <v>19054</v>
      </c>
      <c r="U363" s="237">
        <f t="shared" si="38"/>
        <v>18280</v>
      </c>
      <c r="V363" s="238">
        <v>10693</v>
      </c>
      <c r="W363" s="239">
        <v>10042</v>
      </c>
      <c r="X363" s="241">
        <v>7511</v>
      </c>
      <c r="Y363" s="240">
        <v>6874</v>
      </c>
      <c r="Z363" s="238">
        <v>766</v>
      </c>
      <c r="AA363" s="238"/>
      <c r="AB363" s="238">
        <v>84</v>
      </c>
      <c r="AC363" s="239">
        <v>1313</v>
      </c>
      <c r="AD363" s="239">
        <v>45</v>
      </c>
      <c r="AE363" s="240">
        <v>6</v>
      </c>
      <c r="AF363" s="238"/>
      <c r="AG363" s="239"/>
    </row>
    <row r="364" spans="1:33" x14ac:dyDescent="0.2">
      <c r="A364" s="558" t="s">
        <v>50</v>
      </c>
      <c r="B364" s="559" t="s">
        <v>817</v>
      </c>
      <c r="C364" s="560"/>
      <c r="D364" s="558">
        <v>218964</v>
      </c>
      <c r="E364" s="561">
        <v>3</v>
      </c>
      <c r="F364" s="235">
        <f t="shared" si="35"/>
        <v>143669</v>
      </c>
      <c r="G364" s="234">
        <f t="shared" si="36"/>
        <v>145009.5</v>
      </c>
      <c r="H364" s="238">
        <v>139272</v>
      </c>
      <c r="I364" s="239">
        <v>139061.5</v>
      </c>
      <c r="J364" s="238">
        <v>1273</v>
      </c>
      <c r="K364" s="240">
        <v>1159</v>
      </c>
      <c r="L364" s="238">
        <v>3124</v>
      </c>
      <c r="M364" s="238"/>
      <c r="N364" s="238"/>
      <c r="O364" s="239">
        <v>4789</v>
      </c>
      <c r="P364" s="239">
        <v>0</v>
      </c>
      <c r="Q364" s="240">
        <v>0</v>
      </c>
      <c r="R364" s="238"/>
      <c r="S364" s="240"/>
      <c r="T364" s="562">
        <f t="shared" si="37"/>
        <v>18582</v>
      </c>
      <c r="U364" s="237">
        <f t="shared" si="38"/>
        <v>18444.5</v>
      </c>
      <c r="V364" s="238">
        <v>14482</v>
      </c>
      <c r="W364" s="239">
        <v>13114.5</v>
      </c>
      <c r="X364" s="241">
        <v>2381</v>
      </c>
      <c r="Y364" s="240">
        <v>2812</v>
      </c>
      <c r="Z364" s="238">
        <v>1719</v>
      </c>
      <c r="AA364" s="238"/>
      <c r="AB364" s="238"/>
      <c r="AC364" s="239">
        <v>2518</v>
      </c>
      <c r="AD364" s="239"/>
      <c r="AE364" s="240"/>
      <c r="AF364" s="238"/>
      <c r="AG364" s="239"/>
    </row>
    <row r="365" spans="1:33" x14ac:dyDescent="0.2">
      <c r="A365" s="558" t="s">
        <v>50</v>
      </c>
      <c r="B365" s="559" t="s">
        <v>818</v>
      </c>
      <c r="C365" s="560" t="s">
        <v>325</v>
      </c>
      <c r="D365" s="558">
        <v>217864</v>
      </c>
      <c r="E365" s="561">
        <v>4</v>
      </c>
      <c r="F365" s="235">
        <f t="shared" si="35"/>
        <v>87469</v>
      </c>
      <c r="G365" s="234">
        <f t="shared" si="36"/>
        <v>90936</v>
      </c>
      <c r="H365" s="238">
        <v>86618</v>
      </c>
      <c r="I365" s="239">
        <v>89404</v>
      </c>
      <c r="J365" s="238">
        <v>231</v>
      </c>
      <c r="K365" s="240">
        <v>216</v>
      </c>
      <c r="L365" s="238">
        <v>620</v>
      </c>
      <c r="M365" s="238"/>
      <c r="N365" s="238"/>
      <c r="O365" s="239">
        <v>1253</v>
      </c>
      <c r="P365" s="239">
        <v>63</v>
      </c>
      <c r="Q365" s="240">
        <v>0</v>
      </c>
      <c r="R365" s="238"/>
      <c r="S365" s="240"/>
      <c r="T365" s="562">
        <f t="shared" si="37"/>
        <v>16062</v>
      </c>
      <c r="U365" s="237">
        <f t="shared" si="38"/>
        <v>13943</v>
      </c>
      <c r="V365" s="238">
        <v>12780</v>
      </c>
      <c r="W365" s="239">
        <v>11300</v>
      </c>
      <c r="X365" s="241">
        <v>1752</v>
      </c>
      <c r="Y365" s="240">
        <v>1272</v>
      </c>
      <c r="Z365" s="238">
        <v>1530</v>
      </c>
      <c r="AA365" s="238"/>
      <c r="AB365" s="238"/>
      <c r="AC365" s="239">
        <v>1371</v>
      </c>
      <c r="AD365" s="239"/>
      <c r="AE365" s="240"/>
      <c r="AF365" s="238"/>
      <c r="AG365" s="239"/>
    </row>
    <row r="366" spans="1:33" x14ac:dyDescent="0.2">
      <c r="A366" s="558" t="s">
        <v>50</v>
      </c>
      <c r="B366" s="559" t="s">
        <v>819</v>
      </c>
      <c r="C366" s="560"/>
      <c r="D366" s="558">
        <v>218724</v>
      </c>
      <c r="E366" s="561">
        <v>5</v>
      </c>
      <c r="F366" s="235">
        <f t="shared" si="35"/>
        <v>249232</v>
      </c>
      <c r="G366" s="234">
        <f t="shared" si="36"/>
        <v>256094</v>
      </c>
      <c r="H366" s="238">
        <v>233193</v>
      </c>
      <c r="I366" s="239">
        <v>237455</v>
      </c>
      <c r="J366" s="238">
        <v>1928</v>
      </c>
      <c r="K366" s="240">
        <v>1984</v>
      </c>
      <c r="L366" s="238">
        <v>14111</v>
      </c>
      <c r="M366" s="238"/>
      <c r="N366" s="238"/>
      <c r="O366" s="239">
        <v>16655</v>
      </c>
      <c r="P366" s="239">
        <v>0</v>
      </c>
      <c r="Q366" s="240">
        <v>0</v>
      </c>
      <c r="R366" s="238"/>
      <c r="S366" s="240"/>
      <c r="T366" s="562">
        <f t="shared" si="37"/>
        <v>9268</v>
      </c>
      <c r="U366" s="237">
        <f t="shared" si="38"/>
        <v>9584</v>
      </c>
      <c r="V366" s="238">
        <v>5224</v>
      </c>
      <c r="W366" s="239">
        <v>5566</v>
      </c>
      <c r="X366" s="241">
        <v>1810</v>
      </c>
      <c r="Y366" s="240">
        <v>1971</v>
      </c>
      <c r="Z366" s="238">
        <v>2234</v>
      </c>
      <c r="AA366" s="238"/>
      <c r="AB366" s="238"/>
      <c r="AC366" s="239">
        <v>2047</v>
      </c>
      <c r="AD366" s="239"/>
      <c r="AE366" s="240"/>
      <c r="AF366" s="238"/>
      <c r="AG366" s="239"/>
    </row>
    <row r="367" spans="1:33" x14ac:dyDescent="0.2">
      <c r="A367" s="558" t="s">
        <v>50</v>
      </c>
      <c r="B367" s="559" t="s">
        <v>820</v>
      </c>
      <c r="C367" s="560"/>
      <c r="D367" s="558">
        <v>218061</v>
      </c>
      <c r="E367" s="561">
        <v>5</v>
      </c>
      <c r="F367" s="235">
        <f t="shared" si="35"/>
        <v>105516</v>
      </c>
      <c r="G367" s="234">
        <f t="shared" si="36"/>
        <v>102284</v>
      </c>
      <c r="H367" s="238">
        <v>104723</v>
      </c>
      <c r="I367" s="239">
        <v>100855</v>
      </c>
      <c r="J367" s="238">
        <v>517</v>
      </c>
      <c r="K367" s="240">
        <v>206</v>
      </c>
      <c r="L367" s="238">
        <v>276</v>
      </c>
      <c r="M367" s="238"/>
      <c r="N367" s="238"/>
      <c r="O367" s="239">
        <v>1223</v>
      </c>
      <c r="P367" s="239">
        <v>0</v>
      </c>
      <c r="Q367" s="240">
        <v>0</v>
      </c>
      <c r="R367" s="238"/>
      <c r="S367" s="240"/>
      <c r="T367" s="562">
        <f t="shared" si="37"/>
        <v>4967</v>
      </c>
      <c r="U367" s="237">
        <f t="shared" si="38"/>
        <v>4789</v>
      </c>
      <c r="V367" s="238">
        <v>3461</v>
      </c>
      <c r="W367" s="239">
        <v>2661</v>
      </c>
      <c r="X367" s="241">
        <v>1425</v>
      </c>
      <c r="Y367" s="240">
        <v>1612</v>
      </c>
      <c r="Z367" s="238">
        <v>81</v>
      </c>
      <c r="AA367" s="238"/>
      <c r="AB367" s="238"/>
      <c r="AC367" s="563">
        <v>516</v>
      </c>
      <c r="AD367" s="239"/>
      <c r="AE367" s="240"/>
      <c r="AF367" s="238"/>
      <c r="AG367" s="239"/>
    </row>
    <row r="368" spans="1:33" x14ac:dyDescent="0.2">
      <c r="A368" s="558" t="s">
        <v>50</v>
      </c>
      <c r="B368" s="559" t="s">
        <v>821</v>
      </c>
      <c r="C368" s="560"/>
      <c r="D368" s="558">
        <v>218733</v>
      </c>
      <c r="E368" s="561">
        <v>5</v>
      </c>
      <c r="F368" s="235">
        <f t="shared" si="35"/>
        <v>112443</v>
      </c>
      <c r="G368" s="234">
        <f t="shared" si="36"/>
        <v>101567</v>
      </c>
      <c r="H368" s="238">
        <v>108344</v>
      </c>
      <c r="I368" s="239">
        <v>98666</v>
      </c>
      <c r="J368" s="238">
        <v>0</v>
      </c>
      <c r="K368" s="240"/>
      <c r="L368" s="238">
        <v>3286</v>
      </c>
      <c r="M368" s="238"/>
      <c r="N368" s="238">
        <v>813</v>
      </c>
      <c r="O368" s="239">
        <v>2901</v>
      </c>
      <c r="P368" s="239">
        <v>0</v>
      </c>
      <c r="Q368" s="240">
        <v>0</v>
      </c>
      <c r="R368" s="238"/>
      <c r="S368" s="240"/>
      <c r="T368" s="562">
        <f t="shared" si="37"/>
        <v>10494</v>
      </c>
      <c r="U368" s="237">
        <f t="shared" si="38"/>
        <v>10031</v>
      </c>
      <c r="V368" s="238">
        <v>8973</v>
      </c>
      <c r="W368" s="239">
        <v>8951</v>
      </c>
      <c r="X368" s="241"/>
      <c r="Y368" s="240"/>
      <c r="Z368" s="238">
        <v>1359</v>
      </c>
      <c r="AA368" s="238"/>
      <c r="AB368" s="238">
        <v>162</v>
      </c>
      <c r="AC368" s="239">
        <v>1080</v>
      </c>
      <c r="AD368" s="239"/>
      <c r="AE368" s="240"/>
      <c r="AF368" s="238"/>
      <c r="AG368" s="239"/>
    </row>
    <row r="369" spans="1:33" x14ac:dyDescent="0.2">
      <c r="A369" s="558" t="s">
        <v>50</v>
      </c>
      <c r="B369" s="559" t="s">
        <v>822</v>
      </c>
      <c r="C369" s="560"/>
      <c r="D369" s="558">
        <v>218229</v>
      </c>
      <c r="E369" s="564">
        <v>6</v>
      </c>
      <c r="F369" s="235">
        <f t="shared" si="35"/>
        <v>86311</v>
      </c>
      <c r="G369" s="234">
        <f t="shared" si="36"/>
        <v>86752.010000000009</v>
      </c>
      <c r="H369" s="238">
        <v>79212</v>
      </c>
      <c r="I369" s="239">
        <v>79165.010000000009</v>
      </c>
      <c r="J369" s="238">
        <v>906</v>
      </c>
      <c r="K369" s="240">
        <v>1109</v>
      </c>
      <c r="L369" s="238">
        <v>6133</v>
      </c>
      <c r="M369" s="238">
        <v>60</v>
      </c>
      <c r="N369" s="238"/>
      <c r="O369" s="239">
        <v>6439</v>
      </c>
      <c r="P369" s="239">
        <v>39</v>
      </c>
      <c r="Q369" s="240">
        <v>0</v>
      </c>
      <c r="R369" s="238"/>
      <c r="S369" s="240"/>
      <c r="T369" s="562">
        <f t="shared" si="37"/>
        <v>1674</v>
      </c>
      <c r="U369" s="237">
        <f t="shared" si="38"/>
        <v>1869</v>
      </c>
      <c r="V369" s="238">
        <v>1137</v>
      </c>
      <c r="W369" s="239">
        <v>1089</v>
      </c>
      <c r="X369" s="241">
        <v>255</v>
      </c>
      <c r="Y369" s="240">
        <v>288</v>
      </c>
      <c r="Z369" s="238">
        <v>282</v>
      </c>
      <c r="AA369" s="238"/>
      <c r="AB369" s="238"/>
      <c r="AC369" s="239">
        <v>492</v>
      </c>
      <c r="AD369" s="239"/>
      <c r="AE369" s="240"/>
      <c r="AF369" s="238"/>
      <c r="AG369" s="239"/>
    </row>
    <row r="370" spans="1:33" x14ac:dyDescent="0.2">
      <c r="A370" s="558" t="s">
        <v>50</v>
      </c>
      <c r="B370" s="559" t="s">
        <v>823</v>
      </c>
      <c r="C370" s="560"/>
      <c r="D370" s="558">
        <v>218645</v>
      </c>
      <c r="E370" s="561">
        <v>6</v>
      </c>
      <c r="F370" s="235">
        <f t="shared" ref="F370:F397" si="39">SUM(H370,J370,L370,M370,N370,R370)</f>
        <v>90109</v>
      </c>
      <c r="G370" s="234">
        <f t="shared" ref="G370:G397" si="40">SUM(I370,K370,O370,P370,Q370,S370)</f>
        <v>87317</v>
      </c>
      <c r="H370" s="238">
        <v>82281</v>
      </c>
      <c r="I370" s="239">
        <v>78819</v>
      </c>
      <c r="J370" s="238">
        <v>5702</v>
      </c>
      <c r="K370" s="240">
        <v>4158</v>
      </c>
      <c r="L370" s="238">
        <v>2126</v>
      </c>
      <c r="M370" s="238"/>
      <c r="N370" s="238"/>
      <c r="O370" s="239">
        <v>4340</v>
      </c>
      <c r="P370" s="239">
        <v>0</v>
      </c>
      <c r="Q370" s="240">
        <v>0</v>
      </c>
      <c r="R370" s="238"/>
      <c r="S370" s="240"/>
      <c r="T370" s="562">
        <f t="shared" si="37"/>
        <v>1222</v>
      </c>
      <c r="U370" s="237">
        <f t="shared" si="38"/>
        <v>1326</v>
      </c>
      <c r="V370" s="238">
        <v>602</v>
      </c>
      <c r="W370" s="239">
        <v>658</v>
      </c>
      <c r="X370" s="241">
        <v>272</v>
      </c>
      <c r="Y370" s="240">
        <v>209</v>
      </c>
      <c r="Z370" s="238">
        <v>348</v>
      </c>
      <c r="AA370" s="238"/>
      <c r="AB370" s="238"/>
      <c r="AC370" s="239">
        <v>459</v>
      </c>
      <c r="AD370" s="239"/>
      <c r="AE370" s="240"/>
      <c r="AF370" s="238"/>
      <c r="AG370" s="239"/>
    </row>
    <row r="371" spans="1:33" x14ac:dyDescent="0.2">
      <c r="A371" s="558" t="s">
        <v>50</v>
      </c>
      <c r="B371" s="565" t="s">
        <v>824</v>
      </c>
      <c r="C371" s="566"/>
      <c r="D371" s="567">
        <v>218654</v>
      </c>
      <c r="E371" s="564">
        <v>6</v>
      </c>
      <c r="F371" s="235">
        <f t="shared" si="39"/>
        <v>53991</v>
      </c>
      <c r="G371" s="234">
        <f t="shared" si="40"/>
        <v>52909</v>
      </c>
      <c r="H371" s="238">
        <v>48167</v>
      </c>
      <c r="I371" s="239">
        <v>47308</v>
      </c>
      <c r="J371" s="238">
        <v>5824</v>
      </c>
      <c r="K371" s="240">
        <v>5601</v>
      </c>
      <c r="L371" s="238"/>
      <c r="M371" s="238"/>
      <c r="N371" s="238"/>
      <c r="O371" s="239">
        <v>0</v>
      </c>
      <c r="P371" s="239">
        <v>0</v>
      </c>
      <c r="Q371" s="240">
        <v>0</v>
      </c>
      <c r="R371" s="238"/>
      <c r="S371" s="240"/>
      <c r="T371" s="562">
        <f t="shared" si="37"/>
        <v>0</v>
      </c>
      <c r="U371" s="237">
        <f t="shared" si="38"/>
        <v>0</v>
      </c>
      <c r="V371" s="238"/>
      <c r="W371" s="239"/>
      <c r="X371" s="241"/>
      <c r="Y371" s="240"/>
      <c r="Z371" s="238"/>
      <c r="AA371" s="238"/>
      <c r="AB371" s="238"/>
      <c r="AC371" s="239"/>
      <c r="AD371" s="239"/>
      <c r="AE371" s="240"/>
      <c r="AF371" s="238"/>
      <c r="AG371" s="239"/>
    </row>
    <row r="372" spans="1:33" x14ac:dyDescent="0.2">
      <c r="A372" s="558" t="s">
        <v>50</v>
      </c>
      <c r="B372" s="559" t="s">
        <v>825</v>
      </c>
      <c r="C372" s="560"/>
      <c r="D372" s="558">
        <v>218742</v>
      </c>
      <c r="E372" s="561">
        <v>6</v>
      </c>
      <c r="F372" s="235">
        <f t="shared" si="39"/>
        <v>161721</v>
      </c>
      <c r="G372" s="234">
        <f t="shared" si="40"/>
        <v>157748</v>
      </c>
      <c r="H372" s="238">
        <v>134150</v>
      </c>
      <c r="I372" s="239">
        <v>130380</v>
      </c>
      <c r="J372" s="238">
        <v>11924</v>
      </c>
      <c r="K372" s="240">
        <v>10252</v>
      </c>
      <c r="L372" s="238">
        <v>15524</v>
      </c>
      <c r="M372" s="238">
        <v>33</v>
      </c>
      <c r="N372" s="238">
        <v>90</v>
      </c>
      <c r="O372" s="239">
        <v>17053</v>
      </c>
      <c r="P372" s="239">
        <v>0</v>
      </c>
      <c r="Q372" s="240">
        <v>63</v>
      </c>
      <c r="R372" s="238"/>
      <c r="S372" s="240"/>
      <c r="T372" s="562">
        <f t="shared" si="37"/>
        <v>1357</v>
      </c>
      <c r="U372" s="237">
        <f t="shared" si="38"/>
        <v>1648</v>
      </c>
      <c r="V372" s="238">
        <v>448</v>
      </c>
      <c r="W372" s="239">
        <v>682</v>
      </c>
      <c r="X372" s="241">
        <v>327</v>
      </c>
      <c r="Y372" s="240">
        <v>81</v>
      </c>
      <c r="Z372" s="238">
        <v>576</v>
      </c>
      <c r="AA372" s="238"/>
      <c r="AB372" s="238">
        <v>6</v>
      </c>
      <c r="AC372" s="239">
        <v>885</v>
      </c>
      <c r="AD372" s="239"/>
      <c r="AE372" s="240"/>
      <c r="AF372" s="238"/>
      <c r="AG372" s="239"/>
    </row>
    <row r="373" spans="1:33" x14ac:dyDescent="0.2">
      <c r="A373" s="558" t="s">
        <v>50</v>
      </c>
      <c r="B373" s="559" t="s">
        <v>826</v>
      </c>
      <c r="C373" s="560"/>
      <c r="D373" s="558">
        <v>218113</v>
      </c>
      <c r="E373" s="561">
        <v>8</v>
      </c>
      <c r="F373" s="235">
        <f t="shared" si="39"/>
        <v>374512.12</v>
      </c>
      <c r="G373" s="234">
        <f t="shared" si="40"/>
        <v>360568.12</v>
      </c>
      <c r="H373" s="238">
        <v>282519.12</v>
      </c>
      <c r="I373" s="239">
        <v>272793.12</v>
      </c>
      <c r="J373" s="238">
        <v>16745</v>
      </c>
      <c r="K373" s="240">
        <v>16512</v>
      </c>
      <c r="L373" s="238">
        <v>75248</v>
      </c>
      <c r="M373" s="238"/>
      <c r="N373" s="238"/>
      <c r="O373" s="239">
        <v>71263</v>
      </c>
      <c r="P373" s="239">
        <v>0</v>
      </c>
      <c r="Q373" s="240"/>
      <c r="R373" s="238"/>
      <c r="S373" s="240"/>
      <c r="T373" s="562">
        <f t="shared" si="37"/>
        <v>0</v>
      </c>
      <c r="U373" s="237">
        <f t="shared" si="38"/>
        <v>0</v>
      </c>
      <c r="V373" s="238"/>
      <c r="W373" s="239"/>
      <c r="X373" s="241"/>
      <c r="Y373" s="240"/>
      <c r="Z373" s="238"/>
      <c r="AA373" s="238"/>
      <c r="AB373" s="238"/>
      <c r="AC373" s="239"/>
      <c r="AD373" s="239"/>
      <c r="AE373" s="240"/>
      <c r="AF373" s="238"/>
      <c r="AG373" s="239"/>
    </row>
    <row r="374" spans="1:33" x14ac:dyDescent="0.2">
      <c r="A374" s="558" t="s">
        <v>50</v>
      </c>
      <c r="B374" s="568" t="s">
        <v>827</v>
      </c>
      <c r="C374" s="569"/>
      <c r="D374" s="558">
        <v>218140</v>
      </c>
      <c r="E374" s="575">
        <v>8</v>
      </c>
      <c r="F374" s="235">
        <f t="shared" si="39"/>
        <v>185537.02000000002</v>
      </c>
      <c r="G374" s="234">
        <f t="shared" si="40"/>
        <v>185736.02000000002</v>
      </c>
      <c r="H374" s="238">
        <v>152615.02000000002</v>
      </c>
      <c r="I374" s="239">
        <v>148481.02000000002</v>
      </c>
      <c r="J374" s="238">
        <v>7547</v>
      </c>
      <c r="K374" s="240">
        <v>6588</v>
      </c>
      <c r="L374" s="238">
        <v>25375</v>
      </c>
      <c r="M374" s="238"/>
      <c r="N374" s="238"/>
      <c r="O374" s="239">
        <v>30667</v>
      </c>
      <c r="P374" s="239">
        <v>0</v>
      </c>
      <c r="Q374" s="240"/>
      <c r="R374" s="238"/>
      <c r="S374" s="240"/>
      <c r="T374" s="562">
        <f t="shared" si="37"/>
        <v>0</v>
      </c>
      <c r="U374" s="237">
        <f t="shared" si="38"/>
        <v>0</v>
      </c>
      <c r="V374" s="238"/>
      <c r="W374" s="239"/>
      <c r="X374" s="241"/>
      <c r="Y374" s="240"/>
      <c r="Z374" s="238"/>
      <c r="AA374" s="238"/>
      <c r="AB374" s="238"/>
      <c r="AC374" s="239"/>
      <c r="AD374" s="239"/>
      <c r="AE374" s="240"/>
      <c r="AF374" s="238"/>
      <c r="AG374" s="239"/>
    </row>
    <row r="375" spans="1:33" x14ac:dyDescent="0.2">
      <c r="A375" s="558" t="s">
        <v>50</v>
      </c>
      <c r="B375" s="559" t="s">
        <v>828</v>
      </c>
      <c r="C375" s="560"/>
      <c r="D375" s="558">
        <v>218353</v>
      </c>
      <c r="E375" s="561">
        <v>8</v>
      </c>
      <c r="F375" s="235">
        <f t="shared" si="39"/>
        <v>271208.90000000002</v>
      </c>
      <c r="G375" s="234">
        <f t="shared" si="40"/>
        <v>316422.89999999997</v>
      </c>
      <c r="H375" s="238">
        <v>219434.90000000002</v>
      </c>
      <c r="I375" s="239">
        <v>251413.89999999997</v>
      </c>
      <c r="J375" s="238">
        <v>13433</v>
      </c>
      <c r="K375" s="240">
        <v>16017</v>
      </c>
      <c r="L375" s="238">
        <v>38341</v>
      </c>
      <c r="M375" s="238"/>
      <c r="N375" s="238"/>
      <c r="O375" s="239">
        <v>48992</v>
      </c>
      <c r="P375" s="239">
        <v>0</v>
      </c>
      <c r="Q375" s="240"/>
      <c r="R375" s="238"/>
      <c r="S375" s="240"/>
      <c r="T375" s="562">
        <f t="shared" si="37"/>
        <v>0</v>
      </c>
      <c r="U375" s="237">
        <f t="shared" si="38"/>
        <v>0</v>
      </c>
      <c r="V375" s="238"/>
      <c r="W375" s="239"/>
      <c r="X375" s="241"/>
      <c r="Y375" s="240"/>
      <c r="Z375" s="238"/>
      <c r="AA375" s="238"/>
      <c r="AB375" s="238"/>
      <c r="AC375" s="239"/>
      <c r="AD375" s="239"/>
      <c r="AE375" s="240"/>
      <c r="AF375" s="238"/>
      <c r="AG375" s="239"/>
    </row>
    <row r="376" spans="1:33" x14ac:dyDescent="0.2">
      <c r="A376" s="558" t="s">
        <v>50</v>
      </c>
      <c r="B376" s="568" t="s">
        <v>829</v>
      </c>
      <c r="C376" s="569"/>
      <c r="D376" s="558">
        <v>218885</v>
      </c>
      <c r="E376" s="575">
        <v>8</v>
      </c>
      <c r="F376" s="235">
        <f t="shared" si="39"/>
        <v>185910.28</v>
      </c>
      <c r="G376" s="234">
        <f t="shared" si="40"/>
        <v>175414.28</v>
      </c>
      <c r="H376" s="238">
        <v>146653.28</v>
      </c>
      <c r="I376" s="239">
        <v>140257.28</v>
      </c>
      <c r="J376" s="238">
        <v>3549</v>
      </c>
      <c r="K376" s="240">
        <v>3298</v>
      </c>
      <c r="L376" s="238">
        <v>35708</v>
      </c>
      <c r="M376" s="238"/>
      <c r="N376" s="238"/>
      <c r="O376" s="239">
        <v>31859</v>
      </c>
      <c r="P376" s="239">
        <v>0</v>
      </c>
      <c r="Q376" s="240"/>
      <c r="R376" s="238"/>
      <c r="S376" s="240"/>
      <c r="T376" s="562">
        <f t="shared" si="37"/>
        <v>0</v>
      </c>
      <c r="U376" s="237">
        <f t="shared" si="38"/>
        <v>0</v>
      </c>
      <c r="V376" s="238"/>
      <c r="W376" s="239"/>
      <c r="X376" s="241"/>
      <c r="Y376" s="240"/>
      <c r="Z376" s="238"/>
      <c r="AA376" s="238"/>
      <c r="AB376" s="238"/>
      <c r="AC376" s="239"/>
      <c r="AD376" s="239"/>
      <c r="AE376" s="240"/>
      <c r="AF376" s="238"/>
      <c r="AG376" s="239"/>
    </row>
    <row r="377" spans="1:33" x14ac:dyDescent="0.2">
      <c r="A377" s="558" t="s">
        <v>50</v>
      </c>
      <c r="B377" s="559" t="s">
        <v>830</v>
      </c>
      <c r="C377" s="560"/>
      <c r="D377" s="558">
        <v>218894</v>
      </c>
      <c r="E377" s="561">
        <v>8</v>
      </c>
      <c r="F377" s="235">
        <f t="shared" si="39"/>
        <v>408457.47</v>
      </c>
      <c r="G377" s="234">
        <f t="shared" si="40"/>
        <v>422526.47</v>
      </c>
      <c r="H377" s="238">
        <v>306852.46999999997</v>
      </c>
      <c r="I377" s="239">
        <v>307021.46999999997</v>
      </c>
      <c r="J377" s="238">
        <v>12324</v>
      </c>
      <c r="K377" s="240">
        <v>13900</v>
      </c>
      <c r="L377" s="238">
        <v>89281</v>
      </c>
      <c r="M377" s="238"/>
      <c r="N377" s="238"/>
      <c r="O377" s="239">
        <v>101605</v>
      </c>
      <c r="P377" s="239">
        <v>0</v>
      </c>
      <c r="Q377" s="240"/>
      <c r="R377" s="238"/>
      <c r="S377" s="240"/>
      <c r="T377" s="562">
        <f t="shared" si="37"/>
        <v>0</v>
      </c>
      <c r="U377" s="237">
        <f t="shared" si="38"/>
        <v>0</v>
      </c>
      <c r="V377" s="238"/>
      <c r="W377" s="239"/>
      <c r="X377" s="241"/>
      <c r="Y377" s="240"/>
      <c r="Z377" s="238"/>
      <c r="AA377" s="238"/>
      <c r="AB377" s="238"/>
      <c r="AC377" s="239"/>
      <c r="AD377" s="239"/>
      <c r="AE377" s="240"/>
      <c r="AF377" s="238"/>
      <c r="AG377" s="239"/>
    </row>
    <row r="378" spans="1:33" x14ac:dyDescent="0.2">
      <c r="A378" s="558" t="s">
        <v>50</v>
      </c>
      <c r="B378" s="571" t="s">
        <v>831</v>
      </c>
      <c r="C378" s="572"/>
      <c r="D378" s="558">
        <v>217615</v>
      </c>
      <c r="E378" s="561">
        <v>9</v>
      </c>
      <c r="F378" s="235">
        <f t="shared" si="39"/>
        <v>83052.09</v>
      </c>
      <c r="G378" s="234">
        <f t="shared" si="40"/>
        <v>80006.09</v>
      </c>
      <c r="H378" s="238">
        <v>67322.09</v>
      </c>
      <c r="I378" s="239">
        <v>64857.09</v>
      </c>
      <c r="J378" s="238">
        <v>4535</v>
      </c>
      <c r="K378" s="240">
        <v>4038</v>
      </c>
      <c r="L378" s="238">
        <v>11195</v>
      </c>
      <c r="M378" s="238"/>
      <c r="N378" s="238"/>
      <c r="O378" s="239">
        <v>11111</v>
      </c>
      <c r="P378" s="239">
        <v>0</v>
      </c>
      <c r="Q378" s="240"/>
      <c r="R378" s="238"/>
      <c r="S378" s="240"/>
      <c r="T378" s="562">
        <f t="shared" si="37"/>
        <v>0</v>
      </c>
      <c r="U378" s="237">
        <f t="shared" si="38"/>
        <v>0</v>
      </c>
      <c r="V378" s="238"/>
      <c r="W378" s="239"/>
      <c r="X378" s="241"/>
      <c r="Y378" s="240"/>
      <c r="Z378" s="238"/>
      <c r="AA378" s="238"/>
      <c r="AB378" s="238"/>
      <c r="AC378" s="239"/>
      <c r="AD378" s="239"/>
      <c r="AE378" s="240"/>
      <c r="AF378" s="238"/>
      <c r="AG378" s="239"/>
    </row>
    <row r="379" spans="1:33" x14ac:dyDescent="0.2">
      <c r="A379" s="558" t="s">
        <v>50</v>
      </c>
      <c r="B379" s="559" t="s">
        <v>832</v>
      </c>
      <c r="C379" s="560"/>
      <c r="D379" s="558">
        <v>218858</v>
      </c>
      <c r="E379" s="561">
        <v>9</v>
      </c>
      <c r="F379" s="235">
        <f t="shared" si="39"/>
        <v>106029.22</v>
      </c>
      <c r="G379" s="234">
        <f t="shared" si="40"/>
        <v>106942.22</v>
      </c>
      <c r="H379" s="238">
        <v>80725.22</v>
      </c>
      <c r="I379" s="239">
        <v>77755.22</v>
      </c>
      <c r="J379" s="238">
        <v>9420</v>
      </c>
      <c r="K379" s="240">
        <v>10094</v>
      </c>
      <c r="L379" s="238">
        <v>15884</v>
      </c>
      <c r="M379" s="238"/>
      <c r="N379" s="238"/>
      <c r="O379" s="239">
        <v>19093</v>
      </c>
      <c r="P379" s="239">
        <v>0</v>
      </c>
      <c r="Q379" s="240"/>
      <c r="R379" s="238"/>
      <c r="S379" s="240"/>
      <c r="T379" s="562">
        <f t="shared" si="37"/>
        <v>0</v>
      </c>
      <c r="U379" s="237">
        <f t="shared" si="38"/>
        <v>0</v>
      </c>
      <c r="V379" s="238"/>
      <c r="W379" s="239"/>
      <c r="X379" s="241"/>
      <c r="Y379" s="240"/>
      <c r="Z379" s="238"/>
      <c r="AA379" s="238"/>
      <c r="AB379" s="238"/>
      <c r="AC379" s="239"/>
      <c r="AD379" s="239"/>
      <c r="AE379" s="240"/>
      <c r="AF379" s="238"/>
      <c r="AG379" s="239"/>
    </row>
    <row r="380" spans="1:33" x14ac:dyDescent="0.2">
      <c r="A380" s="558" t="s">
        <v>50</v>
      </c>
      <c r="B380" s="568" t="s">
        <v>833</v>
      </c>
      <c r="C380" s="569" t="s">
        <v>846</v>
      </c>
      <c r="D380" s="567">
        <v>218025</v>
      </c>
      <c r="E380" s="570">
        <v>8</v>
      </c>
      <c r="F380" s="235">
        <f t="shared" si="39"/>
        <v>165741.02000000002</v>
      </c>
      <c r="G380" s="234">
        <f t="shared" si="40"/>
        <v>161634.02000000002</v>
      </c>
      <c r="H380" s="238">
        <v>118345.02000000002</v>
      </c>
      <c r="I380" s="239">
        <v>112039.02000000002</v>
      </c>
      <c r="J380" s="238">
        <v>10551</v>
      </c>
      <c r="K380" s="240">
        <v>10506</v>
      </c>
      <c r="L380" s="238">
        <v>30519</v>
      </c>
      <c r="M380" s="238">
        <v>6326</v>
      </c>
      <c r="N380" s="238"/>
      <c r="O380" s="239">
        <v>33562</v>
      </c>
      <c r="P380" s="239">
        <v>5527</v>
      </c>
      <c r="Q380" s="240"/>
      <c r="R380" s="238"/>
      <c r="S380" s="240"/>
      <c r="T380" s="562">
        <f t="shared" si="37"/>
        <v>0</v>
      </c>
      <c r="U380" s="237">
        <f t="shared" si="38"/>
        <v>0</v>
      </c>
      <c r="V380" s="238"/>
      <c r="W380" s="239"/>
      <c r="X380" s="241"/>
      <c r="Y380" s="240"/>
      <c r="Z380" s="238"/>
      <c r="AA380" s="238"/>
      <c r="AB380" s="238"/>
      <c r="AC380" s="239"/>
      <c r="AD380" s="239"/>
      <c r="AE380" s="240"/>
      <c r="AF380" s="238"/>
      <c r="AG380" s="239"/>
    </row>
    <row r="381" spans="1:33" x14ac:dyDescent="0.2">
      <c r="A381" s="558" t="s">
        <v>50</v>
      </c>
      <c r="B381" s="559" t="s">
        <v>834</v>
      </c>
      <c r="C381" s="560"/>
      <c r="D381" s="558">
        <v>218487</v>
      </c>
      <c r="E381" s="561">
        <v>9</v>
      </c>
      <c r="F381" s="235">
        <f t="shared" si="39"/>
        <v>79795.86</v>
      </c>
      <c r="G381" s="234">
        <f t="shared" si="40"/>
        <v>74626.86</v>
      </c>
      <c r="H381" s="238">
        <v>64238.86</v>
      </c>
      <c r="I381" s="239">
        <v>58061.86</v>
      </c>
      <c r="J381" s="238">
        <v>8403</v>
      </c>
      <c r="K381" s="240">
        <v>8304</v>
      </c>
      <c r="L381" s="238">
        <v>7154</v>
      </c>
      <c r="M381" s="238"/>
      <c r="N381" s="238"/>
      <c r="O381" s="239">
        <v>8261</v>
      </c>
      <c r="P381" s="239">
        <v>0</v>
      </c>
      <c r="Q381" s="240"/>
      <c r="R381" s="238"/>
      <c r="S381" s="240"/>
      <c r="T381" s="562">
        <f t="shared" si="37"/>
        <v>0</v>
      </c>
      <c r="U381" s="237">
        <f t="shared" si="38"/>
        <v>0</v>
      </c>
      <c r="V381" s="238"/>
      <c r="W381" s="239"/>
      <c r="X381" s="241"/>
      <c r="Y381" s="240"/>
      <c r="Z381" s="238"/>
      <c r="AA381" s="238"/>
      <c r="AB381" s="238"/>
      <c r="AC381" s="239"/>
      <c r="AD381" s="239"/>
      <c r="AE381" s="240"/>
      <c r="AF381" s="238"/>
      <c r="AG381" s="239"/>
    </row>
    <row r="382" spans="1:33" x14ac:dyDescent="0.2">
      <c r="A382" s="558" t="s">
        <v>50</v>
      </c>
      <c r="B382" s="568" t="s">
        <v>835</v>
      </c>
      <c r="C382" s="569" t="s">
        <v>846</v>
      </c>
      <c r="D382" s="567">
        <v>218520</v>
      </c>
      <c r="E382" s="570">
        <v>8</v>
      </c>
      <c r="F382" s="235">
        <f t="shared" si="39"/>
        <v>168991.87</v>
      </c>
      <c r="G382" s="234">
        <f t="shared" si="40"/>
        <v>171967.87</v>
      </c>
      <c r="H382" s="238">
        <v>99839.87</v>
      </c>
      <c r="I382" s="239">
        <v>103926.87</v>
      </c>
      <c r="J382" s="238">
        <v>17335</v>
      </c>
      <c r="K382" s="240">
        <v>17391</v>
      </c>
      <c r="L382" s="238">
        <v>39953</v>
      </c>
      <c r="M382" s="238">
        <v>11864</v>
      </c>
      <c r="N382" s="238"/>
      <c r="O382" s="239">
        <v>41203</v>
      </c>
      <c r="P382" s="239">
        <v>9447</v>
      </c>
      <c r="Q382" s="240"/>
      <c r="R382" s="238"/>
      <c r="S382" s="240"/>
      <c r="T382" s="562">
        <f t="shared" si="37"/>
        <v>0</v>
      </c>
      <c r="U382" s="237">
        <f t="shared" si="38"/>
        <v>0</v>
      </c>
      <c r="V382" s="238"/>
      <c r="W382" s="239"/>
      <c r="X382" s="241"/>
      <c r="Y382" s="240"/>
      <c r="Z382" s="238"/>
      <c r="AA382" s="238"/>
      <c r="AB382" s="238"/>
      <c r="AC382" s="239"/>
      <c r="AD382" s="239"/>
      <c r="AE382" s="240"/>
      <c r="AF382" s="238"/>
      <c r="AG382" s="239"/>
    </row>
    <row r="383" spans="1:33" x14ac:dyDescent="0.2">
      <c r="A383" s="558" t="s">
        <v>50</v>
      </c>
      <c r="B383" s="568" t="s">
        <v>836</v>
      </c>
      <c r="C383" s="573"/>
      <c r="D383" s="558">
        <v>218830</v>
      </c>
      <c r="E383" s="561">
        <v>9</v>
      </c>
      <c r="F383" s="235">
        <f t="shared" si="39"/>
        <v>152161.12</v>
      </c>
      <c r="G383" s="234">
        <f t="shared" si="40"/>
        <v>149257.12</v>
      </c>
      <c r="H383" s="238">
        <v>122516.12</v>
      </c>
      <c r="I383" s="239">
        <v>115356.12</v>
      </c>
      <c r="J383" s="238">
        <v>6791</v>
      </c>
      <c r="K383" s="240">
        <v>9119</v>
      </c>
      <c r="L383" s="238">
        <v>22854</v>
      </c>
      <c r="M383" s="238"/>
      <c r="N383" s="238"/>
      <c r="O383" s="239">
        <v>24782</v>
      </c>
      <c r="P383" s="239">
        <v>0</v>
      </c>
      <c r="Q383" s="240"/>
      <c r="R383" s="238"/>
      <c r="S383" s="240"/>
      <c r="T383" s="562">
        <f t="shared" si="37"/>
        <v>0</v>
      </c>
      <c r="U383" s="237">
        <f t="shared" si="38"/>
        <v>0</v>
      </c>
      <c r="V383" s="238"/>
      <c r="W383" s="239"/>
      <c r="X383" s="241"/>
      <c r="Y383" s="240"/>
      <c r="Z383" s="238"/>
      <c r="AA383" s="238"/>
      <c r="AB383" s="238"/>
      <c r="AC383" s="239"/>
      <c r="AD383" s="239"/>
      <c r="AE383" s="240"/>
      <c r="AF383" s="238"/>
      <c r="AG383" s="239"/>
    </row>
    <row r="384" spans="1:33" x14ac:dyDescent="0.2">
      <c r="A384" s="558" t="s">
        <v>50</v>
      </c>
      <c r="B384" s="568" t="s">
        <v>837</v>
      </c>
      <c r="C384" s="573"/>
      <c r="D384" s="558">
        <v>218991</v>
      </c>
      <c r="E384" s="561">
        <v>9</v>
      </c>
      <c r="F384" s="235">
        <f t="shared" si="39"/>
        <v>151048.74</v>
      </c>
      <c r="G384" s="234">
        <f t="shared" si="40"/>
        <v>131772.74</v>
      </c>
      <c r="H384" s="238">
        <v>107025.73999999999</v>
      </c>
      <c r="I384" s="239">
        <v>99221.739999999991</v>
      </c>
      <c r="J384" s="238">
        <v>8725</v>
      </c>
      <c r="K384" s="240">
        <v>5484</v>
      </c>
      <c r="L384" s="238">
        <v>28140</v>
      </c>
      <c r="M384" s="238">
        <v>7152</v>
      </c>
      <c r="N384" s="238">
        <v>6</v>
      </c>
      <c r="O384" s="239">
        <v>22602</v>
      </c>
      <c r="P384" s="239">
        <v>4465</v>
      </c>
      <c r="Q384" s="240"/>
      <c r="R384" s="238"/>
      <c r="S384" s="240"/>
      <c r="T384" s="562">
        <f t="shared" si="37"/>
        <v>0</v>
      </c>
      <c r="U384" s="237">
        <f t="shared" si="38"/>
        <v>0</v>
      </c>
      <c r="V384" s="238"/>
      <c r="W384" s="239"/>
      <c r="X384" s="241"/>
      <c r="Y384" s="240"/>
      <c r="Z384" s="238"/>
      <c r="AA384" s="238"/>
      <c r="AB384" s="238"/>
      <c r="AC384" s="239"/>
      <c r="AD384" s="239"/>
      <c r="AE384" s="240"/>
      <c r="AF384" s="238"/>
      <c r="AG384" s="239"/>
    </row>
    <row r="385" spans="1:33" x14ac:dyDescent="0.2">
      <c r="A385" s="558" t="s">
        <v>50</v>
      </c>
      <c r="B385" s="559" t="s">
        <v>838</v>
      </c>
      <c r="C385" s="574" t="s">
        <v>515</v>
      </c>
      <c r="D385" s="558">
        <v>217989</v>
      </c>
      <c r="E385" s="561">
        <v>10</v>
      </c>
      <c r="F385" s="235">
        <f t="shared" si="39"/>
        <v>38934.33</v>
      </c>
      <c r="G385" s="234">
        <f t="shared" si="40"/>
        <v>65405.33</v>
      </c>
      <c r="H385" s="238">
        <v>34670.33</v>
      </c>
      <c r="I385" s="239">
        <v>64700.33</v>
      </c>
      <c r="J385" s="238">
        <v>711</v>
      </c>
      <c r="K385" s="240">
        <v>621</v>
      </c>
      <c r="L385" s="238">
        <v>3553</v>
      </c>
      <c r="M385" s="238"/>
      <c r="N385" s="238"/>
      <c r="O385" s="239">
        <v>84</v>
      </c>
      <c r="P385" s="239">
        <v>0</v>
      </c>
      <c r="Q385" s="240"/>
      <c r="R385" s="238"/>
      <c r="S385" s="240"/>
      <c r="T385" s="562">
        <f t="shared" si="37"/>
        <v>0</v>
      </c>
      <c r="U385" s="237">
        <f t="shared" si="38"/>
        <v>0</v>
      </c>
      <c r="V385" s="238"/>
      <c r="W385" s="239"/>
      <c r="X385" s="241"/>
      <c r="Y385" s="240"/>
      <c r="Z385" s="238"/>
      <c r="AA385" s="238"/>
      <c r="AB385" s="238"/>
      <c r="AC385" s="239"/>
      <c r="AD385" s="239"/>
      <c r="AE385" s="240"/>
      <c r="AF385" s="238"/>
      <c r="AG385" s="239"/>
    </row>
    <row r="386" spans="1:33" x14ac:dyDescent="0.2">
      <c r="A386" s="558" t="s">
        <v>50</v>
      </c>
      <c r="B386" s="559" t="s">
        <v>839</v>
      </c>
      <c r="C386" s="560"/>
      <c r="D386" s="558">
        <v>217837</v>
      </c>
      <c r="E386" s="561">
        <v>10</v>
      </c>
      <c r="F386" s="235">
        <f t="shared" si="39"/>
        <v>34578.79</v>
      </c>
      <c r="G386" s="234">
        <f t="shared" si="40"/>
        <v>31508.79</v>
      </c>
      <c r="H386" s="238">
        <v>24247.79</v>
      </c>
      <c r="I386" s="239">
        <v>20847.79</v>
      </c>
      <c r="J386" s="238">
        <v>385</v>
      </c>
      <c r="K386" s="240">
        <v>234</v>
      </c>
      <c r="L386" s="238">
        <v>4923</v>
      </c>
      <c r="M386" s="238">
        <v>5023</v>
      </c>
      <c r="N386" s="238"/>
      <c r="O386" s="239">
        <v>6322</v>
      </c>
      <c r="P386" s="239">
        <v>4105</v>
      </c>
      <c r="Q386" s="240"/>
      <c r="R386" s="238"/>
      <c r="S386" s="240"/>
      <c r="T386" s="562">
        <f t="shared" si="37"/>
        <v>0</v>
      </c>
      <c r="U386" s="237">
        <f t="shared" si="38"/>
        <v>0</v>
      </c>
      <c r="V386" s="238"/>
      <c r="W386" s="239"/>
      <c r="X386" s="241"/>
      <c r="Y386" s="240"/>
      <c r="Z386" s="238"/>
      <c r="AA386" s="238"/>
      <c r="AB386" s="238"/>
      <c r="AC386" s="239"/>
      <c r="AD386" s="239"/>
      <c r="AE386" s="240"/>
      <c r="AF386" s="238"/>
      <c r="AG386" s="239"/>
    </row>
    <row r="387" spans="1:33" x14ac:dyDescent="0.2">
      <c r="A387" s="558" t="s">
        <v>50</v>
      </c>
      <c r="B387" s="559" t="s">
        <v>840</v>
      </c>
      <c r="C387" s="574"/>
      <c r="D387" s="558">
        <v>217712</v>
      </c>
      <c r="E387" s="561">
        <v>10</v>
      </c>
      <c r="F387" s="235">
        <f t="shared" si="39"/>
        <v>65141.969999999994</v>
      </c>
      <c r="G387" s="234">
        <f t="shared" si="40"/>
        <v>58877.969999999994</v>
      </c>
      <c r="H387" s="238">
        <v>51761.969999999994</v>
      </c>
      <c r="I387" s="239">
        <v>45833.969999999994</v>
      </c>
      <c r="J387" s="238">
        <v>1632</v>
      </c>
      <c r="K387" s="240">
        <v>1728</v>
      </c>
      <c r="L387" s="238">
        <v>11748</v>
      </c>
      <c r="M387" s="238"/>
      <c r="N387" s="238"/>
      <c r="O387" s="239">
        <v>11316</v>
      </c>
      <c r="P387" s="239"/>
      <c r="Q387" s="240"/>
      <c r="R387" s="238"/>
      <c r="S387" s="240"/>
      <c r="T387" s="562">
        <f t="shared" si="37"/>
        <v>0</v>
      </c>
      <c r="U387" s="237">
        <f t="shared" si="38"/>
        <v>0</v>
      </c>
      <c r="V387" s="238"/>
      <c r="W387" s="239"/>
      <c r="X387" s="241"/>
      <c r="Y387" s="240"/>
      <c r="Z387" s="238"/>
      <c r="AA387" s="238"/>
      <c r="AB387" s="238"/>
      <c r="AC387" s="239"/>
      <c r="AD387" s="239"/>
      <c r="AE387" s="240"/>
      <c r="AF387" s="238"/>
      <c r="AG387" s="239"/>
    </row>
    <row r="388" spans="1:33" x14ac:dyDescent="0.2">
      <c r="A388" s="558" t="s">
        <v>50</v>
      </c>
      <c r="B388" s="559" t="s">
        <v>841</v>
      </c>
      <c r="C388" s="560"/>
      <c r="D388" s="558">
        <v>218672</v>
      </c>
      <c r="E388" s="561">
        <v>10</v>
      </c>
      <c r="F388" s="235">
        <f t="shared" si="39"/>
        <v>37044</v>
      </c>
      <c r="G388" s="234">
        <f t="shared" si="40"/>
        <v>38169</v>
      </c>
      <c r="H388" s="238">
        <v>36185</v>
      </c>
      <c r="I388" s="239">
        <v>36547</v>
      </c>
      <c r="J388" s="238">
        <v>505</v>
      </c>
      <c r="K388" s="240">
        <v>461</v>
      </c>
      <c r="L388" s="238">
        <v>354</v>
      </c>
      <c r="M388" s="238"/>
      <c r="N388" s="238"/>
      <c r="O388" s="239">
        <v>1161</v>
      </c>
      <c r="P388" s="239"/>
      <c r="Q388" s="240"/>
      <c r="R388" s="238"/>
      <c r="S388" s="240"/>
      <c r="T388" s="562">
        <f t="shared" si="37"/>
        <v>0</v>
      </c>
      <c r="U388" s="237">
        <f t="shared" si="38"/>
        <v>0</v>
      </c>
      <c r="V388" s="238"/>
      <c r="W388" s="239"/>
      <c r="X388" s="241"/>
      <c r="Y388" s="240"/>
      <c r="Z388" s="238"/>
      <c r="AA388" s="238"/>
      <c r="AB388" s="238"/>
      <c r="AC388" s="239"/>
      <c r="AD388" s="239"/>
      <c r="AE388" s="240"/>
      <c r="AF388" s="238"/>
      <c r="AG388" s="239"/>
    </row>
    <row r="389" spans="1:33" x14ac:dyDescent="0.2">
      <c r="A389" s="558" t="s">
        <v>50</v>
      </c>
      <c r="B389" s="559" t="s">
        <v>842</v>
      </c>
      <c r="C389" s="560"/>
      <c r="D389" s="558">
        <v>218681</v>
      </c>
      <c r="E389" s="561">
        <v>10</v>
      </c>
      <c r="F389" s="235">
        <f t="shared" si="39"/>
        <v>24064</v>
      </c>
      <c r="G389" s="234">
        <f t="shared" si="40"/>
        <v>23859</v>
      </c>
      <c r="H389" s="238">
        <v>24064</v>
      </c>
      <c r="I389" s="239">
        <v>23859</v>
      </c>
      <c r="J389" s="238">
        <v>0</v>
      </c>
      <c r="K389" s="240"/>
      <c r="L389" s="238"/>
      <c r="M389" s="238"/>
      <c r="N389" s="238"/>
      <c r="O389" s="239">
        <v>0</v>
      </c>
      <c r="P389" s="239"/>
      <c r="Q389" s="240"/>
      <c r="R389" s="238"/>
      <c r="S389" s="240"/>
      <c r="T389" s="562">
        <f t="shared" si="37"/>
        <v>0</v>
      </c>
      <c r="U389" s="237">
        <f t="shared" si="38"/>
        <v>0</v>
      </c>
      <c r="V389" s="238"/>
      <c r="W389" s="239"/>
      <c r="X389" s="241"/>
      <c r="Y389" s="240"/>
      <c r="Z389" s="238"/>
      <c r="AA389" s="238"/>
      <c r="AB389" s="238"/>
      <c r="AC389" s="239"/>
      <c r="AD389" s="239"/>
      <c r="AE389" s="240"/>
      <c r="AF389" s="238"/>
      <c r="AG389" s="239"/>
    </row>
    <row r="390" spans="1:33" x14ac:dyDescent="0.2">
      <c r="A390" s="558" t="s">
        <v>50</v>
      </c>
      <c r="B390" s="559" t="s">
        <v>843</v>
      </c>
      <c r="C390" s="560"/>
      <c r="D390" s="558">
        <v>218690</v>
      </c>
      <c r="E390" s="561">
        <v>10</v>
      </c>
      <c r="F390" s="235">
        <f t="shared" si="39"/>
        <v>28405</v>
      </c>
      <c r="G390" s="234">
        <f t="shared" si="40"/>
        <v>24119</v>
      </c>
      <c r="H390" s="238">
        <v>24391</v>
      </c>
      <c r="I390" s="239">
        <v>21026</v>
      </c>
      <c r="J390" s="238">
        <v>3777</v>
      </c>
      <c r="K390" s="240">
        <v>2742</v>
      </c>
      <c r="L390" s="238">
        <v>237</v>
      </c>
      <c r="M390" s="238"/>
      <c r="N390" s="238"/>
      <c r="O390" s="239">
        <v>351</v>
      </c>
      <c r="P390" s="239"/>
      <c r="Q390" s="240"/>
      <c r="R390" s="238"/>
      <c r="S390" s="240"/>
      <c r="T390" s="562">
        <f t="shared" si="37"/>
        <v>0</v>
      </c>
      <c r="U390" s="237">
        <f t="shared" si="38"/>
        <v>0</v>
      </c>
      <c r="V390" s="238"/>
      <c r="W390" s="239"/>
      <c r="X390" s="241"/>
      <c r="Y390" s="240"/>
      <c r="Z390" s="238"/>
      <c r="AA390" s="238"/>
      <c r="AB390" s="238"/>
      <c r="AC390" s="239"/>
      <c r="AD390" s="239"/>
      <c r="AE390" s="240"/>
      <c r="AF390" s="238"/>
      <c r="AG390" s="239"/>
    </row>
    <row r="391" spans="1:33" x14ac:dyDescent="0.2">
      <c r="A391" s="558" t="s">
        <v>50</v>
      </c>
      <c r="B391" s="559" t="s">
        <v>844</v>
      </c>
      <c r="C391" s="560"/>
      <c r="D391" s="558">
        <v>218706</v>
      </c>
      <c r="E391" s="561">
        <v>10</v>
      </c>
      <c r="F391" s="235">
        <f t="shared" si="39"/>
        <v>14034</v>
      </c>
      <c r="G391" s="234">
        <f t="shared" si="40"/>
        <v>13401</v>
      </c>
      <c r="H391" s="238">
        <v>11533</v>
      </c>
      <c r="I391" s="239">
        <v>11160</v>
      </c>
      <c r="J391" s="238">
        <v>2501</v>
      </c>
      <c r="K391" s="240">
        <v>2241</v>
      </c>
      <c r="L391" s="238"/>
      <c r="M391" s="238"/>
      <c r="N391" s="238"/>
      <c r="O391" s="239">
        <v>0</v>
      </c>
      <c r="P391" s="239"/>
      <c r="Q391" s="240"/>
      <c r="R391" s="238"/>
      <c r="S391" s="240"/>
      <c r="T391" s="562">
        <f t="shared" si="37"/>
        <v>0</v>
      </c>
      <c r="U391" s="237">
        <f t="shared" si="38"/>
        <v>0</v>
      </c>
      <c r="V391" s="238"/>
      <c r="W391" s="239"/>
      <c r="X391" s="241"/>
      <c r="Y391" s="240"/>
      <c r="Z391" s="238"/>
      <c r="AA391" s="238"/>
      <c r="AB391" s="238"/>
      <c r="AC391" s="239"/>
      <c r="AD391" s="239"/>
      <c r="AE391" s="240"/>
      <c r="AF391" s="238"/>
      <c r="AG391" s="239"/>
    </row>
    <row r="392" spans="1:33" x14ac:dyDescent="0.2">
      <c r="A392" s="558" t="s">
        <v>50</v>
      </c>
      <c r="B392" s="559" t="s">
        <v>845</v>
      </c>
      <c r="C392" s="560"/>
      <c r="D392" s="558">
        <v>218955</v>
      </c>
      <c r="E392" s="561">
        <v>10</v>
      </c>
      <c r="F392" s="235">
        <f t="shared" si="39"/>
        <v>16747.490000000002</v>
      </c>
      <c r="G392" s="234">
        <f t="shared" si="40"/>
        <v>14907.490000000002</v>
      </c>
      <c r="H392" s="238">
        <v>16267.490000000002</v>
      </c>
      <c r="I392" s="239">
        <v>13991.490000000002</v>
      </c>
      <c r="J392" s="238">
        <v>348</v>
      </c>
      <c r="K392" s="240">
        <v>893</v>
      </c>
      <c r="L392" s="238">
        <v>132</v>
      </c>
      <c r="M392" s="238"/>
      <c r="N392" s="238"/>
      <c r="O392" s="239">
        <v>23</v>
      </c>
      <c r="P392" s="239"/>
      <c r="Q392" s="240"/>
      <c r="R392" s="238"/>
      <c r="S392" s="240"/>
      <c r="T392" s="562">
        <f t="shared" si="37"/>
        <v>0</v>
      </c>
      <c r="U392" s="237">
        <f t="shared" si="38"/>
        <v>0</v>
      </c>
      <c r="V392" s="238"/>
      <c r="W392" s="239"/>
      <c r="X392" s="241"/>
      <c r="Y392" s="240"/>
      <c r="Z392" s="238"/>
      <c r="AA392" s="238"/>
      <c r="AB392" s="238"/>
      <c r="AC392" s="239"/>
      <c r="AD392" s="239"/>
      <c r="AE392" s="240"/>
      <c r="AF392" s="238"/>
      <c r="AG392" s="239"/>
    </row>
    <row r="393" spans="1:33" x14ac:dyDescent="0.2">
      <c r="A393" s="495" t="s">
        <v>51</v>
      </c>
      <c r="B393" s="448" t="s">
        <v>623</v>
      </c>
      <c r="C393" s="453"/>
      <c r="D393" s="454">
        <v>220862</v>
      </c>
      <c r="E393" s="449">
        <v>1</v>
      </c>
      <c r="F393" s="235">
        <f t="shared" si="39"/>
        <v>436950</v>
      </c>
      <c r="G393" s="234">
        <f t="shared" si="40"/>
        <v>438097</v>
      </c>
      <c r="H393" s="392">
        <v>342254</v>
      </c>
      <c r="I393" s="393">
        <v>334733</v>
      </c>
      <c r="J393" s="392">
        <v>18793</v>
      </c>
      <c r="K393" s="516">
        <v>21559</v>
      </c>
      <c r="L393" s="238">
        <v>53887</v>
      </c>
      <c r="M393" s="392">
        <v>150</v>
      </c>
      <c r="N393" s="392">
        <v>18709</v>
      </c>
      <c r="O393" s="393">
        <v>59381</v>
      </c>
      <c r="P393" s="393"/>
      <c r="Q393" s="516">
        <v>19113</v>
      </c>
      <c r="R393" s="392">
        <v>3157</v>
      </c>
      <c r="S393" s="516">
        <v>3311</v>
      </c>
      <c r="T393" s="236">
        <f t="shared" si="37"/>
        <v>75706</v>
      </c>
      <c r="U393" s="237">
        <f t="shared" si="38"/>
        <v>114980</v>
      </c>
      <c r="V393" s="392">
        <v>46191</v>
      </c>
      <c r="W393" s="393">
        <v>44740</v>
      </c>
      <c r="X393" s="394">
        <v>842</v>
      </c>
      <c r="Y393" s="516">
        <v>828</v>
      </c>
      <c r="Z393" s="392">
        <v>18120</v>
      </c>
      <c r="AA393" s="392">
        <v>132</v>
      </c>
      <c r="AB393" s="392">
        <v>4094</v>
      </c>
      <c r="AC393" s="393">
        <v>17973</v>
      </c>
      <c r="AD393" s="393">
        <v>195</v>
      </c>
      <c r="AE393" s="516">
        <v>44740</v>
      </c>
      <c r="AF393" s="392">
        <v>6327</v>
      </c>
      <c r="AG393" s="393">
        <v>6504</v>
      </c>
    </row>
    <row r="394" spans="1:33" x14ac:dyDescent="0.2">
      <c r="A394" s="495" t="s">
        <v>51</v>
      </c>
      <c r="B394" s="448" t="s">
        <v>624</v>
      </c>
      <c r="C394" s="453"/>
      <c r="D394" s="454">
        <v>221759</v>
      </c>
      <c r="E394" s="449">
        <v>1</v>
      </c>
      <c r="F394" s="235">
        <f t="shared" si="39"/>
        <v>661664</v>
      </c>
      <c r="G394" s="234">
        <f t="shared" si="40"/>
        <v>579517</v>
      </c>
      <c r="H394" s="238">
        <v>572222</v>
      </c>
      <c r="I394" s="239">
        <v>568029</v>
      </c>
      <c r="J394" s="238">
        <v>24</v>
      </c>
      <c r="K394" s="240">
        <v>6</v>
      </c>
      <c r="L394" s="238">
        <v>1920</v>
      </c>
      <c r="M394" s="238">
        <v>0</v>
      </c>
      <c r="N394" s="238">
        <v>83546</v>
      </c>
      <c r="O394" s="239">
        <v>6735</v>
      </c>
      <c r="P394" s="239"/>
      <c r="Q394" s="240">
        <v>1256</v>
      </c>
      <c r="R394" s="238">
        <v>3952</v>
      </c>
      <c r="S394" s="240">
        <v>3491</v>
      </c>
      <c r="T394" s="236">
        <f t="shared" si="37"/>
        <v>92816.900000000009</v>
      </c>
      <c r="U394" s="237">
        <f t="shared" si="38"/>
        <v>170066</v>
      </c>
      <c r="V394" s="238">
        <v>78665.600000000006</v>
      </c>
      <c r="W394" s="239">
        <v>76364.5</v>
      </c>
      <c r="X394" s="241">
        <v>353</v>
      </c>
      <c r="Y394" s="240">
        <v>2867</v>
      </c>
      <c r="Z394" s="238">
        <v>9244</v>
      </c>
      <c r="AA394" s="238">
        <v>0</v>
      </c>
      <c r="AB394" s="238">
        <v>1893.3</v>
      </c>
      <c r="AC394" s="239">
        <v>11777</v>
      </c>
      <c r="AD394" s="239">
        <v>60</v>
      </c>
      <c r="AE394" s="240">
        <v>76364.5</v>
      </c>
      <c r="AF394" s="238">
        <v>2661</v>
      </c>
      <c r="AG394" s="239">
        <v>2633</v>
      </c>
    </row>
    <row r="395" spans="1:33" x14ac:dyDescent="0.2">
      <c r="A395" s="495" t="s">
        <v>51</v>
      </c>
      <c r="B395" s="448" t="s">
        <v>625</v>
      </c>
      <c r="C395" s="455"/>
      <c r="D395" s="454">
        <v>221838</v>
      </c>
      <c r="E395" s="450">
        <v>2</v>
      </c>
      <c r="F395" s="235">
        <f t="shared" si="39"/>
        <v>183269</v>
      </c>
      <c r="G395" s="234">
        <f t="shared" si="40"/>
        <v>178356</v>
      </c>
      <c r="H395" s="238">
        <v>143834</v>
      </c>
      <c r="I395" s="239">
        <v>139643</v>
      </c>
      <c r="J395" s="238">
        <v>24389</v>
      </c>
      <c r="K395" s="240">
        <v>22571</v>
      </c>
      <c r="L395" s="238">
        <v>13721</v>
      </c>
      <c r="M395" s="238">
        <v>0</v>
      </c>
      <c r="N395" s="238">
        <v>926</v>
      </c>
      <c r="O395" s="239">
        <v>14815</v>
      </c>
      <c r="P395" s="239"/>
      <c r="Q395" s="240">
        <v>928</v>
      </c>
      <c r="R395" s="238">
        <v>399</v>
      </c>
      <c r="S395" s="240">
        <v>399</v>
      </c>
      <c r="T395" s="236">
        <f t="shared" si="37"/>
        <v>30967</v>
      </c>
      <c r="U395" s="237">
        <f t="shared" si="38"/>
        <v>43428</v>
      </c>
      <c r="V395" s="238">
        <v>15785</v>
      </c>
      <c r="W395" s="239">
        <v>14349</v>
      </c>
      <c r="X395" s="241">
        <v>9246</v>
      </c>
      <c r="Y395" s="240">
        <v>7342</v>
      </c>
      <c r="Z395" s="238">
        <v>4974</v>
      </c>
      <c r="AA395" s="238">
        <v>0</v>
      </c>
      <c r="AB395" s="238">
        <v>279</v>
      </c>
      <c r="AC395" s="239">
        <v>6366</v>
      </c>
      <c r="AD395" s="239"/>
      <c r="AE395" s="240">
        <v>14349</v>
      </c>
      <c r="AF395" s="238">
        <v>683</v>
      </c>
      <c r="AG395" s="239">
        <v>1022</v>
      </c>
    </row>
    <row r="396" spans="1:33" x14ac:dyDescent="0.2">
      <c r="A396" s="495" t="s">
        <v>51</v>
      </c>
      <c r="B396" s="448" t="s">
        <v>626</v>
      </c>
      <c r="C396" s="453"/>
      <c r="D396" s="454">
        <v>219602</v>
      </c>
      <c r="E396" s="449">
        <v>3</v>
      </c>
      <c r="F396" s="235">
        <f t="shared" si="39"/>
        <v>240204</v>
      </c>
      <c r="G396" s="234">
        <f t="shared" si="40"/>
        <v>246089</v>
      </c>
      <c r="H396" s="238">
        <v>161169</v>
      </c>
      <c r="I396" s="239">
        <v>157266</v>
      </c>
      <c r="J396" s="238">
        <v>14314</v>
      </c>
      <c r="K396" s="240">
        <v>15175</v>
      </c>
      <c r="L396" s="238">
        <v>61326</v>
      </c>
      <c r="M396" s="238">
        <v>0</v>
      </c>
      <c r="N396" s="238">
        <v>2877</v>
      </c>
      <c r="O396" s="239">
        <v>68341</v>
      </c>
      <c r="P396" s="239"/>
      <c r="Q396" s="240">
        <v>4461</v>
      </c>
      <c r="R396" s="238">
        <v>518</v>
      </c>
      <c r="S396" s="240">
        <v>846</v>
      </c>
      <c r="T396" s="236">
        <f t="shared" si="37"/>
        <v>14309</v>
      </c>
      <c r="U396" s="237">
        <f t="shared" si="38"/>
        <v>18603</v>
      </c>
      <c r="V396" s="238">
        <v>5362</v>
      </c>
      <c r="W396" s="239">
        <v>4412</v>
      </c>
      <c r="X396" s="241">
        <v>330</v>
      </c>
      <c r="Y396" s="240">
        <v>219</v>
      </c>
      <c r="Z396" s="238">
        <v>8046</v>
      </c>
      <c r="AA396" s="238">
        <v>0</v>
      </c>
      <c r="AB396" s="238">
        <v>359</v>
      </c>
      <c r="AC396" s="239">
        <v>9339</v>
      </c>
      <c r="AD396" s="239"/>
      <c r="AE396" s="240">
        <v>4412</v>
      </c>
      <c r="AF396" s="238">
        <v>212</v>
      </c>
      <c r="AG396" s="239">
        <v>221</v>
      </c>
    </row>
    <row r="397" spans="1:33" x14ac:dyDescent="0.2">
      <c r="A397" s="495" t="s">
        <v>51</v>
      </c>
      <c r="B397" s="448" t="s">
        <v>627</v>
      </c>
      <c r="C397" s="453"/>
      <c r="D397" s="454">
        <v>220075</v>
      </c>
      <c r="E397" s="449">
        <v>3</v>
      </c>
      <c r="F397" s="235">
        <f t="shared" si="39"/>
        <v>323990</v>
      </c>
      <c r="G397" s="234">
        <f t="shared" si="40"/>
        <v>319703</v>
      </c>
      <c r="H397" s="238">
        <v>239606</v>
      </c>
      <c r="I397" s="239">
        <v>227427</v>
      </c>
      <c r="J397" s="238">
        <v>8300</v>
      </c>
      <c r="K397" s="240">
        <v>7650</v>
      </c>
      <c r="L397" s="238">
        <v>45642</v>
      </c>
      <c r="M397" s="238">
        <v>8559</v>
      </c>
      <c r="N397" s="238">
        <v>19323</v>
      </c>
      <c r="O397" s="239">
        <v>56141</v>
      </c>
      <c r="P397" s="239">
        <v>7377</v>
      </c>
      <c r="Q397" s="240">
        <v>19104</v>
      </c>
      <c r="R397" s="238">
        <v>2560</v>
      </c>
      <c r="S397" s="240">
        <v>2004</v>
      </c>
      <c r="T397" s="236">
        <f t="shared" si="37"/>
        <v>35731</v>
      </c>
      <c r="U397" s="237">
        <f t="shared" si="38"/>
        <v>55440</v>
      </c>
      <c r="V397" s="238">
        <v>19506</v>
      </c>
      <c r="W397" s="239">
        <v>19355</v>
      </c>
      <c r="X397" s="241">
        <v>958</v>
      </c>
      <c r="Y397" s="240">
        <v>666</v>
      </c>
      <c r="Z397" s="238">
        <v>11005</v>
      </c>
      <c r="AA397" s="238">
        <v>354</v>
      </c>
      <c r="AB397" s="238">
        <v>1846</v>
      </c>
      <c r="AC397" s="239">
        <v>13245</v>
      </c>
      <c r="AD397" s="239">
        <v>510</v>
      </c>
      <c r="AE397" s="240">
        <v>19355</v>
      </c>
      <c r="AF397" s="238">
        <v>2062</v>
      </c>
      <c r="AG397" s="239">
        <v>2309</v>
      </c>
    </row>
    <row r="398" spans="1:33" x14ac:dyDescent="0.2">
      <c r="A398" s="495" t="s">
        <v>51</v>
      </c>
      <c r="B398" s="448" t="s">
        <v>628</v>
      </c>
      <c r="C398" s="453"/>
      <c r="D398" s="454">
        <v>220978</v>
      </c>
      <c r="E398" s="449">
        <v>3</v>
      </c>
      <c r="F398" s="235">
        <f t="shared" ref="F398:F401" si="41">SUM(H398,J398,L398,M398,N398,R398)</f>
        <v>615412</v>
      </c>
      <c r="G398" s="234">
        <f t="shared" ref="G398:G401" si="42">SUM(I398,K398,O398,P398,Q398,S398)</f>
        <v>593427</v>
      </c>
      <c r="H398" s="238">
        <v>529290</v>
      </c>
      <c r="I398" s="239">
        <v>504449</v>
      </c>
      <c r="J398" s="238">
        <v>200</v>
      </c>
      <c r="K398" s="240">
        <v>831</v>
      </c>
      <c r="L398" s="238">
        <v>58547</v>
      </c>
      <c r="M398" s="238">
        <v>237</v>
      </c>
      <c r="N398" s="238">
        <v>22585</v>
      </c>
      <c r="O398" s="239">
        <v>60957</v>
      </c>
      <c r="P398" s="239">
        <v>546</v>
      </c>
      <c r="Q398" s="240">
        <v>21999</v>
      </c>
      <c r="R398" s="238">
        <v>4553</v>
      </c>
      <c r="S398" s="240">
        <v>4645</v>
      </c>
      <c r="T398" s="236">
        <f t="shared" si="37"/>
        <v>45612</v>
      </c>
      <c r="U398" s="237">
        <f t="shared" si="38"/>
        <v>73838</v>
      </c>
      <c r="V398" s="238">
        <v>27998</v>
      </c>
      <c r="W398" s="239">
        <v>29085</v>
      </c>
      <c r="X398" s="241">
        <v>4436</v>
      </c>
      <c r="Y398" s="240">
        <v>2757</v>
      </c>
      <c r="Z398" s="238">
        <v>9689</v>
      </c>
      <c r="AA398" s="238">
        <v>261</v>
      </c>
      <c r="AB398" s="238">
        <v>1192</v>
      </c>
      <c r="AC398" s="239">
        <v>10870</v>
      </c>
      <c r="AD398" s="239">
        <v>75</v>
      </c>
      <c r="AE398" s="240">
        <v>29085</v>
      </c>
      <c r="AF398" s="238">
        <v>2036</v>
      </c>
      <c r="AG398" s="239">
        <v>1966</v>
      </c>
    </row>
    <row r="399" spans="1:33" x14ac:dyDescent="0.2">
      <c r="A399" s="495" t="s">
        <v>51</v>
      </c>
      <c r="B399" s="448" t="s">
        <v>629</v>
      </c>
      <c r="C399" s="453"/>
      <c r="D399" s="454">
        <v>221847</v>
      </c>
      <c r="E399" s="449">
        <v>3</v>
      </c>
      <c r="F399" s="235">
        <f t="shared" si="41"/>
        <v>214326</v>
      </c>
      <c r="G399" s="234">
        <f t="shared" si="42"/>
        <v>257176</v>
      </c>
      <c r="H399" s="238">
        <v>177351</v>
      </c>
      <c r="I399" s="239">
        <v>157890</v>
      </c>
      <c r="J399" s="238">
        <v>7171</v>
      </c>
      <c r="K399" s="240">
        <v>6610</v>
      </c>
      <c r="L399" s="238">
        <v>18429</v>
      </c>
      <c r="M399" s="238">
        <v>0</v>
      </c>
      <c r="N399" s="238">
        <v>7424</v>
      </c>
      <c r="O399" s="239">
        <v>18835</v>
      </c>
      <c r="P399" s="239"/>
      <c r="Q399" s="240">
        <v>68906</v>
      </c>
      <c r="R399" s="238">
        <v>3951</v>
      </c>
      <c r="S399" s="240">
        <v>4935</v>
      </c>
      <c r="T399" s="236">
        <f t="shared" si="37"/>
        <v>18144</v>
      </c>
      <c r="U399" s="237">
        <f t="shared" si="38"/>
        <v>18208</v>
      </c>
      <c r="V399" s="238">
        <v>6516</v>
      </c>
      <c r="W399" s="239">
        <v>4855</v>
      </c>
      <c r="X399" s="241">
        <v>1463</v>
      </c>
      <c r="Y399" s="240">
        <v>343</v>
      </c>
      <c r="Z399" s="238">
        <v>6488</v>
      </c>
      <c r="AA399" s="238">
        <v>0</v>
      </c>
      <c r="AB399" s="238">
        <v>2048</v>
      </c>
      <c r="AC399" s="239">
        <v>6679</v>
      </c>
      <c r="AD399" s="239"/>
      <c r="AE399" s="240">
        <v>4855</v>
      </c>
      <c r="AF399" s="238">
        <v>1629</v>
      </c>
      <c r="AG399" s="239">
        <v>1476</v>
      </c>
    </row>
    <row r="400" spans="1:33" x14ac:dyDescent="0.2">
      <c r="A400" s="495" t="s">
        <v>51</v>
      </c>
      <c r="B400" s="448" t="s">
        <v>630</v>
      </c>
      <c r="C400" s="453"/>
      <c r="D400" s="454">
        <v>221740</v>
      </c>
      <c r="E400" s="449">
        <v>3</v>
      </c>
      <c r="F400" s="235">
        <f t="shared" si="41"/>
        <v>251180.3</v>
      </c>
      <c r="G400" s="234">
        <f t="shared" si="42"/>
        <v>267469</v>
      </c>
      <c r="H400" s="238">
        <v>234245</v>
      </c>
      <c r="I400" s="239">
        <v>250147</v>
      </c>
      <c r="J400" s="238">
        <v>4434</v>
      </c>
      <c r="K400" s="240">
        <v>817</v>
      </c>
      <c r="L400" s="238">
        <v>10464</v>
      </c>
      <c r="M400" s="238">
        <v>0</v>
      </c>
      <c r="N400" s="238">
        <v>920</v>
      </c>
      <c r="O400" s="395">
        <v>13788</v>
      </c>
      <c r="P400" s="239"/>
      <c r="Q400" s="240">
        <v>1671</v>
      </c>
      <c r="R400" s="238">
        <v>1117.3</v>
      </c>
      <c r="S400" s="240">
        <v>1046</v>
      </c>
      <c r="T400" s="236">
        <f t="shared" si="37"/>
        <v>26225</v>
      </c>
      <c r="U400" s="237">
        <f t="shared" si="38"/>
        <v>44520</v>
      </c>
      <c r="V400" s="238">
        <v>20337</v>
      </c>
      <c r="W400" s="239">
        <v>19497</v>
      </c>
      <c r="X400" s="241">
        <v>49</v>
      </c>
      <c r="Y400" s="240">
        <v>0</v>
      </c>
      <c r="Z400" s="238">
        <v>3687</v>
      </c>
      <c r="AA400" s="238">
        <v>1158</v>
      </c>
      <c r="AB400" s="238">
        <v>393</v>
      </c>
      <c r="AC400" s="239">
        <v>3896</v>
      </c>
      <c r="AD400" s="239">
        <v>1101</v>
      </c>
      <c r="AE400" s="240">
        <v>19497</v>
      </c>
      <c r="AF400" s="238">
        <v>601</v>
      </c>
      <c r="AG400" s="239">
        <v>529</v>
      </c>
    </row>
    <row r="401" spans="1:33" x14ac:dyDescent="0.2">
      <c r="A401" s="495" t="s">
        <v>51</v>
      </c>
      <c r="B401" s="448" t="s">
        <v>631</v>
      </c>
      <c r="C401" s="453"/>
      <c r="D401" s="454">
        <v>221768</v>
      </c>
      <c r="E401" s="449">
        <v>5</v>
      </c>
      <c r="F401" s="235">
        <f t="shared" si="41"/>
        <v>204980</v>
      </c>
      <c r="G401" s="234">
        <f t="shared" si="42"/>
        <v>199005</v>
      </c>
      <c r="H401" s="238">
        <v>168049</v>
      </c>
      <c r="I401" s="396">
        <v>167355</v>
      </c>
      <c r="J401" s="238">
        <v>20985</v>
      </c>
      <c r="K401" s="397">
        <v>17391</v>
      </c>
      <c r="L401" s="238">
        <v>13869</v>
      </c>
      <c r="M401" s="238">
        <v>1758</v>
      </c>
      <c r="N401" s="238">
        <v>93</v>
      </c>
      <c r="O401" s="396">
        <v>12415</v>
      </c>
      <c r="P401" s="239">
        <v>1522</v>
      </c>
      <c r="Q401" s="240">
        <v>27</v>
      </c>
      <c r="R401" s="238">
        <v>226</v>
      </c>
      <c r="S401" s="240">
        <v>295</v>
      </c>
      <c r="T401" s="236">
        <f t="shared" si="37"/>
        <v>7227</v>
      </c>
      <c r="U401" s="237">
        <f t="shared" si="38"/>
        <v>8496</v>
      </c>
      <c r="V401" s="238">
        <v>2164</v>
      </c>
      <c r="W401" s="396">
        <v>1814</v>
      </c>
      <c r="X401" s="241">
        <v>15</v>
      </c>
      <c r="Y401" s="397">
        <v>6</v>
      </c>
      <c r="Z401" s="238">
        <v>5015</v>
      </c>
      <c r="AA401" s="238">
        <v>33</v>
      </c>
      <c r="AB401" s="238"/>
      <c r="AC401" s="396">
        <v>4859</v>
      </c>
      <c r="AD401" s="239"/>
      <c r="AE401" s="240">
        <v>1814</v>
      </c>
      <c r="AF401" s="238"/>
      <c r="AG401" s="239">
        <v>3</v>
      </c>
    </row>
    <row r="402" spans="1:33" x14ac:dyDescent="0.2">
      <c r="A402" s="495" t="s">
        <v>51</v>
      </c>
      <c r="B402" s="448" t="s">
        <v>632</v>
      </c>
      <c r="C402" s="456"/>
      <c r="D402" s="451">
        <v>219824</v>
      </c>
      <c r="E402" s="457">
        <v>8</v>
      </c>
      <c r="F402" s="235">
        <f t="shared" ref="F402:F464" si="43">SUM(H402,J402,L402,M402,N402,R402)</f>
        <v>212732</v>
      </c>
      <c r="G402" s="234">
        <f t="shared" ref="G402:G464" si="44">SUM(I402,K402,O402,P402,Q402,S402)</f>
        <v>207145</v>
      </c>
      <c r="H402" s="238">
        <v>117490</v>
      </c>
      <c r="I402" s="398">
        <v>118451</v>
      </c>
      <c r="J402" s="238">
        <v>17000</v>
      </c>
      <c r="K402" s="399">
        <v>14871</v>
      </c>
      <c r="L402" s="238">
        <v>42832</v>
      </c>
      <c r="M402" s="238"/>
      <c r="N402" s="238">
        <v>34763</v>
      </c>
      <c r="O402" s="398">
        <v>44759</v>
      </c>
      <c r="P402" s="400"/>
      <c r="Q402" s="401">
        <v>28511</v>
      </c>
      <c r="R402" s="238">
        <v>647</v>
      </c>
      <c r="S402" s="401">
        <v>553</v>
      </c>
      <c r="T402" s="236">
        <f t="shared" ref="T402:T464" si="45">SUM(V402,X402,Z402,AA402,AB402,AF402)</f>
        <v>0</v>
      </c>
      <c r="U402" s="237">
        <f t="shared" ref="U402:U464" si="46">SUM(W402,Y402,AC402,AD402,AE402,AG402)</f>
        <v>0</v>
      </c>
      <c r="V402" s="238"/>
      <c r="W402" s="398"/>
      <c r="X402" s="241"/>
      <c r="Y402" s="399"/>
      <c r="Z402" s="238"/>
      <c r="AA402" s="238"/>
      <c r="AB402" s="238"/>
      <c r="AC402" s="398"/>
      <c r="AD402" s="400"/>
      <c r="AE402" s="401"/>
      <c r="AF402" s="238"/>
      <c r="AG402" s="400"/>
    </row>
    <row r="403" spans="1:33" x14ac:dyDescent="0.2">
      <c r="A403" s="495" t="s">
        <v>51</v>
      </c>
      <c r="B403" s="448" t="s">
        <v>633</v>
      </c>
      <c r="C403" s="455"/>
      <c r="D403" s="451">
        <v>221184</v>
      </c>
      <c r="E403" s="450">
        <v>8</v>
      </c>
      <c r="F403" s="235">
        <f t="shared" si="43"/>
        <v>195813.5</v>
      </c>
      <c r="G403" s="234">
        <f t="shared" si="44"/>
        <v>190771.5</v>
      </c>
      <c r="H403" s="238">
        <v>110553.5</v>
      </c>
      <c r="I403" s="398">
        <v>108033.5</v>
      </c>
      <c r="J403" s="238">
        <v>39276</v>
      </c>
      <c r="K403" s="399">
        <v>33324</v>
      </c>
      <c r="L403" s="238">
        <v>40886</v>
      </c>
      <c r="M403" s="238">
        <v>0</v>
      </c>
      <c r="N403" s="238">
        <v>4958</v>
      </c>
      <c r="O403" s="398">
        <v>43910</v>
      </c>
      <c r="P403" s="239"/>
      <c r="Q403" s="240">
        <v>5385</v>
      </c>
      <c r="R403" s="238">
        <v>140</v>
      </c>
      <c r="S403" s="240">
        <v>119</v>
      </c>
      <c r="T403" s="236">
        <f t="shared" si="45"/>
        <v>0</v>
      </c>
      <c r="U403" s="237">
        <f t="shared" si="46"/>
        <v>0</v>
      </c>
      <c r="V403" s="238"/>
      <c r="W403" s="398"/>
      <c r="X403" s="241"/>
      <c r="Y403" s="399"/>
      <c r="Z403" s="238"/>
      <c r="AA403" s="238"/>
      <c r="AB403" s="238"/>
      <c r="AC403" s="398"/>
      <c r="AD403" s="239"/>
      <c r="AE403" s="240"/>
      <c r="AF403" s="238"/>
      <c r="AG403" s="239"/>
    </row>
    <row r="404" spans="1:33" x14ac:dyDescent="0.2">
      <c r="A404" s="495" t="s">
        <v>51</v>
      </c>
      <c r="B404" s="448" t="s">
        <v>634</v>
      </c>
      <c r="C404" s="456"/>
      <c r="D404" s="451">
        <v>221643</v>
      </c>
      <c r="E404" s="457">
        <v>8</v>
      </c>
      <c r="F404" s="235">
        <f t="shared" si="43"/>
        <v>235683</v>
      </c>
      <c r="G404" s="234">
        <f t="shared" si="44"/>
        <v>224003</v>
      </c>
      <c r="H404" s="238">
        <v>148976</v>
      </c>
      <c r="I404" s="239">
        <v>140532</v>
      </c>
      <c r="J404" s="238">
        <v>52538</v>
      </c>
      <c r="K404" s="240">
        <v>48234</v>
      </c>
      <c r="L404" s="238">
        <v>28832</v>
      </c>
      <c r="M404" s="238">
        <v>1323</v>
      </c>
      <c r="N404" s="238">
        <v>3779</v>
      </c>
      <c r="O404" s="239">
        <v>28193</v>
      </c>
      <c r="P404" s="239">
        <v>1397</v>
      </c>
      <c r="Q404" s="240">
        <v>5405</v>
      </c>
      <c r="R404" s="238">
        <v>235</v>
      </c>
      <c r="S404" s="240">
        <v>242</v>
      </c>
      <c r="T404" s="236">
        <f t="shared" si="45"/>
        <v>0</v>
      </c>
      <c r="U404" s="237">
        <f t="shared" si="46"/>
        <v>0</v>
      </c>
      <c r="V404" s="238"/>
      <c r="W404" s="239"/>
      <c r="X404" s="241"/>
      <c r="Y404" s="240"/>
      <c r="Z404" s="238"/>
      <c r="AA404" s="238"/>
      <c r="AB404" s="238"/>
      <c r="AC404" s="239"/>
      <c r="AD404" s="239"/>
      <c r="AE404" s="240"/>
      <c r="AF404" s="238"/>
      <c r="AG404" s="239"/>
    </row>
    <row r="405" spans="1:33" x14ac:dyDescent="0.2">
      <c r="A405" s="495" t="s">
        <v>51</v>
      </c>
      <c r="B405" s="448" t="s">
        <v>635</v>
      </c>
      <c r="C405" s="456"/>
      <c r="D405" s="451">
        <v>221485</v>
      </c>
      <c r="E405" s="457">
        <v>8</v>
      </c>
      <c r="F405" s="235">
        <f t="shared" si="43"/>
        <v>282378</v>
      </c>
      <c r="G405" s="234">
        <f t="shared" si="44"/>
        <v>256704</v>
      </c>
      <c r="H405" s="238">
        <v>490</v>
      </c>
      <c r="I405" s="402">
        <v>25837</v>
      </c>
      <c r="J405" s="238">
        <v>242139</v>
      </c>
      <c r="K405" s="403">
        <v>192290</v>
      </c>
      <c r="L405" s="238">
        <v>30085</v>
      </c>
      <c r="M405" s="238">
        <v>1734</v>
      </c>
      <c r="N405" s="238">
        <v>7888</v>
      </c>
      <c r="O405" s="402">
        <v>31866</v>
      </c>
      <c r="P405" s="239">
        <v>522</v>
      </c>
      <c r="Q405" s="240">
        <v>6135</v>
      </c>
      <c r="R405" s="238">
        <v>42</v>
      </c>
      <c r="S405" s="240">
        <v>54</v>
      </c>
      <c r="T405" s="236">
        <f t="shared" si="45"/>
        <v>0</v>
      </c>
      <c r="U405" s="237">
        <f t="shared" si="46"/>
        <v>0</v>
      </c>
      <c r="V405" s="238"/>
      <c r="W405" s="402"/>
      <c r="X405" s="241"/>
      <c r="Y405" s="403"/>
      <c r="Z405" s="238"/>
      <c r="AA405" s="238"/>
      <c r="AB405" s="238"/>
      <c r="AC405" s="402"/>
      <c r="AD405" s="239"/>
      <c r="AE405" s="240"/>
      <c r="AF405" s="238"/>
      <c r="AG405" s="239"/>
    </row>
    <row r="406" spans="1:33" x14ac:dyDescent="0.2">
      <c r="A406" s="495" t="s">
        <v>51</v>
      </c>
      <c r="B406" s="448" t="s">
        <v>636</v>
      </c>
      <c r="C406" s="455"/>
      <c r="D406" s="451">
        <v>222053</v>
      </c>
      <c r="E406" s="450">
        <v>8</v>
      </c>
      <c r="F406" s="235">
        <f t="shared" si="43"/>
        <v>172295</v>
      </c>
      <c r="G406" s="234">
        <f t="shared" si="44"/>
        <v>160612</v>
      </c>
      <c r="H406" s="238">
        <v>99124</v>
      </c>
      <c r="I406" s="239">
        <v>93076</v>
      </c>
      <c r="J406" s="238">
        <v>23836</v>
      </c>
      <c r="K406" s="240">
        <v>19438</v>
      </c>
      <c r="L406" s="238">
        <v>40994</v>
      </c>
      <c r="M406" s="238">
        <v>288</v>
      </c>
      <c r="N406" s="238">
        <v>7473</v>
      </c>
      <c r="O406" s="239">
        <v>42708</v>
      </c>
      <c r="P406" s="239">
        <v>294</v>
      </c>
      <c r="Q406" s="240">
        <v>4710</v>
      </c>
      <c r="R406" s="238">
        <v>580</v>
      </c>
      <c r="S406" s="240">
        <v>386</v>
      </c>
      <c r="T406" s="236">
        <f t="shared" si="45"/>
        <v>0</v>
      </c>
      <c r="U406" s="237">
        <f t="shared" si="46"/>
        <v>0</v>
      </c>
      <c r="V406" s="238"/>
      <c r="W406" s="239"/>
      <c r="X406" s="241"/>
      <c r="Y406" s="240"/>
      <c r="Z406" s="238"/>
      <c r="AA406" s="238"/>
      <c r="AB406" s="238"/>
      <c r="AC406" s="239"/>
      <c r="AD406" s="239"/>
      <c r="AE406" s="240"/>
      <c r="AF406" s="238"/>
      <c r="AG406" s="239"/>
    </row>
    <row r="407" spans="1:33" x14ac:dyDescent="0.2">
      <c r="A407" s="495" t="s">
        <v>51</v>
      </c>
      <c r="B407" s="448" t="s">
        <v>637</v>
      </c>
      <c r="C407" s="456"/>
      <c r="D407" s="451">
        <v>219879</v>
      </c>
      <c r="E407" s="457">
        <v>9</v>
      </c>
      <c r="F407" s="235">
        <f t="shared" si="43"/>
        <v>79753</v>
      </c>
      <c r="G407" s="234">
        <f t="shared" si="44"/>
        <v>76262</v>
      </c>
      <c r="H407" s="238">
        <v>45868</v>
      </c>
      <c r="I407" s="239">
        <v>37164</v>
      </c>
      <c r="J407" s="238">
        <v>10230</v>
      </c>
      <c r="K407" s="240">
        <v>7469</v>
      </c>
      <c r="L407" s="238">
        <v>10832</v>
      </c>
      <c r="M407" s="238">
        <v>309</v>
      </c>
      <c r="N407" s="238">
        <v>10992</v>
      </c>
      <c r="O407" s="239">
        <v>10505</v>
      </c>
      <c r="P407" s="239">
        <v>105</v>
      </c>
      <c r="Q407" s="240">
        <v>19698</v>
      </c>
      <c r="R407" s="238">
        <v>1522</v>
      </c>
      <c r="S407" s="240">
        <v>1321</v>
      </c>
      <c r="T407" s="236">
        <f t="shared" si="45"/>
        <v>0</v>
      </c>
      <c r="U407" s="237">
        <f t="shared" si="46"/>
        <v>0</v>
      </c>
      <c r="V407" s="238"/>
      <c r="W407" s="239"/>
      <c r="X407" s="241"/>
      <c r="Y407" s="240"/>
      <c r="Z407" s="238"/>
      <c r="AA407" s="238"/>
      <c r="AB407" s="238"/>
      <c r="AC407" s="239"/>
      <c r="AD407" s="239"/>
      <c r="AE407" s="240"/>
      <c r="AF407" s="238"/>
      <c r="AG407" s="239"/>
    </row>
    <row r="408" spans="1:33" x14ac:dyDescent="0.2">
      <c r="A408" s="495" t="s">
        <v>51</v>
      </c>
      <c r="B408" s="448" t="s">
        <v>638</v>
      </c>
      <c r="C408" s="456"/>
      <c r="D408" s="451">
        <v>219888</v>
      </c>
      <c r="E408" s="457">
        <v>9</v>
      </c>
      <c r="F408" s="235">
        <f t="shared" si="43"/>
        <v>110306</v>
      </c>
      <c r="G408" s="234">
        <f t="shared" si="44"/>
        <v>104855</v>
      </c>
      <c r="H408" s="238">
        <v>45404</v>
      </c>
      <c r="I408" s="239">
        <v>39110</v>
      </c>
      <c r="J408" s="238">
        <v>36640</v>
      </c>
      <c r="K408" s="240">
        <v>34314</v>
      </c>
      <c r="L408" s="238">
        <v>16570</v>
      </c>
      <c r="M408" s="238">
        <v>5886</v>
      </c>
      <c r="N408" s="238">
        <v>5733</v>
      </c>
      <c r="O408" s="239">
        <v>18687</v>
      </c>
      <c r="P408" s="239">
        <v>5412</v>
      </c>
      <c r="Q408" s="240">
        <v>7281</v>
      </c>
      <c r="R408" s="238">
        <v>73</v>
      </c>
      <c r="S408" s="240">
        <v>51</v>
      </c>
      <c r="T408" s="236">
        <f t="shared" si="45"/>
        <v>0</v>
      </c>
      <c r="U408" s="237">
        <f t="shared" si="46"/>
        <v>0</v>
      </c>
      <c r="V408" s="238"/>
      <c r="W408" s="239"/>
      <c r="X408" s="241"/>
      <c r="Y408" s="240"/>
      <c r="Z408" s="238"/>
      <c r="AA408" s="238"/>
      <c r="AB408" s="238"/>
      <c r="AC408" s="239"/>
      <c r="AD408" s="239"/>
      <c r="AE408" s="240"/>
      <c r="AF408" s="238"/>
      <c r="AG408" s="239"/>
    </row>
    <row r="409" spans="1:33" x14ac:dyDescent="0.2">
      <c r="A409" s="495" t="s">
        <v>51</v>
      </c>
      <c r="B409" s="448" t="s">
        <v>639</v>
      </c>
      <c r="C409" s="455"/>
      <c r="D409" s="451">
        <v>220057</v>
      </c>
      <c r="E409" s="450">
        <v>9</v>
      </c>
      <c r="F409" s="235">
        <f t="shared" si="43"/>
        <v>71139</v>
      </c>
      <c r="G409" s="234">
        <f t="shared" si="44"/>
        <v>68740</v>
      </c>
      <c r="H409" s="238">
        <v>26289</v>
      </c>
      <c r="I409" s="239">
        <v>25763</v>
      </c>
      <c r="J409" s="238">
        <v>28464</v>
      </c>
      <c r="K409" s="240">
        <v>26327</v>
      </c>
      <c r="L409" s="238">
        <v>9731</v>
      </c>
      <c r="M409" s="238">
        <v>2514</v>
      </c>
      <c r="N409" s="238">
        <v>3796</v>
      </c>
      <c r="O409" s="239">
        <v>12422</v>
      </c>
      <c r="P409" s="239">
        <v>3109</v>
      </c>
      <c r="Q409" s="240">
        <v>684</v>
      </c>
      <c r="R409" s="238">
        <v>345</v>
      </c>
      <c r="S409" s="240">
        <v>435</v>
      </c>
      <c r="T409" s="236">
        <f t="shared" si="45"/>
        <v>0</v>
      </c>
      <c r="U409" s="237">
        <f t="shared" si="46"/>
        <v>0</v>
      </c>
      <c r="V409" s="238"/>
      <c r="W409" s="239"/>
      <c r="X409" s="241"/>
      <c r="Y409" s="240"/>
      <c r="Z409" s="238"/>
      <c r="AA409" s="238"/>
      <c r="AB409" s="238"/>
      <c r="AC409" s="239"/>
      <c r="AD409" s="239"/>
      <c r="AE409" s="240"/>
      <c r="AF409" s="238"/>
      <c r="AG409" s="239"/>
    </row>
    <row r="410" spans="1:33" x14ac:dyDescent="0.2">
      <c r="A410" s="495" t="s">
        <v>51</v>
      </c>
      <c r="B410" s="448" t="s">
        <v>640</v>
      </c>
      <c r="C410" s="456"/>
      <c r="D410" s="451">
        <v>220400</v>
      </c>
      <c r="E410" s="457">
        <v>9</v>
      </c>
      <c r="F410" s="235">
        <f t="shared" si="43"/>
        <v>104120</v>
      </c>
      <c r="G410" s="234">
        <f t="shared" si="44"/>
        <v>91702</v>
      </c>
      <c r="H410" s="238">
        <v>50431</v>
      </c>
      <c r="I410" s="239">
        <v>50766</v>
      </c>
      <c r="J410" s="238">
        <v>10511</v>
      </c>
      <c r="K410" s="240">
        <v>7776</v>
      </c>
      <c r="L410" s="238">
        <v>26776</v>
      </c>
      <c r="M410" s="238">
        <v>4026</v>
      </c>
      <c r="N410" s="238">
        <v>12219</v>
      </c>
      <c r="O410" s="239">
        <v>21348</v>
      </c>
      <c r="P410" s="239">
        <v>3245</v>
      </c>
      <c r="Q410" s="240">
        <v>8404</v>
      </c>
      <c r="R410" s="238">
        <v>157</v>
      </c>
      <c r="S410" s="240">
        <v>163</v>
      </c>
      <c r="T410" s="236">
        <f t="shared" si="45"/>
        <v>0</v>
      </c>
      <c r="U410" s="237">
        <f t="shared" si="46"/>
        <v>0</v>
      </c>
      <c r="V410" s="238"/>
      <c r="W410" s="239"/>
      <c r="X410" s="241"/>
      <c r="Y410" s="240"/>
      <c r="Z410" s="238"/>
      <c r="AA410" s="238"/>
      <c r="AB410" s="238"/>
      <c r="AC410" s="239"/>
      <c r="AD410" s="239"/>
      <c r="AE410" s="240"/>
      <c r="AF410" s="238"/>
      <c r="AG410" s="239"/>
    </row>
    <row r="411" spans="1:33" x14ac:dyDescent="0.2">
      <c r="A411" s="495" t="s">
        <v>51</v>
      </c>
      <c r="B411" s="448" t="s">
        <v>641</v>
      </c>
      <c r="C411" s="456"/>
      <c r="D411" s="451">
        <v>221096</v>
      </c>
      <c r="E411" s="457">
        <v>9</v>
      </c>
      <c r="F411" s="235">
        <f t="shared" si="43"/>
        <v>99616</v>
      </c>
      <c r="G411" s="234">
        <f t="shared" si="44"/>
        <v>94294</v>
      </c>
      <c r="H411" s="238">
        <v>29535</v>
      </c>
      <c r="I411" s="239">
        <v>26623</v>
      </c>
      <c r="J411" s="238">
        <v>49512</v>
      </c>
      <c r="K411" s="240">
        <v>45196</v>
      </c>
      <c r="L411" s="238">
        <v>14891</v>
      </c>
      <c r="M411" s="238">
        <v>5380</v>
      </c>
      <c r="N411" s="238">
        <v>48</v>
      </c>
      <c r="O411" s="239">
        <v>15885</v>
      </c>
      <c r="P411" s="239">
        <v>5223</v>
      </c>
      <c r="Q411" s="240">
        <v>1096</v>
      </c>
      <c r="R411" s="238">
        <v>250</v>
      </c>
      <c r="S411" s="240">
        <v>271</v>
      </c>
      <c r="T411" s="236">
        <f t="shared" si="45"/>
        <v>0</v>
      </c>
      <c r="U411" s="237">
        <f t="shared" si="46"/>
        <v>0</v>
      </c>
      <c r="V411" s="238"/>
      <c r="W411" s="239"/>
      <c r="X411" s="241"/>
      <c r="Y411" s="240"/>
      <c r="Z411" s="238"/>
      <c r="AA411" s="238"/>
      <c r="AB411" s="238"/>
      <c r="AC411" s="239"/>
      <c r="AD411" s="239"/>
      <c r="AE411" s="240"/>
      <c r="AF411" s="238"/>
      <c r="AG411" s="239"/>
    </row>
    <row r="412" spans="1:33" x14ac:dyDescent="0.2">
      <c r="A412" s="495" t="s">
        <v>51</v>
      </c>
      <c r="B412" s="448" t="s">
        <v>642</v>
      </c>
      <c r="C412" s="456"/>
      <c r="D412" s="451">
        <v>221908</v>
      </c>
      <c r="E412" s="457">
        <v>9</v>
      </c>
      <c r="F412" s="235">
        <f t="shared" si="43"/>
        <v>142268</v>
      </c>
      <c r="G412" s="234">
        <f t="shared" si="44"/>
        <v>136010</v>
      </c>
      <c r="H412" s="238">
        <v>88386</v>
      </c>
      <c r="I412" s="239">
        <v>81194</v>
      </c>
      <c r="J412" s="238">
        <v>31025</v>
      </c>
      <c r="K412" s="240">
        <v>31701</v>
      </c>
      <c r="L412" s="238">
        <v>8778</v>
      </c>
      <c r="M412" s="238">
        <v>3610</v>
      </c>
      <c r="N412" s="238">
        <v>10433</v>
      </c>
      <c r="O412" s="239">
        <v>14123</v>
      </c>
      <c r="P412" s="239">
        <v>3590</v>
      </c>
      <c r="Q412" s="240">
        <v>5349</v>
      </c>
      <c r="R412" s="238">
        <v>36</v>
      </c>
      <c r="S412" s="240">
        <v>53</v>
      </c>
      <c r="T412" s="236">
        <f t="shared" si="45"/>
        <v>0</v>
      </c>
      <c r="U412" s="237">
        <f t="shared" si="46"/>
        <v>0</v>
      </c>
      <c r="V412" s="238"/>
      <c r="W412" s="239"/>
      <c r="X412" s="241"/>
      <c r="Y412" s="240"/>
      <c r="Z412" s="238"/>
      <c r="AA412" s="238"/>
      <c r="AB412" s="238"/>
      <c r="AC412" s="239"/>
      <c r="AD412" s="239"/>
      <c r="AE412" s="240"/>
      <c r="AF412" s="238"/>
      <c r="AG412" s="239"/>
    </row>
    <row r="413" spans="1:33" x14ac:dyDescent="0.2">
      <c r="A413" s="495" t="s">
        <v>51</v>
      </c>
      <c r="B413" s="448" t="s">
        <v>643</v>
      </c>
      <c r="C413" s="456"/>
      <c r="D413" s="451">
        <v>221397</v>
      </c>
      <c r="E413" s="457">
        <v>9</v>
      </c>
      <c r="F413" s="235">
        <f t="shared" si="43"/>
        <v>134423</v>
      </c>
      <c r="G413" s="234">
        <f t="shared" si="44"/>
        <v>129218</v>
      </c>
      <c r="H413" s="238">
        <v>22110</v>
      </c>
      <c r="I413" s="239">
        <v>24645</v>
      </c>
      <c r="J413" s="238">
        <v>71576</v>
      </c>
      <c r="K413" s="240">
        <v>61131</v>
      </c>
      <c r="L413" s="238">
        <v>27435</v>
      </c>
      <c r="M413" s="238">
        <v>7929</v>
      </c>
      <c r="N413" s="238">
        <v>5285</v>
      </c>
      <c r="O413" s="239">
        <v>28372</v>
      </c>
      <c r="P413" s="239">
        <v>6240</v>
      </c>
      <c r="Q413" s="240">
        <v>8778</v>
      </c>
      <c r="R413" s="238">
        <v>88</v>
      </c>
      <c r="S413" s="240">
        <v>52</v>
      </c>
      <c r="T413" s="236">
        <f t="shared" si="45"/>
        <v>0</v>
      </c>
      <c r="U413" s="237">
        <f t="shared" si="46"/>
        <v>0</v>
      </c>
      <c r="V413" s="238"/>
      <c r="W413" s="239"/>
      <c r="X413" s="241"/>
      <c r="Y413" s="240"/>
      <c r="Z413" s="238"/>
      <c r="AA413" s="238"/>
      <c r="AB413" s="238"/>
      <c r="AC413" s="239"/>
      <c r="AD413" s="239"/>
      <c r="AE413" s="240"/>
      <c r="AF413" s="238"/>
      <c r="AG413" s="239"/>
    </row>
    <row r="414" spans="1:33" x14ac:dyDescent="0.2">
      <c r="A414" s="495" t="s">
        <v>51</v>
      </c>
      <c r="B414" s="448" t="s">
        <v>644</v>
      </c>
      <c r="C414" s="453"/>
      <c r="D414" s="451">
        <v>222062</v>
      </c>
      <c r="E414" s="457">
        <v>9</v>
      </c>
      <c r="F414" s="235">
        <f t="shared" si="43"/>
        <v>144311</v>
      </c>
      <c r="G414" s="234">
        <f t="shared" si="44"/>
        <v>133718</v>
      </c>
      <c r="H414" s="238">
        <v>65267</v>
      </c>
      <c r="I414" s="239">
        <v>57985</v>
      </c>
      <c r="J414" s="238">
        <v>51290</v>
      </c>
      <c r="K414" s="240">
        <v>45017</v>
      </c>
      <c r="L414" s="238">
        <v>15353</v>
      </c>
      <c r="M414" s="238">
        <v>3314</v>
      </c>
      <c r="N414" s="238">
        <v>9072</v>
      </c>
      <c r="O414" s="239">
        <v>16213</v>
      </c>
      <c r="P414" s="239">
        <v>5842</v>
      </c>
      <c r="Q414" s="240">
        <v>8657</v>
      </c>
      <c r="R414" s="238">
        <v>15</v>
      </c>
      <c r="S414" s="240">
        <v>4</v>
      </c>
      <c r="T414" s="236">
        <f t="shared" si="45"/>
        <v>0</v>
      </c>
      <c r="U414" s="237">
        <f t="shared" si="46"/>
        <v>0</v>
      </c>
      <c r="V414" s="238"/>
      <c r="W414" s="239"/>
      <c r="X414" s="241"/>
      <c r="Y414" s="240"/>
      <c r="Z414" s="238"/>
      <c r="AA414" s="238"/>
      <c r="AB414" s="238"/>
      <c r="AC414" s="239"/>
      <c r="AD414" s="239"/>
      <c r="AE414" s="240"/>
      <c r="AF414" s="238"/>
      <c r="AG414" s="239"/>
    </row>
    <row r="415" spans="1:33" x14ac:dyDescent="0.2">
      <c r="A415" s="495" t="s">
        <v>51</v>
      </c>
      <c r="B415" s="448" t="s">
        <v>646</v>
      </c>
      <c r="C415" s="455" t="s">
        <v>673</v>
      </c>
      <c r="D415" s="451" t="s">
        <v>647</v>
      </c>
      <c r="E415" s="458">
        <v>12</v>
      </c>
      <c r="F415" s="235">
        <f t="shared" si="43"/>
        <v>0</v>
      </c>
      <c r="G415" s="234">
        <f t="shared" si="44"/>
        <v>0</v>
      </c>
      <c r="H415" s="238"/>
      <c r="I415" s="239"/>
      <c r="J415" s="238"/>
      <c r="K415" s="240"/>
      <c r="L415" s="238"/>
      <c r="M415" s="238"/>
      <c r="N415" s="238"/>
      <c r="O415" s="239"/>
      <c r="P415" s="239"/>
      <c r="Q415" s="240"/>
      <c r="R415" s="238"/>
      <c r="S415" s="240"/>
      <c r="T415" s="236">
        <f t="shared" si="45"/>
        <v>0</v>
      </c>
      <c r="U415" s="237">
        <f t="shared" si="46"/>
        <v>0</v>
      </c>
      <c r="V415" s="238"/>
      <c r="W415" s="239"/>
      <c r="X415" s="241"/>
      <c r="Y415" s="240"/>
      <c r="Z415" s="238"/>
      <c r="AA415" s="238"/>
      <c r="AB415" s="238"/>
      <c r="AC415" s="239"/>
      <c r="AD415" s="239"/>
      <c r="AE415" s="240"/>
      <c r="AF415" s="238"/>
      <c r="AG415" s="239"/>
    </row>
    <row r="416" spans="1:33" x14ac:dyDescent="0.2">
      <c r="A416" s="495" t="s">
        <v>51</v>
      </c>
      <c r="B416" s="448" t="s">
        <v>645</v>
      </c>
      <c r="C416" s="456"/>
      <c r="D416" s="451">
        <v>219596</v>
      </c>
      <c r="E416" s="457">
        <v>13</v>
      </c>
      <c r="F416" s="235">
        <f t="shared" si="43"/>
        <v>0</v>
      </c>
      <c r="G416" s="234">
        <f t="shared" si="44"/>
        <v>0</v>
      </c>
      <c r="H416" s="238"/>
      <c r="I416" s="239"/>
      <c r="J416" s="238"/>
      <c r="K416" s="240"/>
      <c r="L416" s="238"/>
      <c r="M416" s="238"/>
      <c r="N416" s="238"/>
      <c r="O416" s="239"/>
      <c r="P416" s="239"/>
      <c r="Q416" s="240"/>
      <c r="R416" s="238"/>
      <c r="S416" s="240"/>
      <c r="T416" s="236">
        <f t="shared" si="45"/>
        <v>0</v>
      </c>
      <c r="U416" s="237">
        <f t="shared" si="46"/>
        <v>0</v>
      </c>
      <c r="V416" s="238"/>
      <c r="W416" s="239"/>
      <c r="X416" s="241"/>
      <c r="Y416" s="240"/>
      <c r="Z416" s="238"/>
      <c r="AA416" s="238"/>
      <c r="AB416" s="238"/>
      <c r="AC416" s="239"/>
      <c r="AD416" s="239"/>
      <c r="AE416" s="240"/>
      <c r="AF416" s="238"/>
      <c r="AG416" s="239"/>
    </row>
    <row r="417" spans="1:33" x14ac:dyDescent="0.2">
      <c r="A417" s="495" t="s">
        <v>51</v>
      </c>
      <c r="B417" s="448" t="s">
        <v>648</v>
      </c>
      <c r="C417" s="456"/>
      <c r="D417" s="451">
        <v>219921</v>
      </c>
      <c r="E417" s="457">
        <v>13</v>
      </c>
      <c r="F417" s="235">
        <f t="shared" si="43"/>
        <v>0</v>
      </c>
      <c r="G417" s="234">
        <f t="shared" si="44"/>
        <v>0</v>
      </c>
      <c r="H417" s="238"/>
      <c r="I417" s="239"/>
      <c r="J417" s="238"/>
      <c r="K417" s="240"/>
      <c r="L417" s="238"/>
      <c r="M417" s="238"/>
      <c r="N417" s="238"/>
      <c r="O417" s="239"/>
      <c r="P417" s="239"/>
      <c r="Q417" s="240"/>
      <c r="R417" s="238"/>
      <c r="S417" s="240"/>
      <c r="T417" s="236">
        <f t="shared" si="45"/>
        <v>0</v>
      </c>
      <c r="U417" s="237">
        <f t="shared" si="46"/>
        <v>0</v>
      </c>
      <c r="V417" s="238"/>
      <c r="W417" s="239"/>
      <c r="X417" s="241"/>
      <c r="Y417" s="240"/>
      <c r="Z417" s="238"/>
      <c r="AA417" s="238"/>
      <c r="AB417" s="238"/>
      <c r="AC417" s="239"/>
      <c r="AD417" s="239"/>
      <c r="AE417" s="240"/>
      <c r="AF417" s="238"/>
      <c r="AG417" s="239"/>
    </row>
    <row r="418" spans="1:33" x14ac:dyDescent="0.2">
      <c r="A418" s="495" t="s">
        <v>51</v>
      </c>
      <c r="B418" s="448" t="s">
        <v>649</v>
      </c>
      <c r="C418" s="456"/>
      <c r="D418" s="451">
        <v>221591</v>
      </c>
      <c r="E418" s="457">
        <v>13</v>
      </c>
      <c r="F418" s="235">
        <f t="shared" si="43"/>
        <v>0</v>
      </c>
      <c r="G418" s="234">
        <f t="shared" si="44"/>
        <v>0</v>
      </c>
      <c r="H418" s="238"/>
      <c r="I418" s="239"/>
      <c r="J418" s="238"/>
      <c r="K418" s="240"/>
      <c r="L418" s="238"/>
      <c r="M418" s="238"/>
      <c r="N418" s="238"/>
      <c r="O418" s="239"/>
      <c r="P418" s="239"/>
      <c r="Q418" s="240"/>
      <c r="R418" s="238"/>
      <c r="S418" s="240"/>
      <c r="T418" s="236">
        <f t="shared" si="45"/>
        <v>0</v>
      </c>
      <c r="U418" s="237">
        <f t="shared" si="46"/>
        <v>0</v>
      </c>
      <c r="V418" s="238"/>
      <c r="W418" s="239"/>
      <c r="X418" s="241"/>
      <c r="Y418" s="240"/>
      <c r="Z418" s="238"/>
      <c r="AA418" s="238"/>
      <c r="AB418" s="238"/>
      <c r="AC418" s="239"/>
      <c r="AD418" s="239"/>
      <c r="AE418" s="240"/>
      <c r="AF418" s="238"/>
      <c r="AG418" s="239"/>
    </row>
    <row r="419" spans="1:33" x14ac:dyDescent="0.2">
      <c r="A419" s="495" t="s">
        <v>51</v>
      </c>
      <c r="B419" s="448" t="s">
        <v>650</v>
      </c>
      <c r="C419" s="456"/>
      <c r="D419" s="451">
        <v>221430</v>
      </c>
      <c r="E419" s="457">
        <v>13</v>
      </c>
      <c r="F419" s="235">
        <f t="shared" si="43"/>
        <v>0</v>
      </c>
      <c r="G419" s="234">
        <f t="shared" si="44"/>
        <v>0</v>
      </c>
      <c r="H419" s="238"/>
      <c r="I419" s="239"/>
      <c r="J419" s="238"/>
      <c r="K419" s="240"/>
      <c r="L419" s="238"/>
      <c r="M419" s="238"/>
      <c r="N419" s="238"/>
      <c r="O419" s="239"/>
      <c r="P419" s="239"/>
      <c r="Q419" s="240"/>
      <c r="R419" s="238"/>
      <c r="S419" s="240"/>
      <c r="T419" s="236">
        <f t="shared" si="45"/>
        <v>0</v>
      </c>
      <c r="U419" s="237">
        <f t="shared" si="46"/>
        <v>0</v>
      </c>
      <c r="V419" s="238"/>
      <c r="W419" s="239"/>
      <c r="X419" s="241"/>
      <c r="Y419" s="240"/>
      <c r="Z419" s="238"/>
      <c r="AA419" s="238"/>
      <c r="AB419" s="238"/>
      <c r="AC419" s="239"/>
      <c r="AD419" s="239"/>
      <c r="AE419" s="240"/>
      <c r="AF419" s="238"/>
      <c r="AG419" s="239"/>
    </row>
    <row r="420" spans="1:33" x14ac:dyDescent="0.2">
      <c r="A420" s="495" t="s">
        <v>51</v>
      </c>
      <c r="B420" s="448" t="s">
        <v>651</v>
      </c>
      <c r="C420" s="456"/>
      <c r="D420" s="451">
        <v>219994</v>
      </c>
      <c r="E420" s="457">
        <v>13</v>
      </c>
      <c r="F420" s="235">
        <f t="shared" si="43"/>
        <v>0</v>
      </c>
      <c r="G420" s="234">
        <f t="shared" si="44"/>
        <v>0</v>
      </c>
      <c r="H420" s="238"/>
      <c r="I420" s="239"/>
      <c r="J420" s="238"/>
      <c r="K420" s="240"/>
      <c r="L420" s="238"/>
      <c r="M420" s="238"/>
      <c r="N420" s="238"/>
      <c r="O420" s="239"/>
      <c r="P420" s="239"/>
      <c r="Q420" s="240"/>
      <c r="R420" s="238"/>
      <c r="S420" s="240"/>
      <c r="T420" s="236">
        <f t="shared" si="45"/>
        <v>0</v>
      </c>
      <c r="U420" s="237">
        <f t="shared" si="46"/>
        <v>0</v>
      </c>
      <c r="V420" s="238"/>
      <c r="W420" s="239"/>
      <c r="X420" s="241"/>
      <c r="Y420" s="240"/>
      <c r="Z420" s="238"/>
      <c r="AA420" s="238"/>
      <c r="AB420" s="238"/>
      <c r="AC420" s="239"/>
      <c r="AD420" s="239"/>
      <c r="AE420" s="240"/>
      <c r="AF420" s="238"/>
      <c r="AG420" s="239"/>
    </row>
    <row r="421" spans="1:33" x14ac:dyDescent="0.2">
      <c r="A421" s="495" t="s">
        <v>51</v>
      </c>
      <c r="B421" s="448" t="s">
        <v>652</v>
      </c>
      <c r="C421" s="456"/>
      <c r="D421" s="451">
        <v>220127</v>
      </c>
      <c r="E421" s="457">
        <v>13</v>
      </c>
      <c r="F421" s="235">
        <f t="shared" si="43"/>
        <v>0</v>
      </c>
      <c r="G421" s="234">
        <f t="shared" si="44"/>
        <v>0</v>
      </c>
      <c r="H421" s="238"/>
      <c r="I421" s="239"/>
      <c r="J421" s="238"/>
      <c r="K421" s="240"/>
      <c r="L421" s="238"/>
      <c r="M421" s="238"/>
      <c r="N421" s="238"/>
      <c r="O421" s="239"/>
      <c r="P421" s="239"/>
      <c r="Q421" s="240"/>
      <c r="R421" s="238"/>
      <c r="S421" s="240"/>
      <c r="T421" s="236">
        <f t="shared" si="45"/>
        <v>0</v>
      </c>
      <c r="U421" s="237">
        <f t="shared" si="46"/>
        <v>0</v>
      </c>
      <c r="V421" s="238"/>
      <c r="W421" s="239"/>
      <c r="X421" s="241"/>
      <c r="Y421" s="240"/>
      <c r="Z421" s="238"/>
      <c r="AA421" s="238"/>
      <c r="AB421" s="238"/>
      <c r="AC421" s="239"/>
      <c r="AD421" s="239"/>
      <c r="AE421" s="240"/>
      <c r="AF421" s="238"/>
      <c r="AG421" s="239"/>
    </row>
    <row r="422" spans="1:33" x14ac:dyDescent="0.2">
      <c r="A422" s="495" t="s">
        <v>51</v>
      </c>
      <c r="B422" s="448" t="s">
        <v>653</v>
      </c>
      <c r="C422" s="456"/>
      <c r="D422" s="451">
        <v>220251</v>
      </c>
      <c r="E422" s="457">
        <v>13</v>
      </c>
      <c r="F422" s="235">
        <f t="shared" si="43"/>
        <v>0</v>
      </c>
      <c r="G422" s="234">
        <f t="shared" si="44"/>
        <v>0</v>
      </c>
      <c r="H422" s="392"/>
      <c r="I422" s="407"/>
      <c r="J422" s="392"/>
      <c r="K422" s="408"/>
      <c r="L422" s="238"/>
      <c r="M422" s="392"/>
      <c r="N422" s="392"/>
      <c r="O422" s="407"/>
      <c r="P422" s="407"/>
      <c r="Q422" s="408"/>
      <c r="R422" s="392"/>
      <c r="S422" s="408"/>
      <c r="T422" s="236">
        <f t="shared" si="45"/>
        <v>0</v>
      </c>
      <c r="U422" s="237">
        <f t="shared" si="46"/>
        <v>0</v>
      </c>
      <c r="V422" s="392"/>
      <c r="W422" s="407"/>
      <c r="X422" s="394"/>
      <c r="Y422" s="408"/>
      <c r="Z422" s="392"/>
      <c r="AA422" s="392"/>
      <c r="AB422" s="392"/>
      <c r="AC422" s="407"/>
      <c r="AD422" s="407"/>
      <c r="AE422" s="408"/>
      <c r="AF422" s="392"/>
      <c r="AG422" s="407"/>
    </row>
    <row r="423" spans="1:33" x14ac:dyDescent="0.2">
      <c r="A423" s="495" t="s">
        <v>51</v>
      </c>
      <c r="B423" s="448" t="s">
        <v>654</v>
      </c>
      <c r="C423" s="456"/>
      <c r="D423" s="451">
        <v>220279</v>
      </c>
      <c r="E423" s="457">
        <v>13</v>
      </c>
      <c r="F423" s="235">
        <f t="shared" si="43"/>
        <v>0</v>
      </c>
      <c r="G423" s="234">
        <f t="shared" si="44"/>
        <v>0</v>
      </c>
      <c r="H423" s="238"/>
      <c r="I423" s="239"/>
      <c r="J423" s="238"/>
      <c r="K423" s="240"/>
      <c r="L423" s="238"/>
      <c r="M423" s="238"/>
      <c r="N423" s="238"/>
      <c r="O423" s="239"/>
      <c r="P423" s="239"/>
      <c r="Q423" s="240"/>
      <c r="R423" s="238"/>
      <c r="S423" s="240"/>
      <c r="T423" s="236">
        <f t="shared" si="45"/>
        <v>0</v>
      </c>
      <c r="U423" s="237">
        <f t="shared" si="46"/>
        <v>0</v>
      </c>
      <c r="V423" s="238"/>
      <c r="W423" s="239"/>
      <c r="X423" s="241"/>
      <c r="Y423" s="240"/>
      <c r="Z423" s="238"/>
      <c r="AA423" s="238"/>
      <c r="AB423" s="238"/>
      <c r="AC423" s="239"/>
      <c r="AD423" s="239"/>
      <c r="AE423" s="240"/>
      <c r="AF423" s="238"/>
      <c r="AG423" s="239"/>
    </row>
    <row r="424" spans="1:33" x14ac:dyDescent="0.2">
      <c r="A424" s="495" t="s">
        <v>51</v>
      </c>
      <c r="B424" s="448" t="s">
        <v>655</v>
      </c>
      <c r="C424" s="456"/>
      <c r="D424" s="451">
        <v>220321</v>
      </c>
      <c r="E424" s="457">
        <v>13</v>
      </c>
      <c r="F424" s="235">
        <f t="shared" si="43"/>
        <v>0</v>
      </c>
      <c r="G424" s="234">
        <f t="shared" si="44"/>
        <v>0</v>
      </c>
      <c r="H424" s="238"/>
      <c r="I424" s="239"/>
      <c r="J424" s="238"/>
      <c r="K424" s="240"/>
      <c r="L424" s="238"/>
      <c r="M424" s="238"/>
      <c r="N424" s="238"/>
      <c r="O424" s="239"/>
      <c r="P424" s="239"/>
      <c r="Q424" s="240"/>
      <c r="R424" s="238"/>
      <c r="S424" s="240"/>
      <c r="T424" s="236">
        <f t="shared" si="45"/>
        <v>0</v>
      </c>
      <c r="U424" s="237">
        <f t="shared" si="46"/>
        <v>0</v>
      </c>
      <c r="V424" s="238"/>
      <c r="W424" s="239"/>
      <c r="X424" s="241"/>
      <c r="Y424" s="240"/>
      <c r="Z424" s="238"/>
      <c r="AA424" s="238"/>
      <c r="AB424" s="238"/>
      <c r="AC424" s="239"/>
      <c r="AD424" s="239"/>
      <c r="AE424" s="240"/>
      <c r="AF424" s="238"/>
      <c r="AG424" s="239"/>
    </row>
    <row r="425" spans="1:33" x14ac:dyDescent="0.2">
      <c r="A425" s="495" t="s">
        <v>51</v>
      </c>
      <c r="B425" s="448" t="s">
        <v>656</v>
      </c>
      <c r="C425" s="456"/>
      <c r="D425" s="451">
        <v>220394</v>
      </c>
      <c r="E425" s="457">
        <v>13</v>
      </c>
      <c r="F425" s="235">
        <f t="shared" si="43"/>
        <v>0</v>
      </c>
      <c r="G425" s="234">
        <f t="shared" si="44"/>
        <v>0</v>
      </c>
      <c r="H425" s="238"/>
      <c r="I425" s="239"/>
      <c r="J425" s="238"/>
      <c r="K425" s="240"/>
      <c r="L425" s="238"/>
      <c r="M425" s="238"/>
      <c r="N425" s="238"/>
      <c r="O425" s="239"/>
      <c r="P425" s="239"/>
      <c r="Q425" s="240"/>
      <c r="R425" s="238"/>
      <c r="S425" s="240"/>
      <c r="T425" s="236">
        <f t="shared" si="45"/>
        <v>0</v>
      </c>
      <c r="U425" s="237">
        <f t="shared" si="46"/>
        <v>0</v>
      </c>
      <c r="V425" s="238"/>
      <c r="W425" s="239"/>
      <c r="X425" s="241"/>
      <c r="Y425" s="240"/>
      <c r="Z425" s="238"/>
      <c r="AA425" s="238"/>
      <c r="AB425" s="238"/>
      <c r="AC425" s="239"/>
      <c r="AD425" s="239"/>
      <c r="AE425" s="240"/>
      <c r="AF425" s="238"/>
      <c r="AG425" s="239"/>
    </row>
    <row r="426" spans="1:33" x14ac:dyDescent="0.2">
      <c r="A426" s="495" t="s">
        <v>51</v>
      </c>
      <c r="B426" s="448" t="s">
        <v>657</v>
      </c>
      <c r="C426" s="456"/>
      <c r="D426" s="451">
        <v>221616</v>
      </c>
      <c r="E426" s="457">
        <v>13</v>
      </c>
      <c r="F426" s="235">
        <f t="shared" si="43"/>
        <v>0</v>
      </c>
      <c r="G426" s="234">
        <f t="shared" si="44"/>
        <v>0</v>
      </c>
      <c r="H426" s="238"/>
      <c r="I426" s="239"/>
      <c r="J426" s="238"/>
      <c r="K426" s="240"/>
      <c r="L426" s="238"/>
      <c r="M426" s="238"/>
      <c r="N426" s="238"/>
      <c r="O426" s="239"/>
      <c r="P426" s="239"/>
      <c r="Q426" s="240"/>
      <c r="R426" s="238"/>
      <c r="S426" s="240"/>
      <c r="T426" s="236">
        <f t="shared" si="45"/>
        <v>0</v>
      </c>
      <c r="U426" s="237">
        <f t="shared" si="46"/>
        <v>0</v>
      </c>
      <c r="V426" s="238"/>
      <c r="W426" s="239"/>
      <c r="X426" s="241"/>
      <c r="Y426" s="240"/>
      <c r="Z426" s="238"/>
      <c r="AA426" s="238"/>
      <c r="AB426" s="238"/>
      <c r="AC426" s="239"/>
      <c r="AD426" s="239"/>
      <c r="AE426" s="240"/>
      <c r="AF426" s="238"/>
      <c r="AG426" s="239"/>
    </row>
    <row r="427" spans="1:33" x14ac:dyDescent="0.2">
      <c r="A427" s="495" t="s">
        <v>51</v>
      </c>
      <c r="B427" s="448" t="s">
        <v>658</v>
      </c>
      <c r="C427" s="456"/>
      <c r="D427" s="451">
        <v>221625</v>
      </c>
      <c r="E427" s="457">
        <v>13</v>
      </c>
      <c r="F427" s="235">
        <f t="shared" si="43"/>
        <v>0</v>
      </c>
      <c r="G427" s="234">
        <f t="shared" si="44"/>
        <v>0</v>
      </c>
      <c r="H427" s="238"/>
      <c r="I427" s="239"/>
      <c r="J427" s="238"/>
      <c r="K427" s="240"/>
      <c r="L427" s="238"/>
      <c r="M427" s="238"/>
      <c r="N427" s="238"/>
      <c r="O427" s="239"/>
      <c r="P427" s="239"/>
      <c r="Q427" s="240"/>
      <c r="R427" s="238"/>
      <c r="S427" s="240"/>
      <c r="T427" s="236">
        <f t="shared" si="45"/>
        <v>0</v>
      </c>
      <c r="U427" s="237">
        <f t="shared" si="46"/>
        <v>0</v>
      </c>
      <c r="V427" s="238"/>
      <c r="W427" s="239"/>
      <c r="X427" s="241"/>
      <c r="Y427" s="240"/>
      <c r="Z427" s="238"/>
      <c r="AA427" s="238"/>
      <c r="AB427" s="238"/>
      <c r="AC427" s="239"/>
      <c r="AD427" s="239"/>
      <c r="AE427" s="240"/>
      <c r="AF427" s="238"/>
      <c r="AG427" s="239"/>
    </row>
    <row r="428" spans="1:33" x14ac:dyDescent="0.2">
      <c r="A428" s="495" t="s">
        <v>51</v>
      </c>
      <c r="B428" s="448" t="s">
        <v>659</v>
      </c>
      <c r="C428" s="456"/>
      <c r="D428" s="451">
        <v>220640</v>
      </c>
      <c r="E428" s="457">
        <v>13</v>
      </c>
      <c r="F428" s="235">
        <f t="shared" si="43"/>
        <v>0</v>
      </c>
      <c r="G428" s="234">
        <f t="shared" si="44"/>
        <v>0</v>
      </c>
      <c r="H428" s="238"/>
      <c r="I428" s="239"/>
      <c r="J428" s="238"/>
      <c r="K428" s="240"/>
      <c r="L428" s="238"/>
      <c r="M428" s="238"/>
      <c r="N428" s="238"/>
      <c r="O428" s="239"/>
      <c r="P428" s="239"/>
      <c r="Q428" s="240"/>
      <c r="R428" s="238"/>
      <c r="S428" s="240"/>
      <c r="T428" s="236">
        <f t="shared" si="45"/>
        <v>0</v>
      </c>
      <c r="U428" s="237">
        <f t="shared" si="46"/>
        <v>0</v>
      </c>
      <c r="V428" s="238"/>
      <c r="W428" s="239"/>
      <c r="X428" s="241"/>
      <c r="Y428" s="240"/>
      <c r="Z428" s="238"/>
      <c r="AA428" s="238"/>
      <c r="AB428" s="238"/>
      <c r="AC428" s="239"/>
      <c r="AD428" s="239"/>
      <c r="AE428" s="240"/>
      <c r="AF428" s="238"/>
      <c r="AG428" s="239"/>
    </row>
    <row r="429" spans="1:33" x14ac:dyDescent="0.2">
      <c r="A429" s="495" t="s">
        <v>51</v>
      </c>
      <c r="B429" s="448" t="s">
        <v>660</v>
      </c>
      <c r="C429" s="456"/>
      <c r="D429" s="451">
        <v>220756</v>
      </c>
      <c r="E429" s="457">
        <v>13</v>
      </c>
      <c r="F429" s="235">
        <f t="shared" si="43"/>
        <v>0</v>
      </c>
      <c r="G429" s="234">
        <f t="shared" si="44"/>
        <v>0</v>
      </c>
      <c r="H429" s="238"/>
      <c r="I429" s="239"/>
      <c r="J429" s="238"/>
      <c r="K429" s="240"/>
      <c r="L429" s="238"/>
      <c r="M429" s="238"/>
      <c r="N429" s="238"/>
      <c r="O429" s="239"/>
      <c r="P429" s="239"/>
      <c r="Q429" s="240"/>
      <c r="R429" s="238"/>
      <c r="S429" s="240"/>
      <c r="T429" s="236">
        <f t="shared" si="45"/>
        <v>0</v>
      </c>
      <c r="U429" s="237">
        <f t="shared" si="46"/>
        <v>0</v>
      </c>
      <c r="V429" s="238"/>
      <c r="W429" s="239"/>
      <c r="X429" s="241"/>
      <c r="Y429" s="240"/>
      <c r="Z429" s="238"/>
      <c r="AA429" s="238"/>
      <c r="AB429" s="238"/>
      <c r="AC429" s="239"/>
      <c r="AD429" s="239"/>
      <c r="AE429" s="240"/>
      <c r="AF429" s="238"/>
      <c r="AG429" s="239"/>
    </row>
    <row r="430" spans="1:33" x14ac:dyDescent="0.2">
      <c r="A430" s="495" t="s">
        <v>51</v>
      </c>
      <c r="B430" s="448" t="s">
        <v>661</v>
      </c>
      <c r="C430" s="456"/>
      <c r="D430" s="451">
        <v>221607</v>
      </c>
      <c r="E430" s="457">
        <v>13</v>
      </c>
      <c r="F430" s="235">
        <f t="shared" si="43"/>
        <v>0</v>
      </c>
      <c r="G430" s="234">
        <f t="shared" si="44"/>
        <v>0</v>
      </c>
      <c r="H430" s="238"/>
      <c r="I430" s="239"/>
      <c r="J430" s="238"/>
      <c r="K430" s="240"/>
      <c r="L430" s="238"/>
      <c r="M430" s="238"/>
      <c r="N430" s="238"/>
      <c r="O430" s="239"/>
      <c r="P430" s="239"/>
      <c r="Q430" s="240"/>
      <c r="R430" s="238"/>
      <c r="S430" s="240"/>
      <c r="T430" s="236">
        <f t="shared" si="45"/>
        <v>0</v>
      </c>
      <c r="U430" s="237">
        <f t="shared" si="46"/>
        <v>0</v>
      </c>
      <c r="V430" s="238"/>
      <c r="W430" s="239"/>
      <c r="X430" s="241"/>
      <c r="Y430" s="240"/>
      <c r="Z430" s="238"/>
      <c r="AA430" s="238"/>
      <c r="AB430" s="238"/>
      <c r="AC430" s="239"/>
      <c r="AD430" s="239"/>
      <c r="AE430" s="240"/>
      <c r="AF430" s="238"/>
      <c r="AG430" s="239"/>
    </row>
    <row r="431" spans="1:33" x14ac:dyDescent="0.2">
      <c r="A431" s="495" t="s">
        <v>51</v>
      </c>
      <c r="B431" s="448" t="s">
        <v>662</v>
      </c>
      <c r="C431" s="453"/>
      <c r="D431" s="451">
        <v>220853</v>
      </c>
      <c r="E431" s="457">
        <v>13</v>
      </c>
      <c r="F431" s="235">
        <f t="shared" si="43"/>
        <v>0</v>
      </c>
      <c r="G431" s="234">
        <f t="shared" si="44"/>
        <v>0</v>
      </c>
      <c r="H431" s="238"/>
      <c r="I431" s="239"/>
      <c r="J431" s="238"/>
      <c r="K431" s="240"/>
      <c r="L431" s="238"/>
      <c r="M431" s="238"/>
      <c r="N431" s="238"/>
      <c r="O431" s="239"/>
      <c r="P431" s="239"/>
      <c r="Q431" s="240"/>
      <c r="R431" s="238"/>
      <c r="S431" s="240"/>
      <c r="T431" s="236">
        <f t="shared" si="45"/>
        <v>0</v>
      </c>
      <c r="U431" s="237">
        <f t="shared" si="46"/>
        <v>0</v>
      </c>
      <c r="V431" s="238"/>
      <c r="W431" s="239"/>
      <c r="X431" s="241"/>
      <c r="Y431" s="240"/>
      <c r="Z431" s="238"/>
      <c r="AA431" s="238"/>
      <c r="AB431" s="238"/>
      <c r="AC431" s="239"/>
      <c r="AD431" s="239"/>
      <c r="AE431" s="240"/>
      <c r="AF431" s="238"/>
      <c r="AG431" s="239"/>
    </row>
    <row r="432" spans="1:33" x14ac:dyDescent="0.2">
      <c r="A432" s="495" t="s">
        <v>51</v>
      </c>
      <c r="B432" s="448" t="s">
        <v>663</v>
      </c>
      <c r="C432" s="456"/>
      <c r="D432" s="451">
        <v>221050</v>
      </c>
      <c r="E432" s="457">
        <v>13</v>
      </c>
      <c r="F432" s="235">
        <f t="shared" si="43"/>
        <v>0</v>
      </c>
      <c r="G432" s="234">
        <f t="shared" si="44"/>
        <v>0</v>
      </c>
      <c r="H432" s="238"/>
      <c r="I432" s="239"/>
      <c r="J432" s="238"/>
      <c r="K432" s="240"/>
      <c r="L432" s="238"/>
      <c r="M432" s="238"/>
      <c r="N432" s="238"/>
      <c r="O432" s="239"/>
      <c r="P432" s="239"/>
      <c r="Q432" s="240"/>
      <c r="R432" s="238"/>
      <c r="S432" s="240"/>
      <c r="T432" s="236">
        <f t="shared" si="45"/>
        <v>0</v>
      </c>
      <c r="U432" s="237">
        <f t="shared" si="46"/>
        <v>0</v>
      </c>
      <c r="V432" s="238"/>
      <c r="W432" s="239"/>
      <c r="X432" s="241"/>
      <c r="Y432" s="240"/>
      <c r="Z432" s="238"/>
      <c r="AA432" s="238"/>
      <c r="AB432" s="238"/>
      <c r="AC432" s="239"/>
      <c r="AD432" s="239"/>
      <c r="AE432" s="240"/>
      <c r="AF432" s="238"/>
      <c r="AG432" s="239"/>
    </row>
    <row r="433" spans="1:33" x14ac:dyDescent="0.2">
      <c r="A433" s="447" t="s">
        <v>51</v>
      </c>
      <c r="B433" s="448" t="s">
        <v>664</v>
      </c>
      <c r="C433" s="456"/>
      <c r="D433" s="451">
        <v>221102</v>
      </c>
      <c r="E433" s="457">
        <v>13</v>
      </c>
      <c r="F433" s="235">
        <f t="shared" si="43"/>
        <v>0</v>
      </c>
      <c r="G433" s="234">
        <f t="shared" si="44"/>
        <v>0</v>
      </c>
      <c r="H433" s="238"/>
      <c r="I433" s="239"/>
      <c r="J433" s="238"/>
      <c r="K433" s="426"/>
      <c r="L433" s="238"/>
      <c r="M433" s="238"/>
      <c r="N433" s="238"/>
      <c r="O433" s="239"/>
      <c r="P433" s="239"/>
      <c r="Q433" s="240"/>
      <c r="R433" s="238"/>
      <c r="S433" s="240"/>
      <c r="T433" s="236">
        <f t="shared" si="45"/>
        <v>0</v>
      </c>
      <c r="U433" s="237">
        <f t="shared" si="46"/>
        <v>0</v>
      </c>
      <c r="V433" s="238"/>
      <c r="W433" s="240"/>
      <c r="X433" s="241"/>
      <c r="Y433" s="426"/>
      <c r="Z433" s="238"/>
      <c r="AA433" s="238"/>
      <c r="AB433" s="238"/>
      <c r="AC433" s="239"/>
      <c r="AD433" s="239"/>
      <c r="AE433" s="522"/>
      <c r="AF433" s="238"/>
      <c r="AG433" s="239"/>
    </row>
    <row r="434" spans="1:33" x14ac:dyDescent="0.2">
      <c r="A434" s="447" t="s">
        <v>51</v>
      </c>
      <c r="B434" s="448" t="s">
        <v>665</v>
      </c>
      <c r="C434" s="453"/>
      <c r="D434" s="451">
        <v>248925</v>
      </c>
      <c r="E434" s="457">
        <v>13</v>
      </c>
      <c r="F434" s="235">
        <f t="shared" si="43"/>
        <v>0</v>
      </c>
      <c r="G434" s="234">
        <f t="shared" si="44"/>
        <v>0</v>
      </c>
      <c r="H434" s="238"/>
      <c r="I434" s="239"/>
      <c r="J434" s="238"/>
      <c r="K434" s="426"/>
      <c r="L434" s="238"/>
      <c r="M434" s="238"/>
      <c r="N434" s="238"/>
      <c r="O434" s="239"/>
      <c r="P434" s="239"/>
      <c r="Q434" s="240"/>
      <c r="R434" s="238"/>
      <c r="S434" s="240"/>
      <c r="T434" s="236">
        <f t="shared" si="45"/>
        <v>0</v>
      </c>
      <c r="U434" s="237">
        <f t="shared" si="46"/>
        <v>0</v>
      </c>
      <c r="V434" s="238"/>
      <c r="W434" s="240"/>
      <c r="X434" s="241"/>
      <c r="Y434" s="426"/>
      <c r="Z434" s="238"/>
      <c r="AA434" s="238"/>
      <c r="AB434" s="238"/>
      <c r="AC434" s="239"/>
      <c r="AD434" s="239"/>
      <c r="AE434" s="522"/>
      <c r="AF434" s="238"/>
      <c r="AG434" s="239"/>
    </row>
    <row r="435" spans="1:33" x14ac:dyDescent="0.2">
      <c r="A435" s="447" t="s">
        <v>51</v>
      </c>
      <c r="B435" s="448" t="s">
        <v>666</v>
      </c>
      <c r="C435" s="456"/>
      <c r="D435" s="451">
        <v>221236</v>
      </c>
      <c r="E435" s="457">
        <v>13</v>
      </c>
      <c r="F435" s="235">
        <f t="shared" si="43"/>
        <v>0</v>
      </c>
      <c r="G435" s="234">
        <f t="shared" si="44"/>
        <v>0</v>
      </c>
      <c r="H435" s="238"/>
      <c r="I435" s="239"/>
      <c r="J435" s="238"/>
      <c r="K435" s="426"/>
      <c r="L435" s="238"/>
      <c r="M435" s="238"/>
      <c r="N435" s="238"/>
      <c r="O435" s="239"/>
      <c r="P435" s="239"/>
      <c r="Q435" s="240"/>
      <c r="R435" s="238"/>
      <c r="S435" s="240"/>
      <c r="T435" s="236">
        <f t="shared" si="45"/>
        <v>0</v>
      </c>
      <c r="U435" s="237">
        <f t="shared" si="46"/>
        <v>0</v>
      </c>
      <c r="V435" s="238"/>
      <c r="W435" s="240"/>
      <c r="X435" s="241"/>
      <c r="Y435" s="426"/>
      <c r="Z435" s="238"/>
      <c r="AA435" s="238"/>
      <c r="AB435" s="238"/>
      <c r="AC435" s="239"/>
      <c r="AD435" s="239"/>
      <c r="AE435" s="522"/>
      <c r="AF435" s="238"/>
      <c r="AG435" s="239"/>
    </row>
    <row r="436" spans="1:33" x14ac:dyDescent="0.2">
      <c r="A436" s="447" t="s">
        <v>51</v>
      </c>
      <c r="B436" s="448" t="s">
        <v>667</v>
      </c>
      <c r="C436" s="456"/>
      <c r="D436" s="451">
        <v>221582</v>
      </c>
      <c r="E436" s="457">
        <v>13</v>
      </c>
      <c r="F436" s="235">
        <f t="shared" si="43"/>
        <v>0</v>
      </c>
      <c r="G436" s="234">
        <f t="shared" si="44"/>
        <v>0</v>
      </c>
      <c r="H436" s="238"/>
      <c r="I436" s="239"/>
      <c r="J436" s="238"/>
      <c r="K436" s="426"/>
      <c r="L436" s="238"/>
      <c r="M436" s="238"/>
      <c r="N436" s="238"/>
      <c r="O436" s="239"/>
      <c r="P436" s="239"/>
      <c r="Q436" s="240"/>
      <c r="R436" s="238"/>
      <c r="S436" s="240"/>
      <c r="T436" s="236">
        <f t="shared" si="45"/>
        <v>0</v>
      </c>
      <c r="U436" s="237">
        <f t="shared" si="46"/>
        <v>0</v>
      </c>
      <c r="V436" s="238"/>
      <c r="W436" s="240"/>
      <c r="X436" s="241"/>
      <c r="Y436" s="426"/>
      <c r="Z436" s="238"/>
      <c r="AA436" s="238"/>
      <c r="AB436" s="238"/>
      <c r="AC436" s="239"/>
      <c r="AD436" s="239"/>
      <c r="AE436" s="522"/>
      <c r="AF436" s="238"/>
      <c r="AG436" s="239"/>
    </row>
    <row r="437" spans="1:33" x14ac:dyDescent="0.2">
      <c r="A437" s="447" t="s">
        <v>51</v>
      </c>
      <c r="B437" s="448" t="s">
        <v>668</v>
      </c>
      <c r="C437" s="456"/>
      <c r="D437" s="451">
        <v>221281</v>
      </c>
      <c r="E437" s="457">
        <v>13</v>
      </c>
      <c r="F437" s="235">
        <f t="shared" si="43"/>
        <v>0</v>
      </c>
      <c r="G437" s="234">
        <f t="shared" si="44"/>
        <v>0</v>
      </c>
      <c r="H437" s="238"/>
      <c r="I437" s="239"/>
      <c r="J437" s="238"/>
      <c r="K437" s="426"/>
      <c r="L437" s="238"/>
      <c r="M437" s="238"/>
      <c r="N437" s="238"/>
      <c r="O437" s="239"/>
      <c r="P437" s="239"/>
      <c r="Q437" s="240"/>
      <c r="R437" s="238"/>
      <c r="S437" s="240"/>
      <c r="T437" s="236">
        <f t="shared" si="45"/>
        <v>0</v>
      </c>
      <c r="U437" s="237">
        <f t="shared" si="46"/>
        <v>0</v>
      </c>
      <c r="V437" s="238"/>
      <c r="W437" s="240"/>
      <c r="X437" s="241"/>
      <c r="Y437" s="426"/>
      <c r="Z437" s="238"/>
      <c r="AA437" s="238"/>
      <c r="AB437" s="238"/>
      <c r="AC437" s="239"/>
      <c r="AD437" s="239"/>
      <c r="AE437" s="522"/>
      <c r="AF437" s="238"/>
      <c r="AG437" s="239"/>
    </row>
    <row r="438" spans="1:33" x14ac:dyDescent="0.2">
      <c r="A438" s="447" t="s">
        <v>51</v>
      </c>
      <c r="B438" s="448" t="s">
        <v>669</v>
      </c>
      <c r="C438" s="456"/>
      <c r="D438" s="451">
        <v>221333</v>
      </c>
      <c r="E438" s="457">
        <v>13</v>
      </c>
      <c r="F438" s="235">
        <f t="shared" si="43"/>
        <v>0</v>
      </c>
      <c r="G438" s="234">
        <f t="shared" si="44"/>
        <v>0</v>
      </c>
      <c r="H438" s="238"/>
      <c r="I438" s="239"/>
      <c r="J438" s="238"/>
      <c r="K438" s="426"/>
      <c r="L438" s="238"/>
      <c r="M438" s="238"/>
      <c r="N438" s="238"/>
      <c r="O438" s="239"/>
      <c r="P438" s="239"/>
      <c r="Q438" s="240"/>
      <c r="R438" s="238"/>
      <c r="S438" s="240"/>
      <c r="T438" s="236">
        <f t="shared" si="45"/>
        <v>0</v>
      </c>
      <c r="U438" s="237">
        <f t="shared" si="46"/>
        <v>0</v>
      </c>
      <c r="V438" s="238"/>
      <c r="W438" s="240"/>
      <c r="X438" s="241"/>
      <c r="Y438" s="426"/>
      <c r="Z438" s="238"/>
      <c r="AA438" s="238"/>
      <c r="AB438" s="238"/>
      <c r="AC438" s="239"/>
      <c r="AD438" s="239"/>
      <c r="AE438" s="522"/>
      <c r="AF438" s="238"/>
      <c r="AG438" s="239"/>
    </row>
    <row r="439" spans="1:33" x14ac:dyDescent="0.2">
      <c r="A439" s="447" t="s">
        <v>51</v>
      </c>
      <c r="B439" s="448" t="s">
        <v>670</v>
      </c>
      <c r="C439" s="456"/>
      <c r="D439" s="451">
        <v>221388</v>
      </c>
      <c r="E439" s="457">
        <v>13</v>
      </c>
      <c r="F439" s="235">
        <f t="shared" si="43"/>
        <v>0</v>
      </c>
      <c r="G439" s="234">
        <f t="shared" si="44"/>
        <v>0</v>
      </c>
      <c r="H439" s="238"/>
      <c r="I439" s="239"/>
      <c r="J439" s="238"/>
      <c r="K439" s="426"/>
      <c r="L439" s="238"/>
      <c r="M439" s="238"/>
      <c r="N439" s="238"/>
      <c r="O439" s="239"/>
      <c r="P439" s="239"/>
      <c r="Q439" s="240"/>
      <c r="R439" s="238"/>
      <c r="S439" s="240"/>
      <c r="T439" s="236">
        <f t="shared" si="45"/>
        <v>0</v>
      </c>
      <c r="U439" s="237">
        <f t="shared" si="46"/>
        <v>0</v>
      </c>
      <c r="V439" s="238"/>
      <c r="W439" s="240"/>
      <c r="X439" s="241"/>
      <c r="Y439" s="426"/>
      <c r="Z439" s="238"/>
      <c r="AA439" s="238"/>
      <c r="AB439" s="238"/>
      <c r="AC439" s="239"/>
      <c r="AD439" s="239"/>
      <c r="AE439" s="522"/>
      <c r="AF439" s="238"/>
      <c r="AG439" s="239"/>
    </row>
    <row r="440" spans="1:33" x14ac:dyDescent="0.2">
      <c r="A440" s="447" t="s">
        <v>51</v>
      </c>
      <c r="B440" s="448" t="s">
        <v>671</v>
      </c>
      <c r="C440" s="456"/>
      <c r="D440" s="451">
        <v>221494</v>
      </c>
      <c r="E440" s="457">
        <v>13</v>
      </c>
      <c r="F440" s="235">
        <f t="shared" si="43"/>
        <v>0</v>
      </c>
      <c r="G440" s="234">
        <f t="shared" si="44"/>
        <v>0</v>
      </c>
      <c r="H440" s="238"/>
      <c r="I440" s="239"/>
      <c r="J440" s="238"/>
      <c r="K440" s="426"/>
      <c r="L440" s="238"/>
      <c r="M440" s="238"/>
      <c r="N440" s="238"/>
      <c r="O440" s="239"/>
      <c r="P440" s="239"/>
      <c r="Q440" s="240"/>
      <c r="R440" s="238"/>
      <c r="S440" s="240"/>
      <c r="T440" s="236">
        <f t="shared" si="45"/>
        <v>0</v>
      </c>
      <c r="U440" s="237">
        <f t="shared" si="46"/>
        <v>0</v>
      </c>
      <c r="V440" s="238"/>
      <c r="W440" s="240"/>
      <c r="X440" s="241"/>
      <c r="Y440" s="426"/>
      <c r="Z440" s="238"/>
      <c r="AA440" s="238"/>
      <c r="AB440" s="238"/>
      <c r="AC440" s="239"/>
      <c r="AD440" s="239"/>
      <c r="AE440" s="522"/>
      <c r="AF440" s="238"/>
      <c r="AG440" s="239"/>
    </row>
    <row r="441" spans="1:33" x14ac:dyDescent="0.2">
      <c r="A441" s="447" t="s">
        <v>51</v>
      </c>
      <c r="B441" s="448" t="s">
        <v>672</v>
      </c>
      <c r="C441" s="456"/>
      <c r="D441" s="451">
        <v>221634</v>
      </c>
      <c r="E441" s="457">
        <v>13</v>
      </c>
      <c r="F441" s="235">
        <f t="shared" si="43"/>
        <v>0</v>
      </c>
      <c r="G441" s="234">
        <f t="shared" si="44"/>
        <v>0</v>
      </c>
      <c r="H441" s="238"/>
      <c r="I441" s="239"/>
      <c r="J441" s="238"/>
      <c r="K441" s="426"/>
      <c r="L441" s="238"/>
      <c r="M441" s="238"/>
      <c r="N441" s="238"/>
      <c r="O441" s="239"/>
      <c r="P441" s="239"/>
      <c r="Q441" s="240"/>
      <c r="R441" s="238"/>
      <c r="S441" s="240"/>
      <c r="T441" s="236">
        <f t="shared" si="45"/>
        <v>0</v>
      </c>
      <c r="U441" s="237">
        <f t="shared" si="46"/>
        <v>0</v>
      </c>
      <c r="V441" s="238"/>
      <c r="W441" s="240"/>
      <c r="X441" s="241"/>
      <c r="Y441" s="426"/>
      <c r="Z441" s="238"/>
      <c r="AA441" s="238"/>
      <c r="AB441" s="238"/>
      <c r="AC441" s="239"/>
      <c r="AD441" s="239"/>
      <c r="AE441" s="522"/>
      <c r="AF441" s="238"/>
      <c r="AG441" s="239"/>
    </row>
    <row r="442" spans="1:33" x14ac:dyDescent="0.2">
      <c r="A442" s="365" t="s">
        <v>52</v>
      </c>
      <c r="B442" s="366" t="s">
        <v>353</v>
      </c>
      <c r="C442" s="367"/>
      <c r="D442" s="376">
        <v>228723</v>
      </c>
      <c r="E442" s="377">
        <v>1</v>
      </c>
      <c r="F442" s="235">
        <f t="shared" si="43"/>
        <v>1078649</v>
      </c>
      <c r="G442" s="234">
        <f t="shared" si="44"/>
        <v>1082908</v>
      </c>
      <c r="H442" s="238">
        <v>1025835</v>
      </c>
      <c r="I442" s="239">
        <v>1022798</v>
      </c>
      <c r="J442" s="238">
        <v>5542</v>
      </c>
      <c r="K442" s="426">
        <v>6127</v>
      </c>
      <c r="L442" s="238">
        <v>38262</v>
      </c>
      <c r="M442" s="238">
        <v>6</v>
      </c>
      <c r="N442" s="238">
        <v>9004</v>
      </c>
      <c r="O442" s="239">
        <v>45482</v>
      </c>
      <c r="P442" s="239">
        <v>0</v>
      </c>
      <c r="Q442" s="240">
        <v>8501</v>
      </c>
      <c r="R442" s="238"/>
      <c r="S442" s="240"/>
      <c r="T442" s="236">
        <f t="shared" si="45"/>
        <v>176496</v>
      </c>
      <c r="U442" s="237">
        <f t="shared" si="46"/>
        <v>179024</v>
      </c>
      <c r="V442" s="238">
        <v>155812</v>
      </c>
      <c r="W442" s="240">
        <v>156799</v>
      </c>
      <c r="X442" s="241">
        <v>3130</v>
      </c>
      <c r="Y442" s="426">
        <v>3612</v>
      </c>
      <c r="Z442" s="238">
        <v>13443</v>
      </c>
      <c r="AA442" s="238">
        <v>90</v>
      </c>
      <c r="AB442" s="238">
        <v>4021</v>
      </c>
      <c r="AC442" s="239">
        <v>14868</v>
      </c>
      <c r="AD442" s="239">
        <v>83</v>
      </c>
      <c r="AE442" s="522">
        <v>3662</v>
      </c>
      <c r="AF442" s="238"/>
      <c r="AG442" s="239"/>
    </row>
    <row r="443" spans="1:33" x14ac:dyDescent="0.2">
      <c r="A443" s="365" t="s">
        <v>52</v>
      </c>
      <c r="B443" s="366" t="s">
        <v>354</v>
      </c>
      <c r="C443" s="367"/>
      <c r="D443" s="376">
        <v>229115</v>
      </c>
      <c r="E443" s="377">
        <v>1</v>
      </c>
      <c r="F443" s="235">
        <f t="shared" si="43"/>
        <v>703553</v>
      </c>
      <c r="G443" s="234">
        <f t="shared" si="44"/>
        <v>715914</v>
      </c>
      <c r="H443" s="238">
        <v>661186</v>
      </c>
      <c r="I443" s="239">
        <v>654176</v>
      </c>
      <c r="J443" s="238">
        <v>7078</v>
      </c>
      <c r="K443" s="239">
        <v>7249</v>
      </c>
      <c r="L443" s="238">
        <v>35289</v>
      </c>
      <c r="M443" s="238">
        <v>0</v>
      </c>
      <c r="N443" s="238">
        <v>0</v>
      </c>
      <c r="O443" s="239">
        <v>53655</v>
      </c>
      <c r="P443" s="239">
        <v>834</v>
      </c>
      <c r="Q443" s="239">
        <v>0</v>
      </c>
      <c r="R443" s="238"/>
      <c r="S443" s="239"/>
      <c r="T443" s="236">
        <f t="shared" si="45"/>
        <v>120413</v>
      </c>
      <c r="U443" s="237">
        <f t="shared" si="46"/>
        <v>119346</v>
      </c>
      <c r="V443" s="238">
        <v>101055</v>
      </c>
      <c r="W443" s="239">
        <v>98723</v>
      </c>
      <c r="X443" s="241">
        <v>895</v>
      </c>
      <c r="Y443" s="239">
        <v>1488</v>
      </c>
      <c r="Z443" s="238">
        <v>18460</v>
      </c>
      <c r="AA443" s="238">
        <v>3</v>
      </c>
      <c r="AB443" s="238">
        <v>0</v>
      </c>
      <c r="AC443" s="239">
        <v>18763</v>
      </c>
      <c r="AD443" s="239">
        <v>372</v>
      </c>
      <c r="AE443" s="239">
        <v>0</v>
      </c>
      <c r="AF443" s="238"/>
      <c r="AG443" s="239"/>
    </row>
    <row r="444" spans="1:33" x14ac:dyDescent="0.2">
      <c r="A444" s="365" t="s">
        <v>52</v>
      </c>
      <c r="B444" s="366" t="s">
        <v>355</v>
      </c>
      <c r="C444" s="367"/>
      <c r="D444" s="376">
        <v>225511</v>
      </c>
      <c r="E444" s="377">
        <v>1</v>
      </c>
      <c r="F444" s="235">
        <f t="shared" si="43"/>
        <v>772875</v>
      </c>
      <c r="G444" s="234">
        <f t="shared" si="44"/>
        <v>792638</v>
      </c>
      <c r="H444" s="238">
        <v>618211</v>
      </c>
      <c r="I444" s="239">
        <v>618554</v>
      </c>
      <c r="J444" s="238">
        <v>5414</v>
      </c>
      <c r="K444" s="240">
        <v>9034</v>
      </c>
      <c r="L444" s="238">
        <v>149187</v>
      </c>
      <c r="M444" s="238">
        <v>63</v>
      </c>
      <c r="N444" s="238">
        <v>0</v>
      </c>
      <c r="O444" s="239">
        <v>164894</v>
      </c>
      <c r="P444" s="239">
        <v>156</v>
      </c>
      <c r="Q444" s="240">
        <v>0</v>
      </c>
      <c r="R444" s="238"/>
      <c r="S444" s="240"/>
      <c r="T444" s="236">
        <f t="shared" si="45"/>
        <v>179826</v>
      </c>
      <c r="U444" s="237">
        <f t="shared" si="46"/>
        <v>176842</v>
      </c>
      <c r="V444" s="238">
        <v>166963</v>
      </c>
      <c r="W444" s="239">
        <v>162316</v>
      </c>
      <c r="X444" s="241">
        <v>2502</v>
      </c>
      <c r="Y444" s="240">
        <v>4390</v>
      </c>
      <c r="Z444" s="238">
        <v>10328</v>
      </c>
      <c r="AA444" s="238">
        <v>33</v>
      </c>
      <c r="AB444" s="238">
        <v>0</v>
      </c>
      <c r="AC444" s="239">
        <v>10079</v>
      </c>
      <c r="AD444" s="239">
        <v>51</v>
      </c>
      <c r="AE444" s="240">
        <v>6</v>
      </c>
      <c r="AF444" s="238"/>
      <c r="AG444" s="239"/>
    </row>
    <row r="445" spans="1:33" x14ac:dyDescent="0.2">
      <c r="A445" s="365" t="s">
        <v>52</v>
      </c>
      <c r="B445" s="366" t="s">
        <v>356</v>
      </c>
      <c r="C445" s="367"/>
      <c r="D445" s="376">
        <v>227216</v>
      </c>
      <c r="E445" s="377">
        <v>1</v>
      </c>
      <c r="F445" s="235">
        <f t="shared" si="43"/>
        <v>749078</v>
      </c>
      <c r="G445" s="234">
        <f t="shared" si="44"/>
        <v>750979</v>
      </c>
      <c r="H445" s="238">
        <v>667307</v>
      </c>
      <c r="I445" s="239">
        <v>664246</v>
      </c>
      <c r="J445" s="238">
        <v>2708</v>
      </c>
      <c r="K445" s="240">
        <v>1941</v>
      </c>
      <c r="L445" s="238">
        <v>78991</v>
      </c>
      <c r="M445" s="238">
        <v>21</v>
      </c>
      <c r="N445" s="238">
        <v>51</v>
      </c>
      <c r="O445" s="239">
        <v>84669</v>
      </c>
      <c r="P445" s="239">
        <v>72</v>
      </c>
      <c r="Q445" s="240">
        <v>51</v>
      </c>
      <c r="R445" s="238"/>
      <c r="S445" s="240"/>
      <c r="T445" s="236">
        <f t="shared" si="45"/>
        <v>110081</v>
      </c>
      <c r="U445" s="237">
        <f t="shared" si="46"/>
        <v>103400</v>
      </c>
      <c r="V445" s="238">
        <v>73532</v>
      </c>
      <c r="W445" s="239">
        <v>71588</v>
      </c>
      <c r="X445" s="241">
        <v>2649</v>
      </c>
      <c r="Y445" s="240">
        <v>2286</v>
      </c>
      <c r="Z445" s="238">
        <v>33750</v>
      </c>
      <c r="AA445" s="238">
        <v>150</v>
      </c>
      <c r="AB445" s="238">
        <v>0</v>
      </c>
      <c r="AC445" s="239">
        <v>29277</v>
      </c>
      <c r="AD445" s="239">
        <v>249</v>
      </c>
      <c r="AE445" s="240">
        <v>0</v>
      </c>
      <c r="AF445" s="238"/>
      <c r="AG445" s="239"/>
    </row>
    <row r="446" spans="1:33" x14ac:dyDescent="0.2">
      <c r="A446" s="365" t="s">
        <v>52</v>
      </c>
      <c r="B446" s="366" t="s">
        <v>357</v>
      </c>
      <c r="C446" s="367"/>
      <c r="D446" s="376">
        <v>228769</v>
      </c>
      <c r="E446" s="377">
        <v>1</v>
      </c>
      <c r="F446" s="235">
        <f t="shared" si="43"/>
        <v>635226</v>
      </c>
      <c r="G446" s="234">
        <f t="shared" si="44"/>
        <v>630878</v>
      </c>
      <c r="H446" s="238">
        <v>494907</v>
      </c>
      <c r="I446" s="239">
        <v>486981</v>
      </c>
      <c r="J446" s="238">
        <v>1206</v>
      </c>
      <c r="K446" s="240">
        <v>522</v>
      </c>
      <c r="L446" s="238">
        <v>136397</v>
      </c>
      <c r="M446" s="238">
        <v>0</v>
      </c>
      <c r="N446" s="238">
        <v>2716</v>
      </c>
      <c r="O446" s="239">
        <v>142081</v>
      </c>
      <c r="P446" s="239">
        <v>0</v>
      </c>
      <c r="Q446" s="240">
        <v>1294</v>
      </c>
      <c r="R446" s="238"/>
      <c r="S446" s="240"/>
      <c r="T446" s="236">
        <f t="shared" si="45"/>
        <v>141161</v>
      </c>
      <c r="U446" s="237">
        <f t="shared" si="46"/>
        <v>135617</v>
      </c>
      <c r="V446" s="238">
        <v>84194</v>
      </c>
      <c r="W446" s="239">
        <v>81423</v>
      </c>
      <c r="X446" s="241">
        <v>13086</v>
      </c>
      <c r="Y446" s="240">
        <v>12754</v>
      </c>
      <c r="Z446" s="238">
        <v>43141</v>
      </c>
      <c r="AA446" s="238">
        <v>6</v>
      </c>
      <c r="AB446" s="238">
        <v>734</v>
      </c>
      <c r="AC446" s="239">
        <v>41440</v>
      </c>
      <c r="AD446" s="239">
        <v>0</v>
      </c>
      <c r="AE446" s="240">
        <v>0</v>
      </c>
      <c r="AF446" s="238"/>
      <c r="AG446" s="239"/>
    </row>
    <row r="447" spans="1:33" x14ac:dyDescent="0.2">
      <c r="A447" s="365" t="s">
        <v>52</v>
      </c>
      <c r="B447" s="366" t="s">
        <v>358</v>
      </c>
      <c r="C447" s="367"/>
      <c r="D447" s="376">
        <v>228778</v>
      </c>
      <c r="E447" s="377">
        <v>1</v>
      </c>
      <c r="F447" s="235">
        <f t="shared" si="43"/>
        <v>1044081</v>
      </c>
      <c r="G447" s="234">
        <f t="shared" si="44"/>
        <v>1073733</v>
      </c>
      <c r="H447" s="238">
        <v>1038847</v>
      </c>
      <c r="I447" s="239">
        <v>1059967</v>
      </c>
      <c r="J447" s="238">
        <v>5234</v>
      </c>
      <c r="K447" s="240">
        <v>4923</v>
      </c>
      <c r="L447" s="238">
        <v>0</v>
      </c>
      <c r="M447" s="238">
        <v>0</v>
      </c>
      <c r="N447" s="238">
        <v>0</v>
      </c>
      <c r="O447" s="239">
        <v>8774</v>
      </c>
      <c r="P447" s="239">
        <v>0</v>
      </c>
      <c r="Q447" s="240">
        <v>69</v>
      </c>
      <c r="R447" s="238"/>
      <c r="S447" s="240"/>
      <c r="T447" s="236">
        <f t="shared" si="45"/>
        <v>268775</v>
      </c>
      <c r="U447" s="237">
        <f t="shared" si="46"/>
        <v>262342</v>
      </c>
      <c r="V447" s="238">
        <v>268587</v>
      </c>
      <c r="W447" s="239">
        <v>258975</v>
      </c>
      <c r="X447" s="241">
        <v>188</v>
      </c>
      <c r="Y447" s="240">
        <v>148</v>
      </c>
      <c r="Z447" s="238">
        <v>0</v>
      </c>
      <c r="AA447" s="238">
        <v>0</v>
      </c>
      <c r="AB447" s="238">
        <v>0</v>
      </c>
      <c r="AC447" s="239">
        <v>1728</v>
      </c>
      <c r="AD447" s="239">
        <v>1113</v>
      </c>
      <c r="AE447" s="240">
        <v>378</v>
      </c>
      <c r="AF447" s="238"/>
      <c r="AG447" s="239"/>
    </row>
    <row r="448" spans="1:33" x14ac:dyDescent="0.2">
      <c r="A448" s="365" t="s">
        <v>52</v>
      </c>
      <c r="B448" s="366" t="s">
        <v>359</v>
      </c>
      <c r="C448" s="367"/>
      <c r="D448" s="376">
        <v>228787</v>
      </c>
      <c r="E448" s="377">
        <v>1</v>
      </c>
      <c r="F448" s="235">
        <f t="shared" si="43"/>
        <v>293125</v>
      </c>
      <c r="G448" s="234">
        <f t="shared" si="44"/>
        <v>315138</v>
      </c>
      <c r="H448" s="238">
        <v>279940</v>
      </c>
      <c r="I448" s="239">
        <v>299385</v>
      </c>
      <c r="J448" s="238">
        <v>1613</v>
      </c>
      <c r="K448" s="240">
        <v>1629</v>
      </c>
      <c r="L448" s="238">
        <v>11569</v>
      </c>
      <c r="M448" s="238">
        <v>3</v>
      </c>
      <c r="N448" s="238">
        <v>0</v>
      </c>
      <c r="O448" s="239">
        <v>14103</v>
      </c>
      <c r="P448" s="239">
        <v>21</v>
      </c>
      <c r="Q448" s="240">
        <v>0</v>
      </c>
      <c r="R448" s="238"/>
      <c r="S448" s="240"/>
      <c r="T448" s="236">
        <f t="shared" si="45"/>
        <v>120080</v>
      </c>
      <c r="U448" s="237">
        <f t="shared" si="46"/>
        <v>130574</v>
      </c>
      <c r="V448" s="238">
        <v>105652</v>
      </c>
      <c r="W448" s="239">
        <v>114482</v>
      </c>
      <c r="X448" s="241">
        <v>90</v>
      </c>
      <c r="Y448" s="240">
        <v>258</v>
      </c>
      <c r="Z448" s="238">
        <v>14338</v>
      </c>
      <c r="AA448" s="238">
        <v>0</v>
      </c>
      <c r="AB448" s="238">
        <v>0</v>
      </c>
      <c r="AC448" s="239">
        <v>15825</v>
      </c>
      <c r="AD448" s="239">
        <v>9</v>
      </c>
      <c r="AE448" s="240">
        <v>0</v>
      </c>
      <c r="AF448" s="238"/>
      <c r="AG448" s="239"/>
    </row>
    <row r="449" spans="1:33" x14ac:dyDescent="0.2">
      <c r="A449" s="365" t="s">
        <v>52</v>
      </c>
      <c r="B449" s="366" t="s">
        <v>360</v>
      </c>
      <c r="C449" s="367"/>
      <c r="D449" s="376">
        <v>229179</v>
      </c>
      <c r="E449" s="377">
        <v>2</v>
      </c>
      <c r="F449" s="235">
        <f t="shared" si="43"/>
        <v>221575</v>
      </c>
      <c r="G449" s="234">
        <f t="shared" si="44"/>
        <v>229008</v>
      </c>
      <c r="H449" s="238">
        <v>163845</v>
      </c>
      <c r="I449" s="239">
        <v>167604</v>
      </c>
      <c r="J449" s="238">
        <v>2569</v>
      </c>
      <c r="K449" s="240">
        <v>1878</v>
      </c>
      <c r="L449" s="238">
        <v>55101</v>
      </c>
      <c r="M449" s="238">
        <v>0</v>
      </c>
      <c r="N449" s="238">
        <v>60</v>
      </c>
      <c r="O449" s="239">
        <v>59457</v>
      </c>
      <c r="P449" s="239">
        <v>0</v>
      </c>
      <c r="Q449" s="240">
        <v>69</v>
      </c>
      <c r="R449" s="238"/>
      <c r="S449" s="240"/>
      <c r="T449" s="236">
        <f t="shared" si="45"/>
        <v>101023</v>
      </c>
      <c r="U449" s="237">
        <f t="shared" si="46"/>
        <v>97760</v>
      </c>
      <c r="V449" s="238">
        <v>50672</v>
      </c>
      <c r="W449" s="239">
        <v>50137</v>
      </c>
      <c r="X449" s="241">
        <v>549</v>
      </c>
      <c r="Y449" s="240">
        <v>495</v>
      </c>
      <c r="Z449" s="238">
        <v>49414</v>
      </c>
      <c r="AA449" s="238">
        <v>388</v>
      </c>
      <c r="AB449" s="238">
        <v>0</v>
      </c>
      <c r="AC449" s="239">
        <v>46671</v>
      </c>
      <c r="AD449" s="239">
        <v>457</v>
      </c>
      <c r="AE449" s="240">
        <v>0</v>
      </c>
      <c r="AF449" s="238"/>
      <c r="AG449" s="239"/>
    </row>
    <row r="450" spans="1:33" x14ac:dyDescent="0.2">
      <c r="A450" s="365" t="s">
        <v>52</v>
      </c>
      <c r="B450" s="366" t="s">
        <v>361</v>
      </c>
      <c r="C450" s="367"/>
      <c r="D450" s="376">
        <v>228796</v>
      </c>
      <c r="E450" s="377">
        <v>2</v>
      </c>
      <c r="F450" s="235">
        <f t="shared" si="43"/>
        <v>458406</v>
      </c>
      <c r="G450" s="234">
        <f t="shared" si="44"/>
        <v>458196</v>
      </c>
      <c r="H450" s="238">
        <v>411558</v>
      </c>
      <c r="I450" s="239">
        <v>398347</v>
      </c>
      <c r="J450" s="238">
        <v>5619</v>
      </c>
      <c r="K450" s="240">
        <v>3891</v>
      </c>
      <c r="L450" s="238">
        <v>41229</v>
      </c>
      <c r="M450" s="238">
        <v>0</v>
      </c>
      <c r="N450" s="238">
        <v>0</v>
      </c>
      <c r="O450" s="239">
        <v>55958</v>
      </c>
      <c r="P450" s="239">
        <v>0</v>
      </c>
      <c r="Q450" s="240">
        <v>0</v>
      </c>
      <c r="R450" s="238"/>
      <c r="S450" s="240"/>
      <c r="T450" s="236">
        <f t="shared" si="45"/>
        <v>60922</v>
      </c>
      <c r="U450" s="237">
        <f t="shared" si="46"/>
        <v>59369</v>
      </c>
      <c r="V450" s="238">
        <v>41754</v>
      </c>
      <c r="W450" s="239">
        <v>38470</v>
      </c>
      <c r="X450" s="241">
        <v>4181</v>
      </c>
      <c r="Y450" s="240">
        <v>3816</v>
      </c>
      <c r="Z450" s="238">
        <v>14987</v>
      </c>
      <c r="AA450" s="238">
        <v>0</v>
      </c>
      <c r="AB450" s="238">
        <v>0</v>
      </c>
      <c r="AC450" s="239">
        <v>17083</v>
      </c>
      <c r="AD450" s="239">
        <v>0</v>
      </c>
      <c r="AE450" s="240">
        <v>0</v>
      </c>
      <c r="AF450" s="238"/>
      <c r="AG450" s="239"/>
    </row>
    <row r="451" spans="1:33" x14ac:dyDescent="0.2">
      <c r="A451" s="365" t="s">
        <v>52</v>
      </c>
      <c r="B451" s="366" t="s">
        <v>362</v>
      </c>
      <c r="C451" s="367"/>
      <c r="D451" s="376">
        <v>229027</v>
      </c>
      <c r="E451" s="377">
        <v>2</v>
      </c>
      <c r="F451" s="235">
        <f t="shared" si="43"/>
        <v>652638</v>
      </c>
      <c r="G451" s="234">
        <f t="shared" si="44"/>
        <v>642888</v>
      </c>
      <c r="H451" s="238">
        <v>625696</v>
      </c>
      <c r="I451" s="239">
        <v>613398</v>
      </c>
      <c r="J451" s="238">
        <v>1740</v>
      </c>
      <c r="K451" s="240">
        <v>695</v>
      </c>
      <c r="L451" s="238">
        <v>19223</v>
      </c>
      <c r="M451" s="238">
        <v>5979</v>
      </c>
      <c r="N451" s="238">
        <v>0</v>
      </c>
      <c r="O451" s="239">
        <v>23164</v>
      </c>
      <c r="P451" s="239">
        <v>5331</v>
      </c>
      <c r="Q451" s="240">
        <v>300</v>
      </c>
      <c r="R451" s="238"/>
      <c r="S451" s="240"/>
      <c r="T451" s="236">
        <f t="shared" si="45"/>
        <v>69896</v>
      </c>
      <c r="U451" s="237">
        <f t="shared" si="46"/>
        <v>70971</v>
      </c>
      <c r="V451" s="238">
        <v>65474</v>
      </c>
      <c r="W451" s="239">
        <v>67006</v>
      </c>
      <c r="X451" s="241">
        <v>825</v>
      </c>
      <c r="Y451" s="240">
        <v>800</v>
      </c>
      <c r="Z451" s="238">
        <v>3495</v>
      </c>
      <c r="AA451" s="238">
        <v>102</v>
      </c>
      <c r="AB451" s="238">
        <v>0</v>
      </c>
      <c r="AC451" s="239">
        <v>3102</v>
      </c>
      <c r="AD451" s="239">
        <v>57</v>
      </c>
      <c r="AE451" s="240">
        <v>6</v>
      </c>
      <c r="AF451" s="238"/>
      <c r="AG451" s="239"/>
    </row>
    <row r="452" spans="1:33" x14ac:dyDescent="0.2">
      <c r="A452" s="365" t="s">
        <v>52</v>
      </c>
      <c r="B452" s="366" t="s">
        <v>363</v>
      </c>
      <c r="C452" s="367"/>
      <c r="D452" s="376">
        <v>222831</v>
      </c>
      <c r="E452" s="377">
        <v>3</v>
      </c>
      <c r="F452" s="235">
        <f t="shared" si="43"/>
        <v>152059</v>
      </c>
      <c r="G452" s="234">
        <f t="shared" si="44"/>
        <v>150251</v>
      </c>
      <c r="H452" s="238">
        <v>137821</v>
      </c>
      <c r="I452" s="239">
        <v>134362</v>
      </c>
      <c r="J452" s="238">
        <v>0</v>
      </c>
      <c r="K452" s="240">
        <v>0</v>
      </c>
      <c r="L452" s="238">
        <v>14238</v>
      </c>
      <c r="M452" s="238">
        <v>0</v>
      </c>
      <c r="N452" s="238">
        <v>0</v>
      </c>
      <c r="O452" s="239">
        <v>15886</v>
      </c>
      <c r="P452" s="239">
        <v>0</v>
      </c>
      <c r="Q452" s="240">
        <v>3</v>
      </c>
      <c r="R452" s="238"/>
      <c r="S452" s="240"/>
      <c r="T452" s="236">
        <f t="shared" si="45"/>
        <v>14688</v>
      </c>
      <c r="U452" s="237">
        <f t="shared" si="46"/>
        <v>15074</v>
      </c>
      <c r="V452" s="238">
        <v>5944</v>
      </c>
      <c r="W452" s="239">
        <v>7026</v>
      </c>
      <c r="X452" s="241">
        <v>0</v>
      </c>
      <c r="Y452" s="240">
        <v>0</v>
      </c>
      <c r="Z452" s="238">
        <v>8744</v>
      </c>
      <c r="AA452" s="238">
        <v>0</v>
      </c>
      <c r="AB452" s="238">
        <v>0</v>
      </c>
      <c r="AC452" s="239">
        <v>8048</v>
      </c>
      <c r="AD452" s="239">
        <v>0</v>
      </c>
      <c r="AE452" s="240">
        <v>0</v>
      </c>
      <c r="AF452" s="238"/>
      <c r="AG452" s="239"/>
    </row>
    <row r="453" spans="1:33" x14ac:dyDescent="0.2">
      <c r="A453" s="365" t="s">
        <v>52</v>
      </c>
      <c r="B453" s="366" t="s">
        <v>364</v>
      </c>
      <c r="C453" s="367"/>
      <c r="D453" s="376">
        <v>226091</v>
      </c>
      <c r="E453" s="377">
        <v>3</v>
      </c>
      <c r="F453" s="235">
        <f t="shared" si="43"/>
        <v>239775</v>
      </c>
      <c r="G453" s="234">
        <f t="shared" si="44"/>
        <v>234898</v>
      </c>
      <c r="H453" s="238">
        <v>197132</v>
      </c>
      <c r="I453" s="239">
        <v>185244</v>
      </c>
      <c r="J453" s="238">
        <v>4174</v>
      </c>
      <c r="K453" s="240">
        <v>3167</v>
      </c>
      <c r="L453" s="238">
        <v>37026</v>
      </c>
      <c r="M453" s="238">
        <v>1443</v>
      </c>
      <c r="N453" s="238">
        <v>0</v>
      </c>
      <c r="O453" s="239">
        <v>45580</v>
      </c>
      <c r="P453" s="239">
        <v>907</v>
      </c>
      <c r="Q453" s="240">
        <v>0</v>
      </c>
      <c r="R453" s="238"/>
      <c r="S453" s="240"/>
      <c r="T453" s="236">
        <f t="shared" si="45"/>
        <v>78787</v>
      </c>
      <c r="U453" s="237">
        <f t="shared" si="46"/>
        <v>91833</v>
      </c>
      <c r="V453" s="238">
        <v>21774</v>
      </c>
      <c r="W453" s="239">
        <v>20089</v>
      </c>
      <c r="X453" s="241">
        <v>0</v>
      </c>
      <c r="Y453" s="240">
        <v>3</v>
      </c>
      <c r="Z453" s="238">
        <v>57013</v>
      </c>
      <c r="AA453" s="238">
        <v>0</v>
      </c>
      <c r="AB453" s="238">
        <v>0</v>
      </c>
      <c r="AC453" s="239">
        <v>71741</v>
      </c>
      <c r="AD453" s="239">
        <v>0</v>
      </c>
      <c r="AE453" s="240">
        <v>0</v>
      </c>
      <c r="AF453" s="238"/>
      <c r="AG453" s="239"/>
    </row>
    <row r="454" spans="1:33" x14ac:dyDescent="0.2">
      <c r="A454" s="365" t="s">
        <v>52</v>
      </c>
      <c r="B454" s="366" t="s">
        <v>365</v>
      </c>
      <c r="C454" s="367"/>
      <c r="D454" s="376">
        <v>226833</v>
      </c>
      <c r="E454" s="377">
        <v>3</v>
      </c>
      <c r="F454" s="235">
        <f t="shared" si="43"/>
        <v>138852</v>
      </c>
      <c r="G454" s="234">
        <f t="shared" si="44"/>
        <v>129920</v>
      </c>
      <c r="H454" s="238">
        <v>119912</v>
      </c>
      <c r="I454" s="239">
        <v>110256</v>
      </c>
      <c r="J454" s="238">
        <v>1433</v>
      </c>
      <c r="K454" s="240">
        <v>1542</v>
      </c>
      <c r="L454" s="238">
        <v>17507</v>
      </c>
      <c r="M454" s="238">
        <v>0</v>
      </c>
      <c r="N454" s="238">
        <v>0</v>
      </c>
      <c r="O454" s="239">
        <v>18122</v>
      </c>
      <c r="P454" s="239">
        <v>0</v>
      </c>
      <c r="Q454" s="240">
        <v>0</v>
      </c>
      <c r="R454" s="238"/>
      <c r="S454" s="240"/>
      <c r="T454" s="236">
        <f t="shared" si="45"/>
        <v>8449</v>
      </c>
      <c r="U454" s="237">
        <f t="shared" si="46"/>
        <v>8026</v>
      </c>
      <c r="V454" s="238">
        <v>5017</v>
      </c>
      <c r="W454" s="239">
        <v>4435</v>
      </c>
      <c r="X454" s="241">
        <v>45</v>
      </c>
      <c r="Y454" s="240">
        <v>48</v>
      </c>
      <c r="Z454" s="238">
        <v>3366</v>
      </c>
      <c r="AA454" s="238">
        <v>21</v>
      </c>
      <c r="AB454" s="238">
        <v>0</v>
      </c>
      <c r="AC454" s="239">
        <v>3543</v>
      </c>
      <c r="AD454" s="239">
        <v>0</v>
      </c>
      <c r="AE454" s="240">
        <v>0</v>
      </c>
      <c r="AF454" s="238"/>
      <c r="AG454" s="239"/>
    </row>
    <row r="455" spans="1:33" x14ac:dyDescent="0.2">
      <c r="A455" s="365" t="s">
        <v>52</v>
      </c>
      <c r="B455" s="366" t="s">
        <v>366</v>
      </c>
      <c r="C455" s="367"/>
      <c r="D455" s="376">
        <v>227526</v>
      </c>
      <c r="E455" s="377">
        <v>3</v>
      </c>
      <c r="F455" s="235">
        <f t="shared" si="43"/>
        <v>180915</v>
      </c>
      <c r="G455" s="234">
        <f t="shared" si="44"/>
        <v>183553</v>
      </c>
      <c r="H455" s="238">
        <v>179475</v>
      </c>
      <c r="I455" s="239">
        <v>168933</v>
      </c>
      <c r="J455" s="238">
        <v>12</v>
      </c>
      <c r="K455" s="240">
        <v>11280</v>
      </c>
      <c r="L455" s="238">
        <v>1428</v>
      </c>
      <c r="M455" s="238">
        <v>0</v>
      </c>
      <c r="N455" s="238">
        <v>0</v>
      </c>
      <c r="O455" s="239">
        <v>3297</v>
      </c>
      <c r="P455" s="239">
        <v>43</v>
      </c>
      <c r="Q455" s="240">
        <v>0</v>
      </c>
      <c r="R455" s="238"/>
      <c r="S455" s="240"/>
      <c r="T455" s="236">
        <f t="shared" si="45"/>
        <v>28054</v>
      </c>
      <c r="U455" s="237">
        <f t="shared" si="46"/>
        <v>26777</v>
      </c>
      <c r="V455" s="238">
        <v>20806</v>
      </c>
      <c r="W455" s="239">
        <v>10075</v>
      </c>
      <c r="X455" s="241">
        <v>2877</v>
      </c>
      <c r="Y455" s="240">
        <v>6664</v>
      </c>
      <c r="Z455" s="238">
        <v>4371</v>
      </c>
      <c r="AA455" s="238">
        <v>0</v>
      </c>
      <c r="AB455" s="238">
        <v>0</v>
      </c>
      <c r="AC455" s="239">
        <v>10038</v>
      </c>
      <c r="AD455" s="239">
        <v>0</v>
      </c>
      <c r="AE455" s="240">
        <v>0</v>
      </c>
      <c r="AF455" s="238"/>
      <c r="AG455" s="239"/>
    </row>
    <row r="456" spans="1:33" x14ac:dyDescent="0.2">
      <c r="A456" s="365" t="s">
        <v>52</v>
      </c>
      <c r="B456" s="366" t="s">
        <v>367</v>
      </c>
      <c r="C456" s="367"/>
      <c r="D456" s="376">
        <v>227881</v>
      </c>
      <c r="E456" s="377">
        <v>3</v>
      </c>
      <c r="F456" s="235">
        <f t="shared" si="43"/>
        <v>403910</v>
      </c>
      <c r="G456" s="234">
        <f t="shared" si="44"/>
        <v>408852</v>
      </c>
      <c r="H456" s="238">
        <v>360327</v>
      </c>
      <c r="I456" s="239">
        <v>372776</v>
      </c>
      <c r="J456" s="238">
        <v>11983</v>
      </c>
      <c r="K456" s="240">
        <v>6415</v>
      </c>
      <c r="L456" s="238">
        <v>31600</v>
      </c>
      <c r="M456" s="238">
        <v>0</v>
      </c>
      <c r="N456" s="238">
        <v>0</v>
      </c>
      <c r="O456" s="239">
        <v>29661</v>
      </c>
      <c r="P456" s="239">
        <v>0</v>
      </c>
      <c r="Q456" s="240">
        <v>0</v>
      </c>
      <c r="R456" s="238"/>
      <c r="S456" s="240"/>
      <c r="T456" s="236">
        <f t="shared" si="45"/>
        <v>43473</v>
      </c>
      <c r="U456" s="237">
        <f t="shared" si="46"/>
        <v>44828</v>
      </c>
      <c r="V456" s="238">
        <v>17604</v>
      </c>
      <c r="W456" s="239">
        <v>28462</v>
      </c>
      <c r="X456" s="241">
        <v>2529</v>
      </c>
      <c r="Y456" s="240">
        <v>918</v>
      </c>
      <c r="Z456" s="238">
        <v>23139</v>
      </c>
      <c r="AA456" s="238">
        <v>171</v>
      </c>
      <c r="AB456" s="238">
        <v>30</v>
      </c>
      <c r="AC456" s="239">
        <v>15388</v>
      </c>
      <c r="AD456" s="239">
        <v>60</v>
      </c>
      <c r="AE456" s="240">
        <v>0</v>
      </c>
      <c r="AF456" s="238"/>
      <c r="AG456" s="239"/>
    </row>
    <row r="457" spans="1:33" x14ac:dyDescent="0.2">
      <c r="A457" s="365" t="s">
        <v>52</v>
      </c>
      <c r="B457" s="366" t="s">
        <v>368</v>
      </c>
      <c r="C457" s="367"/>
      <c r="D457" s="376">
        <v>228431</v>
      </c>
      <c r="E457" s="377">
        <v>3</v>
      </c>
      <c r="F457" s="235">
        <f t="shared" si="43"/>
        <v>302536</v>
      </c>
      <c r="G457" s="234">
        <f t="shared" si="44"/>
        <v>302948</v>
      </c>
      <c r="H457" s="238">
        <v>260416</v>
      </c>
      <c r="I457" s="239">
        <v>257798</v>
      </c>
      <c r="J457" s="238">
        <v>1054</v>
      </c>
      <c r="K457" s="240">
        <v>1600</v>
      </c>
      <c r="L457" s="238">
        <v>36107</v>
      </c>
      <c r="M457" s="238">
        <v>201</v>
      </c>
      <c r="N457" s="238">
        <v>4758</v>
      </c>
      <c r="O457" s="239">
        <v>38390</v>
      </c>
      <c r="P457" s="239">
        <v>100</v>
      </c>
      <c r="Q457" s="240">
        <v>5060</v>
      </c>
      <c r="R457" s="238"/>
      <c r="S457" s="240"/>
      <c r="T457" s="236">
        <f t="shared" si="45"/>
        <v>24250</v>
      </c>
      <c r="U457" s="237">
        <f t="shared" si="46"/>
        <v>27074</v>
      </c>
      <c r="V457" s="238">
        <v>14908</v>
      </c>
      <c r="W457" s="239">
        <v>15384</v>
      </c>
      <c r="X457" s="241">
        <v>531</v>
      </c>
      <c r="Y457" s="240">
        <v>756</v>
      </c>
      <c r="Z457" s="238">
        <v>7681</v>
      </c>
      <c r="AA457" s="238">
        <v>217</v>
      </c>
      <c r="AB457" s="238">
        <v>913</v>
      </c>
      <c r="AC457" s="239">
        <v>9067</v>
      </c>
      <c r="AD457" s="239">
        <v>214</v>
      </c>
      <c r="AE457" s="240">
        <v>1653</v>
      </c>
      <c r="AF457" s="238"/>
      <c r="AG457" s="239"/>
    </row>
    <row r="458" spans="1:33" x14ac:dyDescent="0.2">
      <c r="A458" s="365" t="s">
        <v>52</v>
      </c>
      <c r="B458" s="366" t="s">
        <v>369</v>
      </c>
      <c r="C458" s="367"/>
      <c r="D458" s="379">
        <v>228501</v>
      </c>
      <c r="E458" s="368">
        <v>3</v>
      </c>
      <c r="F458" s="235">
        <f t="shared" si="43"/>
        <v>37837</v>
      </c>
      <c r="G458" s="234">
        <f t="shared" si="44"/>
        <v>34307</v>
      </c>
      <c r="H458" s="238">
        <v>32459</v>
      </c>
      <c r="I458" s="239">
        <v>28805</v>
      </c>
      <c r="J458" s="238">
        <v>3</v>
      </c>
      <c r="K458" s="240">
        <v>24</v>
      </c>
      <c r="L458" s="238">
        <v>4587</v>
      </c>
      <c r="M458" s="238">
        <v>788</v>
      </c>
      <c r="N458" s="238">
        <v>0</v>
      </c>
      <c r="O458" s="239">
        <v>4717</v>
      </c>
      <c r="P458" s="239">
        <v>761</v>
      </c>
      <c r="Q458" s="240">
        <v>0</v>
      </c>
      <c r="R458" s="238"/>
      <c r="S458" s="240"/>
      <c r="T458" s="236">
        <f t="shared" si="45"/>
        <v>8987</v>
      </c>
      <c r="U458" s="237">
        <f t="shared" si="46"/>
        <v>8745</v>
      </c>
      <c r="V458" s="238">
        <v>3227</v>
      </c>
      <c r="W458" s="239">
        <v>2724</v>
      </c>
      <c r="X458" s="241">
        <v>219</v>
      </c>
      <c r="Y458" s="240">
        <v>174</v>
      </c>
      <c r="Z458" s="238">
        <v>5112</v>
      </c>
      <c r="AA458" s="238">
        <v>429</v>
      </c>
      <c r="AB458" s="238">
        <v>0</v>
      </c>
      <c r="AC458" s="239">
        <v>5700</v>
      </c>
      <c r="AD458" s="239">
        <v>147</v>
      </c>
      <c r="AE458" s="240">
        <v>0</v>
      </c>
      <c r="AF458" s="238"/>
      <c r="AG458" s="239"/>
    </row>
    <row r="459" spans="1:33" x14ac:dyDescent="0.2">
      <c r="A459" s="365" t="s">
        <v>52</v>
      </c>
      <c r="B459" s="366" t="s">
        <v>370</v>
      </c>
      <c r="C459" s="367"/>
      <c r="D459" s="379">
        <v>228529</v>
      </c>
      <c r="E459" s="368">
        <v>3</v>
      </c>
      <c r="F459" s="235">
        <f t="shared" si="43"/>
        <v>211207</v>
      </c>
      <c r="G459" s="234">
        <f t="shared" si="44"/>
        <v>227527</v>
      </c>
      <c r="H459" s="238">
        <v>161134</v>
      </c>
      <c r="I459" s="239">
        <v>168374</v>
      </c>
      <c r="J459" s="238">
        <v>17911</v>
      </c>
      <c r="K459" s="240">
        <v>21132</v>
      </c>
      <c r="L459" s="238">
        <v>31670</v>
      </c>
      <c r="M459" s="238">
        <v>492</v>
      </c>
      <c r="N459" s="238">
        <v>0</v>
      </c>
      <c r="O459" s="239">
        <v>36896</v>
      </c>
      <c r="P459" s="239">
        <v>1125</v>
      </c>
      <c r="Q459" s="240">
        <v>0</v>
      </c>
      <c r="R459" s="238"/>
      <c r="S459" s="240"/>
      <c r="T459" s="236">
        <f t="shared" si="45"/>
        <v>22440</v>
      </c>
      <c r="U459" s="237">
        <f t="shared" si="46"/>
        <v>22172</v>
      </c>
      <c r="V459" s="238">
        <v>5089</v>
      </c>
      <c r="W459" s="239">
        <v>5135</v>
      </c>
      <c r="X459" s="241">
        <v>7802</v>
      </c>
      <c r="Y459" s="240">
        <v>6785</v>
      </c>
      <c r="Z459" s="238">
        <v>9529</v>
      </c>
      <c r="AA459" s="238">
        <v>20</v>
      </c>
      <c r="AB459" s="238">
        <v>0</v>
      </c>
      <c r="AC459" s="239">
        <v>10246</v>
      </c>
      <c r="AD459" s="239">
        <v>6</v>
      </c>
      <c r="AE459" s="240">
        <v>0</v>
      </c>
      <c r="AF459" s="238"/>
      <c r="AG459" s="239"/>
    </row>
    <row r="460" spans="1:33" x14ac:dyDescent="0.2">
      <c r="A460" s="365" t="s">
        <v>52</v>
      </c>
      <c r="B460" s="366" t="s">
        <v>371</v>
      </c>
      <c r="C460" s="367"/>
      <c r="D460" s="379">
        <v>226152</v>
      </c>
      <c r="E460" s="368">
        <v>3</v>
      </c>
      <c r="F460" s="235">
        <f t="shared" si="43"/>
        <v>140861</v>
      </c>
      <c r="G460" s="234">
        <f t="shared" si="44"/>
        <v>139409</v>
      </c>
      <c r="H460" s="238">
        <v>132551</v>
      </c>
      <c r="I460" s="239">
        <v>128948</v>
      </c>
      <c r="J460" s="238">
        <v>2516</v>
      </c>
      <c r="K460" s="240">
        <v>3945</v>
      </c>
      <c r="L460" s="238">
        <v>5716</v>
      </c>
      <c r="M460" s="238">
        <v>78</v>
      </c>
      <c r="N460" s="238">
        <v>0</v>
      </c>
      <c r="O460" s="239">
        <v>6105</v>
      </c>
      <c r="P460" s="239">
        <v>411</v>
      </c>
      <c r="Q460" s="240">
        <v>0</v>
      </c>
      <c r="R460" s="238"/>
      <c r="S460" s="240"/>
      <c r="T460" s="236">
        <f t="shared" si="45"/>
        <v>12661</v>
      </c>
      <c r="U460" s="237">
        <f t="shared" si="46"/>
        <v>10774</v>
      </c>
      <c r="V460" s="238">
        <v>9547</v>
      </c>
      <c r="W460" s="239">
        <v>8086</v>
      </c>
      <c r="X460" s="241">
        <v>18</v>
      </c>
      <c r="Y460" s="240">
        <v>3</v>
      </c>
      <c r="Z460" s="238">
        <v>3009</v>
      </c>
      <c r="AA460" s="238">
        <v>87</v>
      </c>
      <c r="AB460" s="238">
        <v>0</v>
      </c>
      <c r="AC460" s="239">
        <v>2646</v>
      </c>
      <c r="AD460" s="239">
        <v>39</v>
      </c>
      <c r="AE460" s="240">
        <v>0</v>
      </c>
      <c r="AF460" s="238"/>
      <c r="AG460" s="239"/>
    </row>
    <row r="461" spans="1:33" x14ac:dyDescent="0.2">
      <c r="A461" s="365" t="s">
        <v>52</v>
      </c>
      <c r="B461" s="366" t="s">
        <v>372</v>
      </c>
      <c r="C461" s="367"/>
      <c r="D461" s="379">
        <v>224554</v>
      </c>
      <c r="E461" s="368">
        <v>3</v>
      </c>
      <c r="F461" s="235">
        <f t="shared" si="43"/>
        <v>164243</v>
      </c>
      <c r="G461" s="234">
        <f t="shared" si="44"/>
        <v>164448</v>
      </c>
      <c r="H461" s="238">
        <v>103847</v>
      </c>
      <c r="I461" s="239">
        <v>104170</v>
      </c>
      <c r="J461" s="238">
        <v>16428</v>
      </c>
      <c r="K461" s="240">
        <v>14722</v>
      </c>
      <c r="L461" s="238">
        <v>43545</v>
      </c>
      <c r="M461" s="238">
        <v>423</v>
      </c>
      <c r="N461" s="238">
        <v>0</v>
      </c>
      <c r="O461" s="239">
        <v>45094</v>
      </c>
      <c r="P461" s="239">
        <v>462</v>
      </c>
      <c r="Q461" s="240">
        <v>0</v>
      </c>
      <c r="R461" s="238"/>
      <c r="S461" s="240"/>
      <c r="T461" s="236">
        <f t="shared" si="45"/>
        <v>70252</v>
      </c>
      <c r="U461" s="237">
        <f t="shared" si="46"/>
        <v>75035</v>
      </c>
      <c r="V461" s="238">
        <v>18731</v>
      </c>
      <c r="W461" s="239">
        <v>14827</v>
      </c>
      <c r="X461" s="241">
        <v>15180</v>
      </c>
      <c r="Y461" s="240">
        <v>13088</v>
      </c>
      <c r="Z461" s="238">
        <v>35921</v>
      </c>
      <c r="AA461" s="238">
        <v>420</v>
      </c>
      <c r="AB461" s="238">
        <v>0</v>
      </c>
      <c r="AC461" s="239">
        <v>46751</v>
      </c>
      <c r="AD461" s="239">
        <v>369</v>
      </c>
      <c r="AE461" s="240">
        <v>0</v>
      </c>
      <c r="AF461" s="238"/>
      <c r="AG461" s="239"/>
    </row>
    <row r="462" spans="1:33" x14ac:dyDescent="0.2">
      <c r="A462" s="365" t="s">
        <v>52</v>
      </c>
      <c r="B462" s="366" t="s">
        <v>373</v>
      </c>
      <c r="C462" s="367"/>
      <c r="D462" s="379">
        <v>224147</v>
      </c>
      <c r="E462" s="368">
        <v>3</v>
      </c>
      <c r="F462" s="235">
        <f t="shared" si="43"/>
        <v>219390</v>
      </c>
      <c r="G462" s="234">
        <f t="shared" si="44"/>
        <v>227553</v>
      </c>
      <c r="H462" s="238">
        <v>211253</v>
      </c>
      <c r="I462" s="239">
        <v>215414</v>
      </c>
      <c r="J462" s="238">
        <v>0</v>
      </c>
      <c r="K462" s="240">
        <v>0</v>
      </c>
      <c r="L462" s="238">
        <v>8137</v>
      </c>
      <c r="M462" s="238">
        <v>0</v>
      </c>
      <c r="N462" s="238">
        <v>0</v>
      </c>
      <c r="O462" s="239">
        <v>12139</v>
      </c>
      <c r="P462" s="239">
        <v>0</v>
      </c>
      <c r="Q462" s="240">
        <v>0</v>
      </c>
      <c r="R462" s="238"/>
      <c r="S462" s="240"/>
      <c r="T462" s="236">
        <f t="shared" si="45"/>
        <v>30694</v>
      </c>
      <c r="U462" s="237">
        <f t="shared" si="46"/>
        <v>28513</v>
      </c>
      <c r="V462" s="238">
        <v>23586</v>
      </c>
      <c r="W462" s="239">
        <v>20384</v>
      </c>
      <c r="X462" s="241">
        <v>0</v>
      </c>
      <c r="Y462" s="240">
        <v>0</v>
      </c>
      <c r="Z462" s="238">
        <v>7108</v>
      </c>
      <c r="AA462" s="238">
        <v>0</v>
      </c>
      <c r="AB462" s="238">
        <v>0</v>
      </c>
      <c r="AC462" s="239">
        <v>8129</v>
      </c>
      <c r="AD462" s="239">
        <v>0</v>
      </c>
      <c r="AE462" s="240">
        <v>0</v>
      </c>
      <c r="AF462" s="238"/>
      <c r="AG462" s="239"/>
    </row>
    <row r="463" spans="1:33" x14ac:dyDescent="0.2">
      <c r="A463" s="365" t="s">
        <v>52</v>
      </c>
      <c r="B463" s="366" t="s">
        <v>374</v>
      </c>
      <c r="C463" s="367"/>
      <c r="D463" s="379">
        <v>228705</v>
      </c>
      <c r="E463" s="368">
        <v>3</v>
      </c>
      <c r="F463" s="235">
        <f t="shared" si="43"/>
        <v>140055</v>
      </c>
      <c r="G463" s="234">
        <f t="shared" si="44"/>
        <v>149887</v>
      </c>
      <c r="H463" s="238">
        <v>134040</v>
      </c>
      <c r="I463" s="239">
        <v>137622</v>
      </c>
      <c r="J463" s="238">
        <v>1101</v>
      </c>
      <c r="K463" s="240">
        <v>2875</v>
      </c>
      <c r="L463" s="238">
        <v>4608</v>
      </c>
      <c r="M463" s="238">
        <v>306</v>
      </c>
      <c r="N463" s="238">
        <v>0</v>
      </c>
      <c r="O463" s="239">
        <v>9042</v>
      </c>
      <c r="P463" s="239">
        <v>348</v>
      </c>
      <c r="Q463" s="240">
        <v>0</v>
      </c>
      <c r="R463" s="238"/>
      <c r="S463" s="240"/>
      <c r="T463" s="236">
        <f t="shared" si="45"/>
        <v>21495</v>
      </c>
      <c r="U463" s="237">
        <f t="shared" si="46"/>
        <v>22745</v>
      </c>
      <c r="V463" s="238">
        <v>17613</v>
      </c>
      <c r="W463" s="239">
        <v>15906</v>
      </c>
      <c r="X463" s="241">
        <v>12</v>
      </c>
      <c r="Y463" s="240">
        <v>54</v>
      </c>
      <c r="Z463" s="238">
        <v>3708</v>
      </c>
      <c r="AA463" s="238">
        <v>162</v>
      </c>
      <c r="AB463" s="238">
        <v>0</v>
      </c>
      <c r="AC463" s="239">
        <v>6620</v>
      </c>
      <c r="AD463" s="239">
        <v>165</v>
      </c>
      <c r="AE463" s="240">
        <v>0</v>
      </c>
      <c r="AF463" s="238"/>
      <c r="AG463" s="239"/>
    </row>
    <row r="464" spans="1:33" x14ac:dyDescent="0.2">
      <c r="A464" s="365" t="s">
        <v>52</v>
      </c>
      <c r="B464" s="366" t="s">
        <v>375</v>
      </c>
      <c r="C464" s="367"/>
      <c r="D464" s="379">
        <v>229063</v>
      </c>
      <c r="E464" s="368">
        <v>3</v>
      </c>
      <c r="F464" s="235">
        <f t="shared" si="43"/>
        <v>181105</v>
      </c>
      <c r="G464" s="234">
        <f t="shared" si="44"/>
        <v>180538</v>
      </c>
      <c r="H464" s="238">
        <v>177441</v>
      </c>
      <c r="I464" s="239">
        <v>175889</v>
      </c>
      <c r="J464" s="238">
        <v>88</v>
      </c>
      <c r="K464" s="240">
        <v>0</v>
      </c>
      <c r="L464" s="238">
        <v>0</v>
      </c>
      <c r="M464" s="238">
        <v>0</v>
      </c>
      <c r="N464" s="238">
        <v>3576</v>
      </c>
      <c r="O464" s="239">
        <v>0</v>
      </c>
      <c r="P464" s="239">
        <v>0</v>
      </c>
      <c r="Q464" s="240">
        <v>4649</v>
      </c>
      <c r="R464" s="238"/>
      <c r="S464" s="240"/>
      <c r="T464" s="236">
        <f t="shared" si="45"/>
        <v>59197</v>
      </c>
      <c r="U464" s="237">
        <f t="shared" si="46"/>
        <v>58604</v>
      </c>
      <c r="V464" s="238">
        <v>51346</v>
      </c>
      <c r="W464" s="239">
        <v>50123</v>
      </c>
      <c r="X464" s="241">
        <v>360</v>
      </c>
      <c r="Y464" s="240">
        <v>447</v>
      </c>
      <c r="Z464" s="238">
        <v>0</v>
      </c>
      <c r="AA464" s="238">
        <v>0</v>
      </c>
      <c r="AB464" s="238">
        <v>7491</v>
      </c>
      <c r="AC464" s="239">
        <v>0</v>
      </c>
      <c r="AD464" s="239">
        <v>0</v>
      </c>
      <c r="AE464" s="240">
        <v>8034</v>
      </c>
      <c r="AF464" s="238"/>
      <c r="AG464" s="239"/>
    </row>
    <row r="465" spans="1:33" x14ac:dyDescent="0.2">
      <c r="A465" s="365" t="s">
        <v>52</v>
      </c>
      <c r="B465" s="369" t="s">
        <v>376</v>
      </c>
      <c r="C465" s="380"/>
      <c r="D465" s="379">
        <v>228459</v>
      </c>
      <c r="E465" s="368">
        <v>3</v>
      </c>
      <c r="F465" s="235">
        <f t="shared" ref="F465:F528" si="47">SUM(H465,J465,L465,M465,N465,R465)</f>
        <v>748416</v>
      </c>
      <c r="G465" s="234">
        <f t="shared" ref="G465:G528" si="48">SUM(I465,K465,O465,P465,Q465,S465)</f>
        <v>770267</v>
      </c>
      <c r="H465" s="238">
        <v>702029</v>
      </c>
      <c r="I465" s="239">
        <v>721678</v>
      </c>
      <c r="J465" s="238">
        <v>31364</v>
      </c>
      <c r="K465" s="240">
        <v>30029</v>
      </c>
      <c r="L465" s="238">
        <v>14486</v>
      </c>
      <c r="M465" s="238">
        <v>156</v>
      </c>
      <c r="N465" s="238">
        <v>381</v>
      </c>
      <c r="O465" s="239">
        <v>18173</v>
      </c>
      <c r="P465" s="239">
        <v>159</v>
      </c>
      <c r="Q465" s="240">
        <v>228</v>
      </c>
      <c r="R465" s="238"/>
      <c r="S465" s="240"/>
      <c r="T465" s="236">
        <f t="shared" ref="T465:T528" si="49">SUM(V465,X465,Z465,AA465,AB465,AF465)</f>
        <v>79610</v>
      </c>
      <c r="U465" s="237">
        <f t="shared" ref="U465:U528" si="50">SUM(W465,Y465,AC465,AD465,AE465,AG465)</f>
        <v>77487</v>
      </c>
      <c r="V465" s="238">
        <v>61890</v>
      </c>
      <c r="W465" s="239">
        <v>60703</v>
      </c>
      <c r="X465" s="241">
        <v>10394</v>
      </c>
      <c r="Y465" s="240">
        <v>9105</v>
      </c>
      <c r="Z465" s="238">
        <v>6648</v>
      </c>
      <c r="AA465" s="238">
        <v>603</v>
      </c>
      <c r="AB465" s="238">
        <v>75</v>
      </c>
      <c r="AC465" s="239">
        <v>6638</v>
      </c>
      <c r="AD465" s="239">
        <v>1002</v>
      </c>
      <c r="AE465" s="240">
        <v>39</v>
      </c>
      <c r="AF465" s="238"/>
      <c r="AG465" s="239"/>
    </row>
    <row r="466" spans="1:33" x14ac:dyDescent="0.2">
      <c r="A466" s="365" t="s">
        <v>52</v>
      </c>
      <c r="B466" s="366" t="s">
        <v>377</v>
      </c>
      <c r="C466" s="367"/>
      <c r="D466" s="379">
        <v>225414</v>
      </c>
      <c r="E466" s="368">
        <v>3</v>
      </c>
      <c r="F466" s="235">
        <f t="shared" si="47"/>
        <v>106310</v>
      </c>
      <c r="G466" s="234">
        <f t="shared" si="48"/>
        <v>104229</v>
      </c>
      <c r="H466" s="238">
        <v>76747</v>
      </c>
      <c r="I466" s="239">
        <v>72444</v>
      </c>
      <c r="J466" s="238">
        <v>8657</v>
      </c>
      <c r="K466" s="240">
        <v>9063</v>
      </c>
      <c r="L466" s="238">
        <v>20906</v>
      </c>
      <c r="M466" s="238">
        <v>0</v>
      </c>
      <c r="N466" s="238">
        <v>0</v>
      </c>
      <c r="O466" s="239">
        <v>22722</v>
      </c>
      <c r="P466" s="239">
        <v>0</v>
      </c>
      <c r="Q466" s="240">
        <v>0</v>
      </c>
      <c r="R466" s="238"/>
      <c r="S466" s="240"/>
      <c r="T466" s="236">
        <f t="shared" si="49"/>
        <v>53804</v>
      </c>
      <c r="U466" s="237">
        <f t="shared" si="50"/>
        <v>53859</v>
      </c>
      <c r="V466" s="238">
        <v>32520</v>
      </c>
      <c r="W466" s="239">
        <v>31307</v>
      </c>
      <c r="X466" s="241">
        <v>6250</v>
      </c>
      <c r="Y466" s="240">
        <v>6193</v>
      </c>
      <c r="Z466" s="238">
        <v>15034</v>
      </c>
      <c r="AA466" s="238">
        <v>0</v>
      </c>
      <c r="AB466" s="238">
        <v>0</v>
      </c>
      <c r="AC466" s="239">
        <v>16359</v>
      </c>
      <c r="AD466" s="239">
        <v>0</v>
      </c>
      <c r="AE466" s="240">
        <v>0</v>
      </c>
      <c r="AF466" s="238"/>
      <c r="AG466" s="239"/>
    </row>
    <row r="467" spans="1:33" x14ac:dyDescent="0.2">
      <c r="A467" s="365" t="s">
        <v>52</v>
      </c>
      <c r="B467" s="366" t="s">
        <v>378</v>
      </c>
      <c r="C467" s="367"/>
      <c r="D467" s="379">
        <v>227377</v>
      </c>
      <c r="E467" s="370">
        <v>3</v>
      </c>
      <c r="F467" s="235">
        <f t="shared" si="47"/>
        <v>102704</v>
      </c>
      <c r="G467" s="234">
        <f t="shared" si="48"/>
        <v>125894</v>
      </c>
      <c r="H467" s="238">
        <v>84689</v>
      </c>
      <c r="I467" s="239">
        <v>102730</v>
      </c>
      <c r="J467" s="238">
        <v>0</v>
      </c>
      <c r="K467" s="240">
        <v>0</v>
      </c>
      <c r="L467" s="238">
        <v>18015</v>
      </c>
      <c r="M467" s="238">
        <v>0</v>
      </c>
      <c r="N467" s="238">
        <v>0</v>
      </c>
      <c r="O467" s="239">
        <v>23164</v>
      </c>
      <c r="P467" s="239">
        <v>0</v>
      </c>
      <c r="Q467" s="240">
        <v>0</v>
      </c>
      <c r="R467" s="238"/>
      <c r="S467" s="240"/>
      <c r="T467" s="236">
        <f t="shared" si="49"/>
        <v>13683</v>
      </c>
      <c r="U467" s="237">
        <f t="shared" si="50"/>
        <v>14870</v>
      </c>
      <c r="V467" s="238">
        <v>9867</v>
      </c>
      <c r="W467" s="239">
        <v>9133</v>
      </c>
      <c r="X467" s="241">
        <v>0</v>
      </c>
      <c r="Y467" s="240">
        <v>0</v>
      </c>
      <c r="Z467" s="238">
        <v>3816</v>
      </c>
      <c r="AA467" s="238">
        <v>0</v>
      </c>
      <c r="AB467" s="238">
        <v>0</v>
      </c>
      <c r="AC467" s="239">
        <v>5737</v>
      </c>
      <c r="AD467" s="239">
        <v>0</v>
      </c>
      <c r="AE467" s="240">
        <v>0</v>
      </c>
      <c r="AF467" s="238"/>
      <c r="AG467" s="239"/>
    </row>
    <row r="468" spans="1:33" x14ac:dyDescent="0.2">
      <c r="A468" s="365" t="s">
        <v>52</v>
      </c>
      <c r="B468" s="366" t="s">
        <v>379</v>
      </c>
      <c r="C468" s="367"/>
      <c r="D468" s="379">
        <v>228802</v>
      </c>
      <c r="E468" s="368">
        <v>3</v>
      </c>
      <c r="F468" s="235">
        <f t="shared" si="47"/>
        <v>126526</v>
      </c>
      <c r="G468" s="234">
        <f t="shared" si="48"/>
        <v>131896</v>
      </c>
      <c r="H468" s="238">
        <v>104995</v>
      </c>
      <c r="I468" s="239">
        <v>104210</v>
      </c>
      <c r="J468" s="238">
        <v>1294</v>
      </c>
      <c r="K468" s="240">
        <v>1668</v>
      </c>
      <c r="L468" s="238">
        <v>15001</v>
      </c>
      <c r="M468" s="238">
        <v>5233</v>
      </c>
      <c r="N468" s="238">
        <v>3</v>
      </c>
      <c r="O468" s="239">
        <v>20329</v>
      </c>
      <c r="P468" s="239">
        <v>5689</v>
      </c>
      <c r="Q468" s="240">
        <v>0</v>
      </c>
      <c r="R468" s="238"/>
      <c r="S468" s="240"/>
      <c r="T468" s="236">
        <f t="shared" si="49"/>
        <v>23461</v>
      </c>
      <c r="U468" s="237">
        <f t="shared" si="50"/>
        <v>25339</v>
      </c>
      <c r="V468" s="238">
        <v>9199</v>
      </c>
      <c r="W468" s="239">
        <v>7909</v>
      </c>
      <c r="X468" s="241">
        <v>36</v>
      </c>
      <c r="Y468" s="240">
        <v>12</v>
      </c>
      <c r="Z468" s="238">
        <v>14070</v>
      </c>
      <c r="AA468" s="238">
        <v>126</v>
      </c>
      <c r="AB468" s="238">
        <v>30</v>
      </c>
      <c r="AC468" s="239">
        <v>17304</v>
      </c>
      <c r="AD468" s="239">
        <v>114</v>
      </c>
      <c r="AE468" s="240">
        <v>0</v>
      </c>
      <c r="AF468" s="238"/>
      <c r="AG468" s="239"/>
    </row>
    <row r="469" spans="1:33" x14ac:dyDescent="0.2">
      <c r="A469" s="365" t="s">
        <v>52</v>
      </c>
      <c r="B469" s="366" t="s">
        <v>380</v>
      </c>
      <c r="C469" s="371"/>
      <c r="D469" s="379">
        <v>229018</v>
      </c>
      <c r="E469" s="370">
        <v>3</v>
      </c>
      <c r="F469" s="235">
        <f t="shared" si="47"/>
        <v>76144</v>
      </c>
      <c r="G469" s="234">
        <f t="shared" si="48"/>
        <v>75463</v>
      </c>
      <c r="H469" s="238">
        <v>58219</v>
      </c>
      <c r="I469" s="239">
        <v>54092</v>
      </c>
      <c r="J469" s="238">
        <v>4</v>
      </c>
      <c r="K469" s="240">
        <v>30</v>
      </c>
      <c r="L469" s="238">
        <v>17918</v>
      </c>
      <c r="M469" s="238">
        <v>3</v>
      </c>
      <c r="N469" s="238">
        <v>0</v>
      </c>
      <c r="O469" s="239">
        <v>21218</v>
      </c>
      <c r="P469" s="239">
        <v>123</v>
      </c>
      <c r="Q469" s="240">
        <v>0</v>
      </c>
      <c r="R469" s="238"/>
      <c r="S469" s="240"/>
      <c r="T469" s="236">
        <f t="shared" si="49"/>
        <v>8911</v>
      </c>
      <c r="U469" s="237">
        <f t="shared" si="50"/>
        <v>8281</v>
      </c>
      <c r="V469" s="238">
        <v>4825</v>
      </c>
      <c r="W469" s="239">
        <v>4461</v>
      </c>
      <c r="X469" s="241">
        <v>0</v>
      </c>
      <c r="Y469" s="240">
        <v>0</v>
      </c>
      <c r="Z469" s="238">
        <v>4086</v>
      </c>
      <c r="AA469" s="238">
        <v>0</v>
      </c>
      <c r="AB469" s="238">
        <v>0</v>
      </c>
      <c r="AC469" s="239">
        <v>3817</v>
      </c>
      <c r="AD469" s="239">
        <v>0</v>
      </c>
      <c r="AE469" s="240">
        <v>3</v>
      </c>
      <c r="AF469" s="238"/>
      <c r="AG469" s="239"/>
    </row>
    <row r="470" spans="1:33" x14ac:dyDescent="0.2">
      <c r="A470" s="365" t="s">
        <v>52</v>
      </c>
      <c r="B470" s="366" t="s">
        <v>381</v>
      </c>
      <c r="C470" s="367"/>
      <c r="D470" s="379">
        <v>227368</v>
      </c>
      <c r="E470" s="368">
        <v>3</v>
      </c>
      <c r="F470" s="235">
        <f t="shared" si="47"/>
        <v>434759</v>
      </c>
      <c r="G470" s="234">
        <f t="shared" si="48"/>
        <v>431976</v>
      </c>
      <c r="H470" s="238">
        <v>394909</v>
      </c>
      <c r="I470" s="239">
        <v>380169</v>
      </c>
      <c r="J470" s="238">
        <v>1473</v>
      </c>
      <c r="K470" s="240">
        <v>1937</v>
      </c>
      <c r="L470" s="238">
        <v>38107</v>
      </c>
      <c r="M470" s="238">
        <v>270</v>
      </c>
      <c r="N470" s="238">
        <v>0</v>
      </c>
      <c r="O470" s="239">
        <v>49498</v>
      </c>
      <c r="P470" s="239">
        <v>372</v>
      </c>
      <c r="Q470" s="240">
        <v>0</v>
      </c>
      <c r="R470" s="238"/>
      <c r="S470" s="240"/>
      <c r="T470" s="236">
        <f t="shared" si="49"/>
        <v>42868</v>
      </c>
      <c r="U470" s="237">
        <f t="shared" si="50"/>
        <v>42401</v>
      </c>
      <c r="V470" s="238">
        <v>32660</v>
      </c>
      <c r="W470" s="239">
        <v>28055</v>
      </c>
      <c r="X470" s="241">
        <v>2172</v>
      </c>
      <c r="Y470" s="240">
        <v>3825</v>
      </c>
      <c r="Z470" s="238">
        <v>7901</v>
      </c>
      <c r="AA470" s="238">
        <v>135</v>
      </c>
      <c r="AB470" s="238">
        <v>0</v>
      </c>
      <c r="AC470" s="239">
        <v>10434</v>
      </c>
      <c r="AD470" s="239">
        <v>87</v>
      </c>
      <c r="AE470" s="240"/>
      <c r="AF470" s="238"/>
      <c r="AG470" s="239"/>
    </row>
    <row r="471" spans="1:33" x14ac:dyDescent="0.2">
      <c r="A471" s="365" t="s">
        <v>52</v>
      </c>
      <c r="B471" s="366" t="s">
        <v>382</v>
      </c>
      <c r="C471" s="367"/>
      <c r="D471" s="379">
        <v>229814</v>
      </c>
      <c r="E471" s="368">
        <v>3</v>
      </c>
      <c r="F471" s="235">
        <f t="shared" si="47"/>
        <v>172603</v>
      </c>
      <c r="G471" s="234">
        <f t="shared" si="48"/>
        <v>173258</v>
      </c>
      <c r="H471" s="238">
        <v>138298</v>
      </c>
      <c r="I471" s="239">
        <v>138800</v>
      </c>
      <c r="J471" s="238">
        <v>42</v>
      </c>
      <c r="K471" s="240">
        <v>63</v>
      </c>
      <c r="L471" s="238">
        <v>34194</v>
      </c>
      <c r="M471" s="238">
        <v>0</v>
      </c>
      <c r="N471" s="238">
        <v>69</v>
      </c>
      <c r="O471" s="239">
        <v>34395</v>
      </c>
      <c r="P471" s="239">
        <v>0</v>
      </c>
      <c r="Q471" s="240">
        <v>0</v>
      </c>
      <c r="R471" s="238"/>
      <c r="S471" s="240"/>
      <c r="T471" s="236">
        <f t="shared" si="49"/>
        <v>20098</v>
      </c>
      <c r="U471" s="237">
        <f t="shared" si="50"/>
        <v>20909</v>
      </c>
      <c r="V471" s="238">
        <v>10145</v>
      </c>
      <c r="W471" s="239">
        <v>10006</v>
      </c>
      <c r="X471" s="241">
        <v>267</v>
      </c>
      <c r="Y471" s="240">
        <v>165</v>
      </c>
      <c r="Z471" s="238">
        <v>9677</v>
      </c>
      <c r="AA471" s="238">
        <v>0</v>
      </c>
      <c r="AB471" s="238">
        <v>9</v>
      </c>
      <c r="AC471" s="239">
        <v>10738</v>
      </c>
      <c r="AD471" s="239">
        <v>0</v>
      </c>
      <c r="AE471" s="240"/>
      <c r="AF471" s="238"/>
      <c r="AG471" s="239"/>
    </row>
    <row r="472" spans="1:33" ht="15" customHeight="1" x14ac:dyDescent="0.2">
      <c r="A472" s="365" t="s">
        <v>52</v>
      </c>
      <c r="B472" s="366" t="s">
        <v>383</v>
      </c>
      <c r="C472" s="367"/>
      <c r="D472" s="379">
        <v>224545</v>
      </c>
      <c r="E472" s="368">
        <v>4</v>
      </c>
      <c r="F472" s="235">
        <f t="shared" si="47"/>
        <v>32905</v>
      </c>
      <c r="G472" s="234">
        <f t="shared" si="48"/>
        <v>34790</v>
      </c>
      <c r="H472" s="238">
        <v>25481</v>
      </c>
      <c r="I472" s="239">
        <v>23130</v>
      </c>
      <c r="J472" s="238">
        <v>2125</v>
      </c>
      <c r="K472" s="240">
        <v>2830</v>
      </c>
      <c r="L472" s="238">
        <v>5167</v>
      </c>
      <c r="M472" s="238">
        <v>132</v>
      </c>
      <c r="N472" s="238">
        <v>0</v>
      </c>
      <c r="O472" s="239">
        <v>8716</v>
      </c>
      <c r="P472" s="239">
        <v>114</v>
      </c>
      <c r="Q472" s="240">
        <v>0</v>
      </c>
      <c r="R472" s="238"/>
      <c r="S472" s="240"/>
      <c r="T472" s="236">
        <f t="shared" si="49"/>
        <v>7605</v>
      </c>
      <c r="U472" s="237">
        <f t="shared" si="50"/>
        <v>7307</v>
      </c>
      <c r="V472" s="238">
        <v>4890</v>
      </c>
      <c r="W472" s="239">
        <v>2678</v>
      </c>
      <c r="X472" s="241">
        <v>513</v>
      </c>
      <c r="Y472" s="240">
        <v>495</v>
      </c>
      <c r="Z472" s="238">
        <v>2202</v>
      </c>
      <c r="AA472" s="238">
        <v>0</v>
      </c>
      <c r="AB472" s="238">
        <v>0</v>
      </c>
      <c r="AC472" s="239">
        <v>4134</v>
      </c>
      <c r="AD472" s="239">
        <v>0</v>
      </c>
      <c r="AE472" s="240"/>
      <c r="AF472" s="238"/>
      <c r="AG472" s="239"/>
    </row>
    <row r="473" spans="1:33" ht="15" customHeight="1" x14ac:dyDescent="0.2">
      <c r="A473" s="365" t="s">
        <v>52</v>
      </c>
      <c r="B473" s="366" t="s">
        <v>458</v>
      </c>
      <c r="C473" s="371" t="s">
        <v>464</v>
      </c>
      <c r="D473" s="386" t="s">
        <v>451</v>
      </c>
      <c r="E473" s="387">
        <v>4</v>
      </c>
      <c r="F473" s="235">
        <f t="shared" si="47"/>
        <v>31115</v>
      </c>
      <c r="G473" s="234">
        <f t="shared" si="48"/>
        <v>33743</v>
      </c>
      <c r="H473" s="238">
        <v>10845</v>
      </c>
      <c r="I473" s="232">
        <v>12696</v>
      </c>
      <c r="J473" s="238">
        <v>9489</v>
      </c>
      <c r="K473" s="233">
        <v>8461</v>
      </c>
      <c r="L473" s="238">
        <v>10514</v>
      </c>
      <c r="M473" s="238">
        <v>267</v>
      </c>
      <c r="N473" s="238">
        <v>0</v>
      </c>
      <c r="O473" s="232">
        <v>12307</v>
      </c>
      <c r="P473" s="232">
        <v>279</v>
      </c>
      <c r="Q473" s="240"/>
      <c r="R473" s="238"/>
      <c r="S473" s="240"/>
      <c r="T473" s="236">
        <f t="shared" si="49"/>
        <v>11486</v>
      </c>
      <c r="U473" s="237">
        <f t="shared" si="50"/>
        <v>11950</v>
      </c>
      <c r="V473" s="238">
        <v>7625</v>
      </c>
      <c r="W473" s="239">
        <v>7153</v>
      </c>
      <c r="X473" s="241">
        <v>1275</v>
      </c>
      <c r="Y473" s="240">
        <v>822</v>
      </c>
      <c r="Z473" s="238">
        <v>2586</v>
      </c>
      <c r="AA473" s="238">
        <v>0</v>
      </c>
      <c r="AB473" s="238">
        <v>0</v>
      </c>
      <c r="AC473" s="239">
        <v>3975</v>
      </c>
      <c r="AD473" s="239"/>
      <c r="AE473" s="240">
        <v>0</v>
      </c>
      <c r="AF473" s="238"/>
      <c r="AG473" s="239"/>
    </row>
    <row r="474" spans="1:33" ht="15" customHeight="1" x14ac:dyDescent="0.2">
      <c r="A474" s="365" t="s">
        <v>52</v>
      </c>
      <c r="B474" s="366" t="s">
        <v>384</v>
      </c>
      <c r="C474" s="367"/>
      <c r="D474" s="379">
        <v>225502</v>
      </c>
      <c r="E474" s="368">
        <v>4</v>
      </c>
      <c r="F474" s="235">
        <f t="shared" si="47"/>
        <v>58096</v>
      </c>
      <c r="G474" s="234">
        <f t="shared" si="48"/>
        <v>59526</v>
      </c>
      <c r="H474" s="238">
        <v>10405</v>
      </c>
      <c r="I474" s="239">
        <v>12711</v>
      </c>
      <c r="J474" s="238">
        <v>8919</v>
      </c>
      <c r="K474" s="240">
        <v>8674</v>
      </c>
      <c r="L474" s="238">
        <v>34998</v>
      </c>
      <c r="M474" s="238">
        <v>3774</v>
      </c>
      <c r="N474" s="238">
        <v>0</v>
      </c>
      <c r="O474" s="239">
        <v>34624</v>
      </c>
      <c r="P474" s="239">
        <v>3517</v>
      </c>
      <c r="Q474" s="240">
        <v>0</v>
      </c>
      <c r="R474" s="238"/>
      <c r="S474" s="240"/>
      <c r="T474" s="236">
        <f t="shared" si="49"/>
        <v>27234</v>
      </c>
      <c r="U474" s="237">
        <f t="shared" si="50"/>
        <v>25664</v>
      </c>
      <c r="V474" s="238">
        <v>771</v>
      </c>
      <c r="W474" s="239">
        <v>447</v>
      </c>
      <c r="X474" s="241">
        <v>4866</v>
      </c>
      <c r="Y474" s="240">
        <v>4565</v>
      </c>
      <c r="Z474" s="238">
        <v>20265</v>
      </c>
      <c r="AA474" s="238">
        <v>1332</v>
      </c>
      <c r="AB474" s="238">
        <v>0</v>
      </c>
      <c r="AC474" s="239">
        <v>19296</v>
      </c>
      <c r="AD474" s="239">
        <v>1356</v>
      </c>
      <c r="AE474" s="240"/>
      <c r="AF474" s="238"/>
      <c r="AG474" s="239"/>
    </row>
    <row r="475" spans="1:33" ht="15" customHeight="1" x14ac:dyDescent="0.2">
      <c r="A475" s="365" t="s">
        <v>52</v>
      </c>
      <c r="B475" s="366" t="s">
        <v>385</v>
      </c>
      <c r="C475" s="367"/>
      <c r="D475" s="379" t="s">
        <v>386</v>
      </c>
      <c r="E475" s="368">
        <v>5</v>
      </c>
      <c r="F475" s="235">
        <f t="shared" si="47"/>
        <v>16859</v>
      </c>
      <c r="G475" s="234">
        <f t="shared" si="48"/>
        <v>15316</v>
      </c>
      <c r="H475" s="238">
        <v>6932</v>
      </c>
      <c r="I475" s="239">
        <v>5955</v>
      </c>
      <c r="J475" s="238">
        <v>0</v>
      </c>
      <c r="K475" s="240">
        <v>0</v>
      </c>
      <c r="L475" s="238">
        <v>5200</v>
      </c>
      <c r="M475" s="238">
        <v>4727</v>
      </c>
      <c r="N475" s="238">
        <v>0</v>
      </c>
      <c r="O475" s="239">
        <v>5323</v>
      </c>
      <c r="P475" s="239">
        <v>4038</v>
      </c>
      <c r="Q475" s="240">
        <v>0</v>
      </c>
      <c r="R475" s="238"/>
      <c r="S475" s="240"/>
      <c r="T475" s="236">
        <f t="shared" si="49"/>
        <v>3276</v>
      </c>
      <c r="U475" s="237">
        <f t="shared" si="50"/>
        <v>2487</v>
      </c>
      <c r="V475" s="238">
        <v>2025</v>
      </c>
      <c r="W475" s="239">
        <v>1497</v>
      </c>
      <c r="X475" s="241">
        <v>0</v>
      </c>
      <c r="Y475" s="240">
        <v>0</v>
      </c>
      <c r="Z475" s="238">
        <v>969</v>
      </c>
      <c r="AA475" s="238">
        <v>282</v>
      </c>
      <c r="AB475" s="238">
        <v>0</v>
      </c>
      <c r="AC475" s="239">
        <v>681</v>
      </c>
      <c r="AD475" s="239">
        <v>309</v>
      </c>
      <c r="AE475" s="240"/>
      <c r="AF475" s="238"/>
      <c r="AG475" s="239"/>
    </row>
    <row r="476" spans="1:33" ht="15" customHeight="1" x14ac:dyDescent="0.2">
      <c r="A476" s="365" t="s">
        <v>52</v>
      </c>
      <c r="B476" s="366" t="s">
        <v>459</v>
      </c>
      <c r="C476" s="371" t="s">
        <v>465</v>
      </c>
      <c r="D476" s="376">
        <v>870501</v>
      </c>
      <c r="E476" s="387">
        <v>5</v>
      </c>
      <c r="F476" s="235">
        <f t="shared" si="47"/>
        <v>54033</v>
      </c>
      <c r="G476" s="234">
        <f t="shared" si="48"/>
        <v>60956</v>
      </c>
      <c r="H476" s="238">
        <v>31707</v>
      </c>
      <c r="I476" s="232">
        <v>32930</v>
      </c>
      <c r="J476" s="238">
        <v>3148</v>
      </c>
      <c r="K476" s="233">
        <v>2741</v>
      </c>
      <c r="L476" s="238">
        <v>19178</v>
      </c>
      <c r="M476" s="238">
        <v>0</v>
      </c>
      <c r="N476" s="238">
        <v>0</v>
      </c>
      <c r="O476" s="232">
        <v>25285</v>
      </c>
      <c r="P476" s="239"/>
      <c r="Q476" s="240"/>
      <c r="R476" s="238"/>
      <c r="S476" s="240"/>
      <c r="T476" s="236">
        <f t="shared" si="49"/>
        <v>14881</v>
      </c>
      <c r="U476" s="237">
        <f t="shared" si="50"/>
        <v>17108</v>
      </c>
      <c r="V476" s="238">
        <v>4422</v>
      </c>
      <c r="W476" s="239">
        <v>4911</v>
      </c>
      <c r="X476" s="241">
        <v>966</v>
      </c>
      <c r="Y476" s="240">
        <v>174</v>
      </c>
      <c r="Z476" s="238">
        <v>9493</v>
      </c>
      <c r="AA476" s="238">
        <v>0</v>
      </c>
      <c r="AB476" s="238">
        <v>0</v>
      </c>
      <c r="AC476" s="239">
        <v>11984</v>
      </c>
      <c r="AD476" s="239"/>
      <c r="AE476" s="240">
        <v>39</v>
      </c>
      <c r="AF476" s="238"/>
      <c r="AG476" s="239"/>
    </row>
    <row r="477" spans="1:33" x14ac:dyDescent="0.2">
      <c r="A477" s="365" t="s">
        <v>52</v>
      </c>
      <c r="B477" s="366" t="s">
        <v>387</v>
      </c>
      <c r="C477" s="367"/>
      <c r="D477" s="379">
        <v>225432</v>
      </c>
      <c r="E477" s="368">
        <v>5</v>
      </c>
      <c r="F477" s="235">
        <f t="shared" si="47"/>
        <v>268037</v>
      </c>
      <c r="G477" s="234">
        <f t="shared" si="48"/>
        <v>276907</v>
      </c>
      <c r="H477" s="238">
        <v>191758</v>
      </c>
      <c r="I477" s="239">
        <v>183802</v>
      </c>
      <c r="J477" s="238">
        <v>11562</v>
      </c>
      <c r="K477" s="240">
        <v>11777</v>
      </c>
      <c r="L477" s="238">
        <v>64682</v>
      </c>
      <c r="M477" s="238">
        <v>35</v>
      </c>
      <c r="N477" s="238">
        <v>0</v>
      </c>
      <c r="O477" s="239">
        <v>81077</v>
      </c>
      <c r="P477" s="239">
        <v>251</v>
      </c>
      <c r="Q477" s="240">
        <v>0</v>
      </c>
      <c r="R477" s="238"/>
      <c r="S477" s="240"/>
      <c r="T477" s="236">
        <f t="shared" si="49"/>
        <v>2169</v>
      </c>
      <c r="U477" s="237">
        <f t="shared" si="50"/>
        <v>2811</v>
      </c>
      <c r="V477" s="238">
        <v>1464</v>
      </c>
      <c r="W477" s="239">
        <v>1194</v>
      </c>
      <c r="X477" s="241">
        <v>36</v>
      </c>
      <c r="Y477" s="240">
        <v>270</v>
      </c>
      <c r="Z477" s="238">
        <v>669</v>
      </c>
      <c r="AA477" s="238">
        <v>0</v>
      </c>
      <c r="AB477" s="238">
        <v>0</v>
      </c>
      <c r="AC477" s="239">
        <v>1347</v>
      </c>
      <c r="AD477" s="239"/>
      <c r="AE477" s="240"/>
      <c r="AF477" s="238"/>
      <c r="AG477" s="239"/>
    </row>
    <row r="478" spans="1:33" x14ac:dyDescent="0.2">
      <c r="A478" s="365" t="s">
        <v>52</v>
      </c>
      <c r="B478" s="366" t="s">
        <v>388</v>
      </c>
      <c r="C478" s="367"/>
      <c r="D478" s="379">
        <v>228714</v>
      </c>
      <c r="E478" s="368">
        <v>6</v>
      </c>
      <c r="F478" s="235">
        <f t="shared" si="47"/>
        <v>54166</v>
      </c>
      <c r="G478" s="234">
        <f t="shared" si="48"/>
        <v>54015</v>
      </c>
      <c r="H478" s="238">
        <v>54166</v>
      </c>
      <c r="I478" s="239">
        <v>53958</v>
      </c>
      <c r="J478" s="238">
        <v>0</v>
      </c>
      <c r="K478" s="240">
        <v>0</v>
      </c>
      <c r="L478" s="238">
        <v>0</v>
      </c>
      <c r="M478" s="238">
        <v>0</v>
      </c>
      <c r="N478" s="238">
        <v>0</v>
      </c>
      <c r="O478" s="239">
        <v>57</v>
      </c>
      <c r="P478" s="239">
        <v>0</v>
      </c>
      <c r="Q478" s="240">
        <v>0</v>
      </c>
      <c r="R478" s="238"/>
      <c r="S478" s="240"/>
      <c r="T478" s="236">
        <f t="shared" si="49"/>
        <v>1211</v>
      </c>
      <c r="U478" s="237">
        <f t="shared" si="50"/>
        <v>1488</v>
      </c>
      <c r="V478" s="238">
        <v>1114</v>
      </c>
      <c r="W478" s="239">
        <v>1368</v>
      </c>
      <c r="X478" s="241">
        <v>0</v>
      </c>
      <c r="Y478" s="240">
        <v>18</v>
      </c>
      <c r="Z478" s="238">
        <v>97</v>
      </c>
      <c r="AA478" s="238">
        <v>0</v>
      </c>
      <c r="AB478" s="238">
        <v>0</v>
      </c>
      <c r="AC478" s="239">
        <v>102</v>
      </c>
      <c r="AD478" s="239"/>
      <c r="AE478" s="240"/>
      <c r="AF478" s="238"/>
      <c r="AG478" s="239"/>
    </row>
    <row r="479" spans="1:33" x14ac:dyDescent="0.2">
      <c r="A479" s="365" t="s">
        <v>52</v>
      </c>
      <c r="B479" s="372" t="s">
        <v>389</v>
      </c>
      <c r="C479" s="373"/>
      <c r="D479" s="376">
        <v>223506</v>
      </c>
      <c r="E479" s="381">
        <v>7</v>
      </c>
      <c r="F479" s="235">
        <f t="shared" si="47"/>
        <v>81798</v>
      </c>
      <c r="G479" s="234">
        <f t="shared" si="48"/>
        <v>76602</v>
      </c>
      <c r="H479" s="238">
        <v>62991</v>
      </c>
      <c r="I479" s="239">
        <v>57290</v>
      </c>
      <c r="J479" s="238">
        <v>5424</v>
      </c>
      <c r="K479" s="240">
        <v>5248</v>
      </c>
      <c r="L479" s="238">
        <v>13383</v>
      </c>
      <c r="M479" s="238">
        <v>0</v>
      </c>
      <c r="N479" s="238">
        <v>0</v>
      </c>
      <c r="O479" s="239">
        <v>14064</v>
      </c>
      <c r="P479" s="239">
        <v>0</v>
      </c>
      <c r="Q479" s="240">
        <v>0</v>
      </c>
      <c r="R479" s="238"/>
      <c r="S479" s="240"/>
      <c r="T479" s="236">
        <f t="shared" si="49"/>
        <v>0</v>
      </c>
      <c r="U479" s="237">
        <f t="shared" si="50"/>
        <v>0</v>
      </c>
      <c r="V479" s="238"/>
      <c r="W479" s="239"/>
      <c r="X479" s="241"/>
      <c r="Y479" s="240"/>
      <c r="Z479" s="238"/>
      <c r="AA479" s="238"/>
      <c r="AB479" s="238"/>
      <c r="AC479" s="239"/>
      <c r="AD479" s="239"/>
      <c r="AE479" s="240"/>
      <c r="AF479" s="238"/>
      <c r="AG479" s="239"/>
    </row>
    <row r="480" spans="1:33" x14ac:dyDescent="0.2">
      <c r="A480" s="365" t="s">
        <v>52</v>
      </c>
      <c r="B480" s="372" t="s">
        <v>390</v>
      </c>
      <c r="C480" s="373"/>
      <c r="D480" s="376">
        <v>226806</v>
      </c>
      <c r="E480" s="381">
        <v>7</v>
      </c>
      <c r="F480" s="235">
        <f t="shared" si="47"/>
        <v>123616</v>
      </c>
      <c r="G480" s="234">
        <f t="shared" si="48"/>
        <v>115799</v>
      </c>
      <c r="H480" s="238">
        <v>75043</v>
      </c>
      <c r="I480" s="239">
        <v>69064</v>
      </c>
      <c r="J480" s="238">
        <v>2884</v>
      </c>
      <c r="K480" s="240">
        <v>1958</v>
      </c>
      <c r="L480" s="238">
        <v>44600</v>
      </c>
      <c r="M480" s="238">
        <v>1089</v>
      </c>
      <c r="N480" s="238">
        <v>0</v>
      </c>
      <c r="O480" s="239">
        <v>43709</v>
      </c>
      <c r="P480" s="239">
        <v>1068</v>
      </c>
      <c r="Q480" s="240">
        <v>0</v>
      </c>
      <c r="R480" s="238"/>
      <c r="S480" s="240"/>
      <c r="T480" s="236">
        <f t="shared" si="49"/>
        <v>0</v>
      </c>
      <c r="U480" s="237">
        <f t="shared" si="50"/>
        <v>0</v>
      </c>
      <c r="V480" s="238"/>
      <c r="W480" s="239"/>
      <c r="X480" s="241"/>
      <c r="Y480" s="240"/>
      <c r="Z480" s="238"/>
      <c r="AA480" s="238"/>
      <c r="AB480" s="238"/>
      <c r="AC480" s="239"/>
      <c r="AD480" s="239"/>
      <c r="AE480" s="240"/>
      <c r="AF480" s="238"/>
      <c r="AG480" s="239"/>
    </row>
    <row r="481" spans="1:33" x14ac:dyDescent="0.2">
      <c r="A481" s="365" t="s">
        <v>52</v>
      </c>
      <c r="B481" s="372" t="s">
        <v>391</v>
      </c>
      <c r="C481" s="373"/>
      <c r="D481" s="382">
        <v>409315</v>
      </c>
      <c r="E481" s="383">
        <v>7</v>
      </c>
      <c r="F481" s="235">
        <f t="shared" si="47"/>
        <v>562427</v>
      </c>
      <c r="G481" s="234">
        <f t="shared" si="48"/>
        <v>551207</v>
      </c>
      <c r="H481" s="238">
        <v>473169</v>
      </c>
      <c r="I481" s="239">
        <v>462881</v>
      </c>
      <c r="J481" s="238">
        <v>0</v>
      </c>
      <c r="K481" s="240">
        <v>0</v>
      </c>
      <c r="L481" s="238">
        <v>89183</v>
      </c>
      <c r="M481" s="238">
        <v>0</v>
      </c>
      <c r="N481" s="238">
        <v>75</v>
      </c>
      <c r="O481" s="239">
        <v>88302</v>
      </c>
      <c r="P481" s="239">
        <v>0</v>
      </c>
      <c r="Q481" s="240">
        <v>24</v>
      </c>
      <c r="R481" s="238"/>
      <c r="S481" s="240"/>
      <c r="T481" s="236">
        <f t="shared" si="49"/>
        <v>0</v>
      </c>
      <c r="U481" s="237">
        <f t="shared" si="50"/>
        <v>0</v>
      </c>
      <c r="V481" s="238"/>
      <c r="W481" s="239"/>
      <c r="X481" s="241"/>
      <c r="Y481" s="240"/>
      <c r="Z481" s="238"/>
      <c r="AA481" s="238"/>
      <c r="AB481" s="238"/>
      <c r="AC481" s="239"/>
      <c r="AD481" s="239"/>
      <c r="AE481" s="240"/>
      <c r="AF481" s="238"/>
      <c r="AG481" s="239"/>
    </row>
    <row r="482" spans="1:33" x14ac:dyDescent="0.2">
      <c r="A482" s="365" t="s">
        <v>52</v>
      </c>
      <c r="B482" s="366" t="s">
        <v>392</v>
      </c>
      <c r="C482" s="378"/>
      <c r="D482" s="376">
        <v>222576</v>
      </c>
      <c r="E482" s="381">
        <v>8</v>
      </c>
      <c r="F482" s="235">
        <f t="shared" si="47"/>
        <v>211780</v>
      </c>
      <c r="G482" s="234">
        <f t="shared" si="48"/>
        <v>198655</v>
      </c>
      <c r="H482" s="238">
        <v>143649</v>
      </c>
      <c r="I482" s="239">
        <v>124947</v>
      </c>
      <c r="J482" s="238">
        <v>5704</v>
      </c>
      <c r="K482" s="240">
        <v>12422</v>
      </c>
      <c r="L482" s="238">
        <v>56814</v>
      </c>
      <c r="M482" s="238">
        <v>141</v>
      </c>
      <c r="N482" s="238">
        <v>5472</v>
      </c>
      <c r="O482" s="239">
        <v>58631</v>
      </c>
      <c r="P482" s="239">
        <v>33</v>
      </c>
      <c r="Q482" s="240">
        <v>2622</v>
      </c>
      <c r="R482" s="238"/>
      <c r="S482" s="240"/>
      <c r="T482" s="236">
        <f t="shared" si="49"/>
        <v>0</v>
      </c>
      <c r="U482" s="237">
        <f t="shared" si="50"/>
        <v>0</v>
      </c>
      <c r="V482" s="238"/>
      <c r="W482" s="239"/>
      <c r="X482" s="241"/>
      <c r="Y482" s="240"/>
      <c r="Z482" s="238"/>
      <c r="AA482" s="238"/>
      <c r="AB482" s="238"/>
      <c r="AC482" s="239"/>
      <c r="AD482" s="239"/>
      <c r="AE482" s="240"/>
      <c r="AF482" s="238"/>
      <c r="AG482" s="239"/>
    </row>
    <row r="483" spans="1:33" x14ac:dyDescent="0.2">
      <c r="A483" s="365" t="s">
        <v>52</v>
      </c>
      <c r="B483" s="366" t="s">
        <v>393</v>
      </c>
      <c r="C483" s="378"/>
      <c r="D483" s="376">
        <v>222992</v>
      </c>
      <c r="E483" s="381">
        <v>8</v>
      </c>
      <c r="F483" s="235">
        <f t="shared" si="47"/>
        <v>835864</v>
      </c>
      <c r="G483" s="234">
        <f t="shared" si="48"/>
        <v>791994</v>
      </c>
      <c r="H483" s="238">
        <v>781722</v>
      </c>
      <c r="I483" s="239">
        <v>708142</v>
      </c>
      <c r="J483" s="238">
        <v>44284</v>
      </c>
      <c r="K483" s="240">
        <v>49564</v>
      </c>
      <c r="L483" s="238">
        <v>6567</v>
      </c>
      <c r="M483" s="238">
        <v>0</v>
      </c>
      <c r="N483" s="238">
        <v>3291</v>
      </c>
      <c r="O483" s="239">
        <v>31795</v>
      </c>
      <c r="P483" s="239">
        <v>0</v>
      </c>
      <c r="Q483" s="240">
        <v>2493</v>
      </c>
      <c r="R483" s="238"/>
      <c r="S483" s="240"/>
      <c r="T483" s="236">
        <f t="shared" si="49"/>
        <v>0</v>
      </c>
      <c r="U483" s="237">
        <f t="shared" si="50"/>
        <v>0</v>
      </c>
      <c r="V483" s="238"/>
      <c r="W483" s="239"/>
      <c r="X483" s="241"/>
      <c r="Y483" s="240"/>
      <c r="Z483" s="238"/>
      <c r="AA483" s="238"/>
      <c r="AB483" s="238"/>
      <c r="AC483" s="239"/>
      <c r="AD483" s="239"/>
      <c r="AE483" s="240"/>
      <c r="AF483" s="238"/>
      <c r="AG483" s="239"/>
    </row>
    <row r="484" spans="1:33" x14ac:dyDescent="0.2">
      <c r="A484" s="365" t="s">
        <v>52</v>
      </c>
      <c r="B484" s="366" t="s">
        <v>394</v>
      </c>
      <c r="C484" s="378"/>
      <c r="D484" s="376">
        <v>223427</v>
      </c>
      <c r="E484" s="381">
        <v>8</v>
      </c>
      <c r="F484" s="235">
        <f t="shared" si="47"/>
        <v>396118</v>
      </c>
      <c r="G484" s="234">
        <f t="shared" si="48"/>
        <v>398972</v>
      </c>
      <c r="H484" s="238">
        <v>196698</v>
      </c>
      <c r="I484" s="239">
        <v>58551</v>
      </c>
      <c r="J484" s="238">
        <v>162216</v>
      </c>
      <c r="K484" s="240">
        <v>275061</v>
      </c>
      <c r="L484" s="238">
        <v>37204</v>
      </c>
      <c r="M484" s="238">
        <v>0</v>
      </c>
      <c r="N484" s="238">
        <v>0</v>
      </c>
      <c r="O484" s="239">
        <v>63938</v>
      </c>
      <c r="P484" s="239">
        <v>1422</v>
      </c>
      <c r="Q484" s="240">
        <v>0</v>
      </c>
      <c r="R484" s="238"/>
      <c r="S484" s="240"/>
      <c r="T484" s="236">
        <f t="shared" si="49"/>
        <v>0</v>
      </c>
      <c r="U484" s="237">
        <f t="shared" si="50"/>
        <v>0</v>
      </c>
      <c r="V484" s="238"/>
      <c r="W484" s="239"/>
      <c r="X484" s="241"/>
      <c r="Y484" s="240"/>
      <c r="Z484" s="238"/>
      <c r="AA484" s="238"/>
      <c r="AB484" s="238"/>
      <c r="AC484" s="239"/>
      <c r="AD484" s="239"/>
      <c r="AE484" s="240"/>
      <c r="AF484" s="238"/>
      <c r="AG484" s="239"/>
    </row>
    <row r="485" spans="1:33" x14ac:dyDescent="0.2">
      <c r="A485" s="365" t="s">
        <v>52</v>
      </c>
      <c r="B485" s="366" t="s">
        <v>395</v>
      </c>
      <c r="C485" s="378"/>
      <c r="D485" s="376">
        <v>223524</v>
      </c>
      <c r="E485" s="381">
        <v>8</v>
      </c>
      <c r="F485" s="235">
        <f t="shared" si="47"/>
        <v>215235</v>
      </c>
      <c r="G485" s="234">
        <f t="shared" si="48"/>
        <v>203303</v>
      </c>
      <c r="H485" s="238">
        <v>156792</v>
      </c>
      <c r="I485" s="239">
        <v>141451</v>
      </c>
      <c r="J485" s="238">
        <v>0</v>
      </c>
      <c r="K485" s="240">
        <v>304</v>
      </c>
      <c r="L485" s="238">
        <v>58254</v>
      </c>
      <c r="M485" s="238">
        <v>0</v>
      </c>
      <c r="N485" s="238">
        <v>189</v>
      </c>
      <c r="O485" s="239">
        <v>61326</v>
      </c>
      <c r="P485" s="239">
        <v>0</v>
      </c>
      <c r="Q485" s="240">
        <v>222</v>
      </c>
      <c r="R485" s="238"/>
      <c r="S485" s="240"/>
      <c r="T485" s="236">
        <f t="shared" si="49"/>
        <v>0</v>
      </c>
      <c r="U485" s="237">
        <f t="shared" si="50"/>
        <v>0</v>
      </c>
      <c r="V485" s="238"/>
      <c r="W485" s="239"/>
      <c r="X485" s="241"/>
      <c r="Y485" s="240"/>
      <c r="Z485" s="238"/>
      <c r="AA485" s="238"/>
      <c r="AB485" s="238"/>
      <c r="AC485" s="239"/>
      <c r="AD485" s="239"/>
      <c r="AE485" s="240"/>
      <c r="AF485" s="238"/>
      <c r="AG485" s="239"/>
    </row>
    <row r="486" spans="1:33" x14ac:dyDescent="0.2">
      <c r="A486" s="365" t="s">
        <v>52</v>
      </c>
      <c r="B486" s="366" t="s">
        <v>396</v>
      </c>
      <c r="C486" s="378"/>
      <c r="D486" s="376">
        <v>223816</v>
      </c>
      <c r="E486" s="381">
        <v>8</v>
      </c>
      <c r="F486" s="235">
        <f t="shared" si="47"/>
        <v>320494</v>
      </c>
      <c r="G486" s="234">
        <f t="shared" si="48"/>
        <v>315881</v>
      </c>
      <c r="H486" s="238">
        <v>113758</v>
      </c>
      <c r="I486" s="239">
        <v>104905</v>
      </c>
      <c r="J486" s="238">
        <v>65167</v>
      </c>
      <c r="K486" s="240">
        <v>62885</v>
      </c>
      <c r="L486" s="238">
        <v>132464</v>
      </c>
      <c r="M486" s="238">
        <v>900</v>
      </c>
      <c r="N486" s="238">
        <v>8205</v>
      </c>
      <c r="O486" s="239">
        <v>133580</v>
      </c>
      <c r="P486" s="239">
        <v>927</v>
      </c>
      <c r="Q486" s="240">
        <v>13584</v>
      </c>
      <c r="R486" s="238"/>
      <c r="S486" s="240"/>
      <c r="T486" s="236">
        <f t="shared" si="49"/>
        <v>0</v>
      </c>
      <c r="U486" s="237">
        <f t="shared" si="50"/>
        <v>0</v>
      </c>
      <c r="V486" s="238"/>
      <c r="W486" s="239"/>
      <c r="X486" s="241"/>
      <c r="Y486" s="240"/>
      <c r="Z486" s="238"/>
      <c r="AA486" s="238"/>
      <c r="AB486" s="238"/>
      <c r="AC486" s="239"/>
      <c r="AD486" s="239"/>
      <c r="AE486" s="240"/>
      <c r="AF486" s="238"/>
      <c r="AG486" s="239"/>
    </row>
    <row r="487" spans="1:33" x14ac:dyDescent="0.2">
      <c r="A487" s="365" t="s">
        <v>52</v>
      </c>
      <c r="B487" s="366" t="s">
        <v>397</v>
      </c>
      <c r="C487" s="378"/>
      <c r="D487" s="376">
        <v>247834</v>
      </c>
      <c r="E487" s="381">
        <v>8</v>
      </c>
      <c r="F487" s="235">
        <f t="shared" si="47"/>
        <v>537272</v>
      </c>
      <c r="G487" s="234">
        <f t="shared" si="48"/>
        <v>536532</v>
      </c>
      <c r="H487" s="238">
        <v>463367</v>
      </c>
      <c r="I487" s="239">
        <v>450100</v>
      </c>
      <c r="J487" s="238">
        <v>8126</v>
      </c>
      <c r="K487" s="240">
        <v>10544</v>
      </c>
      <c r="L487" s="238">
        <v>62020</v>
      </c>
      <c r="M487" s="238">
        <v>0</v>
      </c>
      <c r="N487" s="238">
        <v>3759</v>
      </c>
      <c r="O487" s="239">
        <v>75283</v>
      </c>
      <c r="P487" s="239">
        <v>0</v>
      </c>
      <c r="Q487" s="240">
        <v>605</v>
      </c>
      <c r="R487" s="238"/>
      <c r="S487" s="240"/>
      <c r="T487" s="236">
        <f t="shared" si="49"/>
        <v>0</v>
      </c>
      <c r="U487" s="237">
        <f t="shared" si="50"/>
        <v>0</v>
      </c>
      <c r="V487" s="238"/>
      <c r="W487" s="239"/>
      <c r="X487" s="241"/>
      <c r="Y487" s="240"/>
      <c r="Z487" s="238"/>
      <c r="AA487" s="238"/>
      <c r="AB487" s="238"/>
      <c r="AC487" s="239"/>
      <c r="AD487" s="239"/>
      <c r="AE487" s="240"/>
      <c r="AF487" s="238"/>
      <c r="AG487" s="239"/>
    </row>
    <row r="488" spans="1:33" x14ac:dyDescent="0.2">
      <c r="A488" s="365" t="s">
        <v>52</v>
      </c>
      <c r="B488" s="366" t="s">
        <v>398</v>
      </c>
      <c r="C488" s="378"/>
      <c r="D488" s="376">
        <v>224350</v>
      </c>
      <c r="E488" s="381">
        <v>8</v>
      </c>
      <c r="F488" s="235">
        <f t="shared" si="47"/>
        <v>230905</v>
      </c>
      <c r="G488" s="234">
        <f t="shared" si="48"/>
        <v>213538</v>
      </c>
      <c r="H488" s="238">
        <v>206100</v>
      </c>
      <c r="I488" s="239">
        <v>185679</v>
      </c>
      <c r="J488" s="238">
        <v>4084</v>
      </c>
      <c r="K488" s="240">
        <v>4562</v>
      </c>
      <c r="L488" s="238">
        <v>20721</v>
      </c>
      <c r="M488" s="238">
        <v>0</v>
      </c>
      <c r="N488" s="238">
        <v>0</v>
      </c>
      <c r="O488" s="239">
        <v>23297</v>
      </c>
      <c r="P488" s="239">
        <v>0</v>
      </c>
      <c r="Q488" s="240">
        <v>0</v>
      </c>
      <c r="R488" s="238"/>
      <c r="S488" s="240"/>
      <c r="T488" s="236">
        <f t="shared" si="49"/>
        <v>0</v>
      </c>
      <c r="U488" s="237">
        <f t="shared" si="50"/>
        <v>0</v>
      </c>
      <c r="V488" s="238"/>
      <c r="W488" s="239"/>
      <c r="X488" s="241"/>
      <c r="Y488" s="240"/>
      <c r="Z488" s="238"/>
      <c r="AA488" s="238"/>
      <c r="AB488" s="238"/>
      <c r="AC488" s="239"/>
      <c r="AD488" s="239"/>
      <c r="AE488" s="240"/>
      <c r="AF488" s="238"/>
      <c r="AG488" s="239"/>
    </row>
    <row r="489" spans="1:33" x14ac:dyDescent="0.2">
      <c r="A489" s="365" t="s">
        <v>52</v>
      </c>
      <c r="B489" s="366" t="s">
        <v>399</v>
      </c>
      <c r="C489" s="378"/>
      <c r="D489" s="376">
        <v>224572</v>
      </c>
      <c r="E489" s="381">
        <v>8</v>
      </c>
      <c r="F489" s="235">
        <f t="shared" si="47"/>
        <v>240809</v>
      </c>
      <c r="G489" s="234">
        <f t="shared" si="48"/>
        <v>231431</v>
      </c>
      <c r="H489" s="238">
        <v>174704</v>
      </c>
      <c r="I489" s="239">
        <v>160015</v>
      </c>
      <c r="J489" s="238">
        <v>0</v>
      </c>
      <c r="K489" s="240">
        <v>36</v>
      </c>
      <c r="L489" s="238">
        <v>65714</v>
      </c>
      <c r="M489" s="238">
        <v>0</v>
      </c>
      <c r="N489" s="238">
        <v>391</v>
      </c>
      <c r="O489" s="239">
        <v>71191</v>
      </c>
      <c r="P489" s="239">
        <v>0</v>
      </c>
      <c r="Q489" s="240">
        <v>189</v>
      </c>
      <c r="R489" s="238"/>
      <c r="S489" s="240"/>
      <c r="T489" s="236">
        <f t="shared" si="49"/>
        <v>0</v>
      </c>
      <c r="U489" s="237">
        <f t="shared" si="50"/>
        <v>0</v>
      </c>
      <c r="V489" s="238"/>
      <c r="W489" s="239"/>
      <c r="X489" s="241"/>
      <c r="Y489" s="240"/>
      <c r="Z489" s="238"/>
      <c r="AA489" s="238"/>
      <c r="AB489" s="238"/>
      <c r="AC489" s="239"/>
      <c r="AD489" s="239"/>
      <c r="AE489" s="240"/>
      <c r="AF489" s="238"/>
      <c r="AG489" s="239"/>
    </row>
    <row r="490" spans="1:33" x14ac:dyDescent="0.2">
      <c r="A490" s="365" t="s">
        <v>52</v>
      </c>
      <c r="B490" s="372" t="s">
        <v>400</v>
      </c>
      <c r="C490" s="373"/>
      <c r="D490" s="379">
        <v>224615</v>
      </c>
      <c r="E490" s="370">
        <v>8</v>
      </c>
      <c r="F490" s="235">
        <f t="shared" si="47"/>
        <v>189982</v>
      </c>
      <c r="G490" s="234">
        <f t="shared" si="48"/>
        <v>178390</v>
      </c>
      <c r="H490" s="238">
        <v>143386</v>
      </c>
      <c r="I490" s="239">
        <v>138003</v>
      </c>
      <c r="J490" s="238">
        <v>396</v>
      </c>
      <c r="K490" s="240">
        <v>972</v>
      </c>
      <c r="L490" s="238">
        <v>45993</v>
      </c>
      <c r="M490" s="238">
        <v>0</v>
      </c>
      <c r="N490" s="238">
        <v>207</v>
      </c>
      <c r="O490" s="239">
        <v>39352</v>
      </c>
      <c r="P490" s="239">
        <v>0</v>
      </c>
      <c r="Q490" s="240">
        <v>63</v>
      </c>
      <c r="R490" s="238"/>
      <c r="S490" s="240"/>
      <c r="T490" s="236">
        <f t="shared" si="49"/>
        <v>0</v>
      </c>
      <c r="U490" s="237">
        <f t="shared" si="50"/>
        <v>0</v>
      </c>
      <c r="V490" s="238"/>
      <c r="W490" s="239"/>
      <c r="X490" s="241"/>
      <c r="Y490" s="240"/>
      <c r="Z490" s="238"/>
      <c r="AA490" s="238"/>
      <c r="AB490" s="238"/>
      <c r="AC490" s="239"/>
      <c r="AD490" s="239"/>
      <c r="AE490" s="240"/>
      <c r="AF490" s="238"/>
      <c r="AG490" s="239"/>
    </row>
    <row r="491" spans="1:33" x14ac:dyDescent="0.2">
      <c r="A491" s="365" t="s">
        <v>52</v>
      </c>
      <c r="B491" s="366" t="s">
        <v>401</v>
      </c>
      <c r="C491" s="378"/>
      <c r="D491" s="376">
        <v>224642</v>
      </c>
      <c r="E491" s="381">
        <v>8</v>
      </c>
      <c r="F491" s="235">
        <f t="shared" si="47"/>
        <v>582326</v>
      </c>
      <c r="G491" s="234">
        <f t="shared" si="48"/>
        <v>575327</v>
      </c>
      <c r="H491" s="238">
        <v>532206</v>
      </c>
      <c r="I491" s="239">
        <v>489434</v>
      </c>
      <c r="J491" s="238">
        <v>756</v>
      </c>
      <c r="K491" s="240">
        <v>32666</v>
      </c>
      <c r="L491" s="238">
        <v>47699</v>
      </c>
      <c r="M491" s="238">
        <v>609</v>
      </c>
      <c r="N491" s="238">
        <v>1056</v>
      </c>
      <c r="O491" s="239">
        <v>52920</v>
      </c>
      <c r="P491" s="239">
        <v>306</v>
      </c>
      <c r="Q491" s="240">
        <v>1</v>
      </c>
      <c r="R491" s="238"/>
      <c r="S491" s="240"/>
      <c r="T491" s="236">
        <f t="shared" si="49"/>
        <v>0</v>
      </c>
      <c r="U491" s="237">
        <f t="shared" si="50"/>
        <v>0</v>
      </c>
      <c r="V491" s="238"/>
      <c r="W491" s="239"/>
      <c r="X491" s="241"/>
      <c r="Y491" s="240"/>
      <c r="Z491" s="238"/>
      <c r="AA491" s="238"/>
      <c r="AB491" s="238"/>
      <c r="AC491" s="239"/>
      <c r="AD491" s="239"/>
      <c r="AE491" s="240"/>
      <c r="AF491" s="238"/>
      <c r="AG491" s="239"/>
    </row>
    <row r="492" spans="1:33" x14ac:dyDescent="0.2">
      <c r="A492" s="388" t="s">
        <v>52</v>
      </c>
      <c r="B492" s="366" t="s">
        <v>402</v>
      </c>
      <c r="C492" s="378"/>
      <c r="D492" s="376">
        <v>225423</v>
      </c>
      <c r="E492" s="381">
        <v>8</v>
      </c>
      <c r="F492" s="235">
        <f t="shared" si="47"/>
        <v>1183888</v>
      </c>
      <c r="G492" s="234">
        <f t="shared" si="48"/>
        <v>1132331</v>
      </c>
      <c r="H492" s="238">
        <v>719731</v>
      </c>
      <c r="I492" s="239">
        <v>611946</v>
      </c>
      <c r="J492" s="238">
        <v>210567</v>
      </c>
      <c r="K492" s="240">
        <v>221915</v>
      </c>
      <c r="L492" s="238">
        <v>253166</v>
      </c>
      <c r="M492" s="238">
        <v>0</v>
      </c>
      <c r="N492" s="238">
        <v>424</v>
      </c>
      <c r="O492" s="239">
        <v>297833</v>
      </c>
      <c r="P492" s="239">
        <v>0</v>
      </c>
      <c r="Q492" s="240">
        <v>637</v>
      </c>
      <c r="R492" s="238"/>
      <c r="S492" s="240"/>
      <c r="T492" s="236">
        <f t="shared" si="49"/>
        <v>0</v>
      </c>
      <c r="U492" s="237">
        <f t="shared" si="50"/>
        <v>0</v>
      </c>
      <c r="V492" s="238"/>
      <c r="W492" s="239"/>
      <c r="X492" s="241"/>
      <c r="Y492" s="240"/>
      <c r="Z492" s="238"/>
      <c r="AA492" s="238"/>
      <c r="AB492" s="238"/>
      <c r="AC492" s="239"/>
      <c r="AD492" s="239"/>
      <c r="AE492" s="240"/>
      <c r="AF492" s="238"/>
      <c r="AG492" s="239"/>
    </row>
    <row r="493" spans="1:33" x14ac:dyDescent="0.2">
      <c r="A493" s="388" t="s">
        <v>52</v>
      </c>
      <c r="B493" s="366" t="s">
        <v>403</v>
      </c>
      <c r="C493" s="371"/>
      <c r="D493" s="376">
        <v>226019</v>
      </c>
      <c r="E493" s="370">
        <v>8</v>
      </c>
      <c r="F493" s="235">
        <f t="shared" si="47"/>
        <v>143080</v>
      </c>
      <c r="G493" s="234">
        <f t="shared" si="48"/>
        <v>133085</v>
      </c>
      <c r="H493" s="238">
        <v>86688</v>
      </c>
      <c r="I493" s="239">
        <v>77259</v>
      </c>
      <c r="J493" s="238">
        <v>36858</v>
      </c>
      <c r="K493" s="240">
        <v>34884</v>
      </c>
      <c r="L493" s="238">
        <v>19534</v>
      </c>
      <c r="M493" s="238">
        <v>0</v>
      </c>
      <c r="N493" s="238">
        <v>0</v>
      </c>
      <c r="O493" s="239">
        <v>19778</v>
      </c>
      <c r="P493" s="239">
        <v>1164</v>
      </c>
      <c r="Q493" s="240">
        <v>0</v>
      </c>
      <c r="R493" s="238"/>
      <c r="S493" s="240"/>
      <c r="T493" s="236">
        <f t="shared" si="49"/>
        <v>0</v>
      </c>
      <c r="U493" s="237">
        <f t="shared" si="50"/>
        <v>0</v>
      </c>
      <c r="V493" s="238"/>
      <c r="W493" s="239"/>
      <c r="X493" s="241"/>
      <c r="Y493" s="240"/>
      <c r="Z493" s="238"/>
      <c r="AA493" s="238"/>
      <c r="AB493" s="238"/>
      <c r="AC493" s="239"/>
      <c r="AD493" s="239"/>
      <c r="AE493" s="240"/>
      <c r="AF493" s="238"/>
      <c r="AG493" s="239"/>
    </row>
    <row r="494" spans="1:33" x14ac:dyDescent="0.2">
      <c r="A494" s="388" t="s">
        <v>52</v>
      </c>
      <c r="B494" s="366" t="s">
        <v>404</v>
      </c>
      <c r="C494" s="378"/>
      <c r="D494" s="376">
        <v>226134</v>
      </c>
      <c r="E494" s="381">
        <v>8</v>
      </c>
      <c r="F494" s="235">
        <f t="shared" si="47"/>
        <v>189535</v>
      </c>
      <c r="G494" s="234">
        <f t="shared" si="48"/>
        <v>178830</v>
      </c>
      <c r="H494" s="238">
        <v>161229</v>
      </c>
      <c r="I494" s="239">
        <v>150026</v>
      </c>
      <c r="J494" s="238">
        <v>1458</v>
      </c>
      <c r="K494" s="240">
        <v>3293</v>
      </c>
      <c r="L494" s="238">
        <v>26281</v>
      </c>
      <c r="M494" s="238">
        <v>567</v>
      </c>
      <c r="N494" s="238">
        <v>0</v>
      </c>
      <c r="O494" s="239">
        <v>24653</v>
      </c>
      <c r="P494" s="239">
        <v>858</v>
      </c>
      <c r="Q494" s="240">
        <v>0</v>
      </c>
      <c r="R494" s="238"/>
      <c r="S494" s="240"/>
      <c r="T494" s="236">
        <f t="shared" si="49"/>
        <v>0</v>
      </c>
      <c r="U494" s="237">
        <f t="shared" si="50"/>
        <v>0</v>
      </c>
      <c r="V494" s="238"/>
      <c r="W494" s="239"/>
      <c r="X494" s="241"/>
      <c r="Y494" s="240"/>
      <c r="Z494" s="238"/>
      <c r="AA494" s="238"/>
      <c r="AB494" s="238"/>
      <c r="AC494" s="239"/>
      <c r="AD494" s="239"/>
      <c r="AE494" s="240"/>
      <c r="AF494" s="238"/>
      <c r="AG494" s="239"/>
    </row>
    <row r="495" spans="1:33" x14ac:dyDescent="0.2">
      <c r="A495" s="388" t="s">
        <v>52</v>
      </c>
      <c r="B495" s="366" t="s">
        <v>405</v>
      </c>
      <c r="C495" s="367"/>
      <c r="D495" s="376">
        <v>227182</v>
      </c>
      <c r="E495" s="381">
        <v>8</v>
      </c>
      <c r="F495" s="235">
        <f t="shared" si="47"/>
        <v>1153821</v>
      </c>
      <c r="G495" s="234">
        <f t="shared" si="48"/>
        <v>1228929</v>
      </c>
      <c r="H495" s="238">
        <v>887196</v>
      </c>
      <c r="I495" s="239">
        <v>889518</v>
      </c>
      <c r="J495" s="238">
        <v>27885</v>
      </c>
      <c r="K495" s="240">
        <v>51552</v>
      </c>
      <c r="L495" s="238">
        <v>238655</v>
      </c>
      <c r="M495" s="238">
        <v>0</v>
      </c>
      <c r="N495" s="238">
        <v>85</v>
      </c>
      <c r="O495" s="239">
        <v>287859</v>
      </c>
      <c r="P495" s="239">
        <v>0</v>
      </c>
      <c r="Q495" s="240">
        <v>0</v>
      </c>
      <c r="R495" s="238"/>
      <c r="S495" s="240"/>
      <c r="T495" s="236">
        <f t="shared" si="49"/>
        <v>0</v>
      </c>
      <c r="U495" s="237">
        <f t="shared" si="50"/>
        <v>0</v>
      </c>
      <c r="V495" s="238"/>
      <c r="W495" s="239"/>
      <c r="X495" s="241"/>
      <c r="Y495" s="240"/>
      <c r="Z495" s="238"/>
      <c r="AA495" s="238"/>
      <c r="AB495" s="238"/>
      <c r="AC495" s="239"/>
      <c r="AD495" s="239"/>
      <c r="AE495" s="240"/>
      <c r="AF495" s="238"/>
      <c r="AG495" s="239"/>
    </row>
    <row r="496" spans="1:33" x14ac:dyDescent="0.2">
      <c r="A496" s="388" t="s">
        <v>52</v>
      </c>
      <c r="B496" s="366" t="s">
        <v>406</v>
      </c>
      <c r="C496" s="378"/>
      <c r="D496" s="376">
        <v>226578</v>
      </c>
      <c r="E496" s="381">
        <v>8</v>
      </c>
      <c r="F496" s="235">
        <f t="shared" si="47"/>
        <v>225412</v>
      </c>
      <c r="G496" s="234">
        <f t="shared" si="48"/>
        <v>207265</v>
      </c>
      <c r="H496" s="238">
        <v>165015</v>
      </c>
      <c r="I496" s="239">
        <v>148166</v>
      </c>
      <c r="J496" s="238">
        <v>15</v>
      </c>
      <c r="K496" s="240">
        <v>30</v>
      </c>
      <c r="L496" s="238">
        <v>59520</v>
      </c>
      <c r="M496" s="238">
        <v>862</v>
      </c>
      <c r="N496" s="238">
        <v>0</v>
      </c>
      <c r="O496" s="239">
        <v>58113</v>
      </c>
      <c r="P496" s="239">
        <v>956</v>
      </c>
      <c r="Q496" s="240">
        <v>0</v>
      </c>
      <c r="R496" s="238"/>
      <c r="S496" s="240"/>
      <c r="T496" s="236">
        <f t="shared" si="49"/>
        <v>0</v>
      </c>
      <c r="U496" s="237">
        <f t="shared" si="50"/>
        <v>0</v>
      </c>
      <c r="V496" s="238"/>
      <c r="W496" s="239"/>
      <c r="X496" s="241"/>
      <c r="Y496" s="240"/>
      <c r="Z496" s="238"/>
      <c r="AA496" s="238"/>
      <c r="AB496" s="238"/>
      <c r="AC496" s="239"/>
      <c r="AD496" s="239"/>
      <c r="AE496" s="240"/>
      <c r="AF496" s="238"/>
      <c r="AG496" s="239"/>
    </row>
    <row r="497" spans="1:33" x14ac:dyDescent="0.2">
      <c r="A497" s="388" t="s">
        <v>52</v>
      </c>
      <c r="B497" s="374" t="s">
        <v>407</v>
      </c>
      <c r="C497" s="375"/>
      <c r="D497" s="382">
        <v>227146</v>
      </c>
      <c r="E497" s="383">
        <v>8</v>
      </c>
      <c r="F497" s="235">
        <f t="shared" si="47"/>
        <v>246587</v>
      </c>
      <c r="G497" s="234">
        <f t="shared" si="48"/>
        <v>233289</v>
      </c>
      <c r="H497" s="238">
        <v>80758</v>
      </c>
      <c r="I497" s="239">
        <v>78964</v>
      </c>
      <c r="J497" s="238">
        <v>94975</v>
      </c>
      <c r="K497" s="240">
        <v>86332</v>
      </c>
      <c r="L497" s="238">
        <v>67642</v>
      </c>
      <c r="M497" s="238">
        <v>55</v>
      </c>
      <c r="N497" s="238">
        <v>3157</v>
      </c>
      <c r="O497" s="239">
        <v>65875</v>
      </c>
      <c r="P497" s="239">
        <v>8</v>
      </c>
      <c r="Q497" s="240">
        <v>2110</v>
      </c>
      <c r="R497" s="238"/>
      <c r="S497" s="240"/>
      <c r="T497" s="236">
        <f t="shared" si="49"/>
        <v>0</v>
      </c>
      <c r="U497" s="237">
        <f t="shared" si="50"/>
        <v>0</v>
      </c>
      <c r="V497" s="238"/>
      <c r="W497" s="239"/>
      <c r="X497" s="241"/>
      <c r="Y497" s="240"/>
      <c r="Z497" s="238"/>
      <c r="AA497" s="238"/>
      <c r="AB497" s="238"/>
      <c r="AC497" s="239"/>
      <c r="AD497" s="239"/>
      <c r="AE497" s="240"/>
      <c r="AF497" s="238"/>
      <c r="AG497" s="239"/>
    </row>
    <row r="498" spans="1:33" x14ac:dyDescent="0.2">
      <c r="A498" s="388" t="s">
        <v>52</v>
      </c>
      <c r="B498" s="372" t="s">
        <v>408</v>
      </c>
      <c r="C498" s="373"/>
      <c r="D498" s="379">
        <v>224110</v>
      </c>
      <c r="E498" s="370">
        <v>8</v>
      </c>
      <c r="F498" s="235">
        <f t="shared" si="47"/>
        <v>185792</v>
      </c>
      <c r="G498" s="234">
        <f t="shared" si="48"/>
        <v>192734</v>
      </c>
      <c r="H498" s="238">
        <v>31660</v>
      </c>
      <c r="I498" s="239">
        <v>35102</v>
      </c>
      <c r="J498" s="238">
        <v>128889</v>
      </c>
      <c r="K498" s="240">
        <v>145817</v>
      </c>
      <c r="L498" s="238">
        <v>24256</v>
      </c>
      <c r="M498" s="238">
        <v>21</v>
      </c>
      <c r="N498" s="238">
        <v>966</v>
      </c>
      <c r="O498" s="239">
        <v>9741</v>
      </c>
      <c r="P498" s="239">
        <v>1864</v>
      </c>
      <c r="Q498" s="240">
        <v>210</v>
      </c>
      <c r="R498" s="238"/>
      <c r="S498" s="240"/>
      <c r="T498" s="236">
        <f t="shared" si="49"/>
        <v>0</v>
      </c>
      <c r="U498" s="237">
        <f t="shared" si="50"/>
        <v>0</v>
      </c>
      <c r="V498" s="238"/>
      <c r="W498" s="239"/>
      <c r="X498" s="241"/>
      <c r="Y498" s="240"/>
      <c r="Z498" s="238"/>
      <c r="AA498" s="238"/>
      <c r="AB498" s="238"/>
      <c r="AC498" s="239"/>
      <c r="AD498" s="239"/>
      <c r="AE498" s="240"/>
      <c r="AF498" s="238"/>
      <c r="AG498" s="239"/>
    </row>
    <row r="499" spans="1:33" x14ac:dyDescent="0.2">
      <c r="A499" s="388" t="s">
        <v>52</v>
      </c>
      <c r="B499" s="366" t="s">
        <v>409</v>
      </c>
      <c r="C499" s="378"/>
      <c r="D499" s="376">
        <v>227191</v>
      </c>
      <c r="E499" s="381">
        <v>8</v>
      </c>
      <c r="F499" s="235">
        <f t="shared" si="47"/>
        <v>200661</v>
      </c>
      <c r="G499" s="234">
        <f t="shared" si="48"/>
        <v>179799</v>
      </c>
      <c r="H499" s="238">
        <v>145362</v>
      </c>
      <c r="I499" s="239">
        <v>129406</v>
      </c>
      <c r="J499" s="238">
        <v>1827</v>
      </c>
      <c r="K499" s="240">
        <v>1588</v>
      </c>
      <c r="L499" s="238">
        <v>53364</v>
      </c>
      <c r="M499" s="238">
        <v>0</v>
      </c>
      <c r="N499" s="238">
        <v>108</v>
      </c>
      <c r="O499" s="239">
        <v>48619</v>
      </c>
      <c r="P499" s="239">
        <v>0</v>
      </c>
      <c r="Q499" s="240">
        <v>186</v>
      </c>
      <c r="R499" s="238"/>
      <c r="S499" s="240"/>
      <c r="T499" s="236">
        <f t="shared" si="49"/>
        <v>0</v>
      </c>
      <c r="U499" s="237">
        <f t="shared" si="50"/>
        <v>0</v>
      </c>
      <c r="V499" s="238"/>
      <c r="W499" s="239"/>
      <c r="X499" s="241"/>
      <c r="Y499" s="240"/>
      <c r="Z499" s="238"/>
      <c r="AA499" s="238"/>
      <c r="AB499" s="238"/>
      <c r="AC499" s="239"/>
      <c r="AD499" s="239"/>
      <c r="AE499" s="240"/>
      <c r="AF499" s="238"/>
      <c r="AG499" s="239"/>
    </row>
    <row r="500" spans="1:33" x14ac:dyDescent="0.2">
      <c r="A500" s="388" t="s">
        <v>52</v>
      </c>
      <c r="B500" s="366" t="s">
        <v>410</v>
      </c>
      <c r="C500" s="378"/>
      <c r="D500" s="376">
        <v>420398</v>
      </c>
      <c r="E500" s="381">
        <v>8</v>
      </c>
      <c r="F500" s="235">
        <f t="shared" si="47"/>
        <v>295974</v>
      </c>
      <c r="G500" s="234">
        <f t="shared" si="48"/>
        <v>287192</v>
      </c>
      <c r="H500" s="238">
        <v>254345</v>
      </c>
      <c r="I500" s="239">
        <v>225655</v>
      </c>
      <c r="J500" s="238">
        <v>11515</v>
      </c>
      <c r="K500" s="240">
        <v>23361</v>
      </c>
      <c r="L500" s="238">
        <v>28227</v>
      </c>
      <c r="M500" s="238">
        <v>0</v>
      </c>
      <c r="N500" s="238">
        <v>1887</v>
      </c>
      <c r="O500" s="239">
        <v>37723</v>
      </c>
      <c r="P500" s="239">
        <v>0</v>
      </c>
      <c r="Q500" s="240">
        <v>453</v>
      </c>
      <c r="R500" s="238"/>
      <c r="S500" s="240"/>
      <c r="T500" s="236">
        <f t="shared" si="49"/>
        <v>0</v>
      </c>
      <c r="U500" s="237">
        <f t="shared" si="50"/>
        <v>0</v>
      </c>
      <c r="V500" s="238"/>
      <c r="W500" s="239"/>
      <c r="X500" s="241"/>
      <c r="Y500" s="240"/>
      <c r="Z500" s="238"/>
      <c r="AA500" s="238"/>
      <c r="AB500" s="238"/>
      <c r="AC500" s="239"/>
      <c r="AD500" s="239"/>
      <c r="AE500" s="240"/>
      <c r="AF500" s="238"/>
      <c r="AG500" s="239"/>
    </row>
    <row r="501" spans="1:33" x14ac:dyDescent="0.2">
      <c r="A501" s="388" t="s">
        <v>52</v>
      </c>
      <c r="B501" s="366" t="s">
        <v>411</v>
      </c>
      <c r="C501" s="378"/>
      <c r="D501" s="376">
        <v>246354</v>
      </c>
      <c r="E501" s="381">
        <v>8</v>
      </c>
      <c r="F501" s="235">
        <f t="shared" si="47"/>
        <v>166284</v>
      </c>
      <c r="G501" s="234">
        <f t="shared" si="48"/>
        <v>147664</v>
      </c>
      <c r="H501" s="238">
        <v>122662</v>
      </c>
      <c r="I501" s="239">
        <v>90106</v>
      </c>
      <c r="J501" s="238">
        <v>5427</v>
      </c>
      <c r="K501" s="240">
        <v>10963</v>
      </c>
      <c r="L501" s="238">
        <v>35730</v>
      </c>
      <c r="M501" s="238">
        <v>0</v>
      </c>
      <c r="N501" s="238">
        <v>2465</v>
      </c>
      <c r="O501" s="239">
        <v>44342</v>
      </c>
      <c r="P501" s="239">
        <v>321</v>
      </c>
      <c r="Q501" s="240">
        <v>1932</v>
      </c>
      <c r="R501" s="238"/>
      <c r="S501" s="240"/>
      <c r="T501" s="236">
        <f t="shared" si="49"/>
        <v>0</v>
      </c>
      <c r="U501" s="237">
        <f t="shared" si="50"/>
        <v>0</v>
      </c>
      <c r="V501" s="238"/>
      <c r="W501" s="239"/>
      <c r="X501" s="241"/>
      <c r="Y501" s="240"/>
      <c r="Z501" s="238"/>
      <c r="AA501" s="238"/>
      <c r="AB501" s="238"/>
      <c r="AC501" s="239"/>
      <c r="AD501" s="239"/>
      <c r="AE501" s="240"/>
      <c r="AF501" s="238"/>
      <c r="AG501" s="239"/>
    </row>
    <row r="502" spans="1:33" x14ac:dyDescent="0.2">
      <c r="A502" s="388" t="s">
        <v>52</v>
      </c>
      <c r="B502" s="366" t="s">
        <v>412</v>
      </c>
      <c r="C502" s="378"/>
      <c r="D502" s="376">
        <v>227766</v>
      </c>
      <c r="E502" s="381">
        <v>8</v>
      </c>
      <c r="F502" s="235">
        <f t="shared" si="47"/>
        <v>352162</v>
      </c>
      <c r="G502" s="234">
        <f t="shared" si="48"/>
        <v>334835</v>
      </c>
      <c r="H502" s="238">
        <v>257678</v>
      </c>
      <c r="I502" s="239">
        <v>242398</v>
      </c>
      <c r="J502" s="238">
        <v>92</v>
      </c>
      <c r="K502" s="240">
        <v>21</v>
      </c>
      <c r="L502" s="238">
        <v>94392</v>
      </c>
      <c r="M502" s="238">
        <v>0</v>
      </c>
      <c r="N502" s="238">
        <v>0</v>
      </c>
      <c r="O502" s="239">
        <v>92416</v>
      </c>
      <c r="P502" s="239">
        <v>0</v>
      </c>
      <c r="Q502" s="240">
        <v>0</v>
      </c>
      <c r="R502" s="238"/>
      <c r="S502" s="240"/>
      <c r="T502" s="236">
        <f t="shared" si="49"/>
        <v>0</v>
      </c>
      <c r="U502" s="237">
        <f t="shared" si="50"/>
        <v>0</v>
      </c>
      <c r="V502" s="238"/>
      <c r="W502" s="239"/>
      <c r="X502" s="241"/>
      <c r="Y502" s="240"/>
      <c r="Z502" s="238"/>
      <c r="AA502" s="238"/>
      <c r="AB502" s="238"/>
      <c r="AC502" s="239"/>
      <c r="AD502" s="239"/>
      <c r="AE502" s="240"/>
      <c r="AF502" s="238"/>
      <c r="AG502" s="239"/>
    </row>
    <row r="503" spans="1:33" x14ac:dyDescent="0.2">
      <c r="A503" s="388" t="s">
        <v>52</v>
      </c>
      <c r="B503" s="366" t="s">
        <v>413</v>
      </c>
      <c r="C503" s="378"/>
      <c r="D503" s="376">
        <v>227924</v>
      </c>
      <c r="E503" s="381">
        <v>8</v>
      </c>
      <c r="F503" s="235">
        <f t="shared" si="47"/>
        <v>498564</v>
      </c>
      <c r="G503" s="234">
        <f t="shared" si="48"/>
        <v>448554</v>
      </c>
      <c r="H503" s="238">
        <v>429331</v>
      </c>
      <c r="I503" s="239">
        <v>355604</v>
      </c>
      <c r="J503" s="238">
        <v>8615</v>
      </c>
      <c r="K503" s="240">
        <v>11198</v>
      </c>
      <c r="L503" s="238">
        <v>56874</v>
      </c>
      <c r="M503" s="238">
        <v>0</v>
      </c>
      <c r="N503" s="238">
        <v>3744</v>
      </c>
      <c r="O503" s="239">
        <v>81572</v>
      </c>
      <c r="P503" s="239">
        <v>0</v>
      </c>
      <c r="Q503" s="240">
        <v>180</v>
      </c>
      <c r="R503" s="238"/>
      <c r="S503" s="240"/>
      <c r="T503" s="236">
        <f t="shared" si="49"/>
        <v>0</v>
      </c>
      <c r="U503" s="237">
        <f t="shared" si="50"/>
        <v>0</v>
      </c>
      <c r="V503" s="238"/>
      <c r="W503" s="239"/>
      <c r="X503" s="241"/>
      <c r="Y503" s="240"/>
      <c r="Z503" s="238"/>
      <c r="AA503" s="238"/>
      <c r="AB503" s="238"/>
      <c r="AC503" s="239"/>
      <c r="AD503" s="239"/>
      <c r="AE503" s="240"/>
      <c r="AF503" s="238"/>
      <c r="AG503" s="239"/>
    </row>
    <row r="504" spans="1:33" x14ac:dyDescent="0.2">
      <c r="A504" s="388" t="s">
        <v>52</v>
      </c>
      <c r="B504" s="366" t="s">
        <v>414</v>
      </c>
      <c r="C504" s="378"/>
      <c r="D504" s="376">
        <v>227979</v>
      </c>
      <c r="E504" s="381">
        <v>8</v>
      </c>
      <c r="F504" s="235">
        <f t="shared" si="47"/>
        <v>600397</v>
      </c>
      <c r="G504" s="234">
        <f t="shared" si="48"/>
        <v>581532</v>
      </c>
      <c r="H504" s="238">
        <v>479001</v>
      </c>
      <c r="I504" s="239">
        <v>469103</v>
      </c>
      <c r="J504" s="238">
        <v>10817</v>
      </c>
      <c r="K504" s="240">
        <v>9537</v>
      </c>
      <c r="L504" s="238">
        <v>110382</v>
      </c>
      <c r="M504" s="238">
        <v>197</v>
      </c>
      <c r="N504" s="238">
        <v>0</v>
      </c>
      <c r="O504" s="239">
        <v>102892</v>
      </c>
      <c r="P504" s="239">
        <v>0</v>
      </c>
      <c r="Q504" s="240">
        <v>0</v>
      </c>
      <c r="R504" s="238"/>
      <c r="S504" s="240"/>
      <c r="T504" s="236">
        <f t="shared" si="49"/>
        <v>0</v>
      </c>
      <c r="U504" s="237">
        <f t="shared" si="50"/>
        <v>0</v>
      </c>
      <c r="V504" s="238"/>
      <c r="W504" s="239"/>
      <c r="X504" s="241"/>
      <c r="Y504" s="240"/>
      <c r="Z504" s="238"/>
      <c r="AA504" s="238"/>
      <c r="AB504" s="238"/>
      <c r="AC504" s="239"/>
      <c r="AD504" s="239"/>
      <c r="AE504" s="240"/>
      <c r="AF504" s="238"/>
      <c r="AG504" s="239"/>
    </row>
    <row r="505" spans="1:33" x14ac:dyDescent="0.2">
      <c r="A505" s="388" t="s">
        <v>52</v>
      </c>
      <c r="B505" s="366" t="s">
        <v>415</v>
      </c>
      <c r="C505" s="378"/>
      <c r="D505" s="376">
        <v>228158</v>
      </c>
      <c r="E505" s="381">
        <v>8</v>
      </c>
      <c r="F505" s="235">
        <f t="shared" si="47"/>
        <v>219143</v>
      </c>
      <c r="G505" s="234">
        <f t="shared" si="48"/>
        <v>206522</v>
      </c>
      <c r="H505" s="238">
        <v>92008</v>
      </c>
      <c r="I505" s="239">
        <v>87563</v>
      </c>
      <c r="J505" s="238">
        <v>87807</v>
      </c>
      <c r="K505" s="240">
        <v>82393</v>
      </c>
      <c r="L505" s="238">
        <v>33425</v>
      </c>
      <c r="M505" s="238">
        <v>2986</v>
      </c>
      <c r="N505" s="238">
        <v>2917</v>
      </c>
      <c r="O505" s="239">
        <v>31032</v>
      </c>
      <c r="P505" s="239">
        <v>2866</v>
      </c>
      <c r="Q505" s="240">
        <v>2668</v>
      </c>
      <c r="R505" s="238"/>
      <c r="S505" s="240"/>
      <c r="T505" s="236">
        <f t="shared" si="49"/>
        <v>0</v>
      </c>
      <c r="U505" s="237">
        <f t="shared" si="50"/>
        <v>0</v>
      </c>
      <c r="V505" s="238"/>
      <c r="W505" s="239"/>
      <c r="X505" s="241"/>
      <c r="Y505" s="240"/>
      <c r="Z505" s="238"/>
      <c r="AA505" s="238"/>
      <c r="AB505" s="238"/>
      <c r="AC505" s="239"/>
      <c r="AD505" s="239"/>
      <c r="AE505" s="240"/>
      <c r="AF505" s="238"/>
      <c r="AG505" s="239"/>
    </row>
    <row r="506" spans="1:33" x14ac:dyDescent="0.2">
      <c r="A506" s="388" t="s">
        <v>52</v>
      </c>
      <c r="B506" s="366" t="s">
        <v>416</v>
      </c>
      <c r="C506" s="378"/>
      <c r="D506" s="376">
        <v>227854</v>
      </c>
      <c r="E506" s="381">
        <v>8</v>
      </c>
      <c r="F506" s="235">
        <f t="shared" si="47"/>
        <v>198581</v>
      </c>
      <c r="G506" s="234">
        <f t="shared" si="48"/>
        <v>179304</v>
      </c>
      <c r="H506" s="238">
        <v>169002</v>
      </c>
      <c r="I506" s="239">
        <v>115636</v>
      </c>
      <c r="J506" s="238">
        <v>5984</v>
      </c>
      <c r="K506" s="240">
        <v>13439</v>
      </c>
      <c r="L506" s="238">
        <v>22694</v>
      </c>
      <c r="M506" s="238">
        <v>0</v>
      </c>
      <c r="N506" s="238">
        <v>901</v>
      </c>
      <c r="O506" s="239">
        <v>49980</v>
      </c>
      <c r="P506" s="239">
        <v>0</v>
      </c>
      <c r="Q506" s="240">
        <v>249</v>
      </c>
      <c r="R506" s="238"/>
      <c r="S506" s="240"/>
      <c r="T506" s="236">
        <f t="shared" si="49"/>
        <v>0</v>
      </c>
      <c r="U506" s="237">
        <f t="shared" si="50"/>
        <v>0</v>
      </c>
      <c r="V506" s="238"/>
      <c r="W506" s="239"/>
      <c r="X506" s="241"/>
      <c r="Y506" s="240"/>
      <c r="Z506" s="238"/>
      <c r="AA506" s="238"/>
      <c r="AB506" s="238"/>
      <c r="AC506" s="239"/>
      <c r="AD506" s="239"/>
      <c r="AE506" s="240"/>
      <c r="AF506" s="238"/>
      <c r="AG506" s="239"/>
    </row>
    <row r="507" spans="1:33" x14ac:dyDescent="0.2">
      <c r="A507" s="388" t="s">
        <v>52</v>
      </c>
      <c r="B507" s="366" t="s">
        <v>417</v>
      </c>
      <c r="C507" s="378"/>
      <c r="D507" s="376">
        <v>228547</v>
      </c>
      <c r="E507" s="381">
        <v>8</v>
      </c>
      <c r="F507" s="235">
        <f t="shared" si="47"/>
        <v>972659</v>
      </c>
      <c r="G507" s="234">
        <f t="shared" si="48"/>
        <v>973255</v>
      </c>
      <c r="H507" s="238">
        <v>779370</v>
      </c>
      <c r="I507" s="239">
        <v>766503</v>
      </c>
      <c r="J507" s="238">
        <v>16541</v>
      </c>
      <c r="K507" s="240">
        <v>33371</v>
      </c>
      <c r="L507" s="238">
        <v>154554</v>
      </c>
      <c r="M507" s="238">
        <v>0</v>
      </c>
      <c r="N507" s="238">
        <v>22194</v>
      </c>
      <c r="O507" s="239">
        <v>158909</v>
      </c>
      <c r="P507" s="239">
        <v>0</v>
      </c>
      <c r="Q507" s="240">
        <v>14472</v>
      </c>
      <c r="R507" s="238"/>
      <c r="S507" s="240"/>
      <c r="T507" s="236">
        <f t="shared" si="49"/>
        <v>0</v>
      </c>
      <c r="U507" s="237">
        <f t="shared" si="50"/>
        <v>0</v>
      </c>
      <c r="V507" s="238"/>
      <c r="W507" s="239"/>
      <c r="X507" s="241"/>
      <c r="Y507" s="240"/>
      <c r="Z507" s="238"/>
      <c r="AA507" s="238"/>
      <c r="AB507" s="238"/>
      <c r="AC507" s="239"/>
      <c r="AD507" s="239"/>
      <c r="AE507" s="240"/>
      <c r="AF507" s="238"/>
      <c r="AG507" s="239"/>
    </row>
    <row r="508" spans="1:33" x14ac:dyDescent="0.2">
      <c r="A508" s="388" t="s">
        <v>52</v>
      </c>
      <c r="B508" s="366" t="s">
        <v>418</v>
      </c>
      <c r="C508" s="378" t="s">
        <v>462</v>
      </c>
      <c r="D508" s="376">
        <v>229072</v>
      </c>
      <c r="E508" s="381">
        <v>8</v>
      </c>
      <c r="F508" s="235">
        <f t="shared" si="47"/>
        <v>193366</v>
      </c>
      <c r="G508" s="234">
        <f t="shared" si="48"/>
        <v>137032</v>
      </c>
      <c r="H508" s="238">
        <v>180660</v>
      </c>
      <c r="I508" s="239">
        <v>127979</v>
      </c>
      <c r="J508" s="238">
        <v>2953</v>
      </c>
      <c r="K508" s="240">
        <v>3512</v>
      </c>
      <c r="L508" s="238">
        <v>9753</v>
      </c>
      <c r="M508" s="238">
        <v>0</v>
      </c>
      <c r="N508" s="238">
        <v>0</v>
      </c>
      <c r="O508" s="239">
        <v>5541</v>
      </c>
      <c r="P508" s="239">
        <v>0</v>
      </c>
      <c r="Q508" s="240">
        <v>0</v>
      </c>
      <c r="R508" s="238"/>
      <c r="S508" s="240"/>
      <c r="T508" s="236">
        <f t="shared" si="49"/>
        <v>0</v>
      </c>
      <c r="U508" s="237">
        <f t="shared" si="50"/>
        <v>0</v>
      </c>
      <c r="V508" s="238"/>
      <c r="W508" s="239"/>
      <c r="X508" s="241"/>
      <c r="Y508" s="240"/>
      <c r="Z508" s="238"/>
      <c r="AA508" s="238"/>
      <c r="AB508" s="238"/>
      <c r="AC508" s="239"/>
      <c r="AD508" s="239"/>
      <c r="AE508" s="240"/>
      <c r="AF508" s="238"/>
      <c r="AG508" s="239"/>
    </row>
    <row r="509" spans="1:33" x14ac:dyDescent="0.2">
      <c r="A509" s="388" t="s">
        <v>52</v>
      </c>
      <c r="B509" s="366" t="s">
        <v>419</v>
      </c>
      <c r="C509" s="378" t="s">
        <v>462</v>
      </c>
      <c r="D509" s="376">
        <v>228680</v>
      </c>
      <c r="E509" s="370">
        <v>8</v>
      </c>
      <c r="F509" s="235">
        <f t="shared" si="47"/>
        <v>152796</v>
      </c>
      <c r="G509" s="234">
        <f t="shared" si="48"/>
        <v>134905</v>
      </c>
      <c r="H509" s="238">
        <v>137303</v>
      </c>
      <c r="I509" s="239">
        <v>121811</v>
      </c>
      <c r="J509" s="238">
        <v>6521</v>
      </c>
      <c r="K509" s="240">
        <v>5983</v>
      </c>
      <c r="L509" s="238">
        <v>8972</v>
      </c>
      <c r="M509" s="238">
        <v>0</v>
      </c>
      <c r="N509" s="238">
        <v>0</v>
      </c>
      <c r="O509" s="239">
        <v>7111</v>
      </c>
      <c r="P509" s="239">
        <v>0</v>
      </c>
      <c r="Q509" s="240">
        <v>0</v>
      </c>
      <c r="R509" s="238"/>
      <c r="S509" s="240"/>
      <c r="T509" s="236">
        <f t="shared" si="49"/>
        <v>0</v>
      </c>
      <c r="U509" s="237">
        <f t="shared" si="50"/>
        <v>0</v>
      </c>
      <c r="V509" s="238"/>
      <c r="W509" s="239"/>
      <c r="X509" s="241"/>
      <c r="Y509" s="240"/>
      <c r="Z509" s="238"/>
      <c r="AA509" s="238"/>
      <c r="AB509" s="238"/>
      <c r="AC509" s="239"/>
      <c r="AD509" s="239"/>
      <c r="AE509" s="240"/>
      <c r="AF509" s="238"/>
      <c r="AG509" s="239"/>
    </row>
    <row r="510" spans="1:33" x14ac:dyDescent="0.2">
      <c r="A510" s="388" t="s">
        <v>52</v>
      </c>
      <c r="B510" s="366" t="s">
        <v>420</v>
      </c>
      <c r="C510" s="371"/>
      <c r="D510" s="376">
        <v>225308</v>
      </c>
      <c r="E510" s="370">
        <v>8</v>
      </c>
      <c r="F510" s="235">
        <f t="shared" si="47"/>
        <v>167830</v>
      </c>
      <c r="G510" s="234">
        <f t="shared" si="48"/>
        <v>156735</v>
      </c>
      <c r="H510" s="238">
        <v>95900</v>
      </c>
      <c r="I510" s="239">
        <v>93259</v>
      </c>
      <c r="J510" s="238">
        <v>42624</v>
      </c>
      <c r="K510" s="240">
        <v>29871</v>
      </c>
      <c r="L510" s="238">
        <v>29159</v>
      </c>
      <c r="M510" s="238">
        <v>147</v>
      </c>
      <c r="N510" s="238">
        <v>0</v>
      </c>
      <c r="O510" s="239">
        <v>33605</v>
      </c>
      <c r="P510" s="239">
        <v>0</v>
      </c>
      <c r="Q510" s="240">
        <v>0</v>
      </c>
      <c r="R510" s="238"/>
      <c r="S510" s="240"/>
      <c r="T510" s="236">
        <f t="shared" si="49"/>
        <v>0</v>
      </c>
      <c r="U510" s="237">
        <f t="shared" si="50"/>
        <v>0</v>
      </c>
      <c r="V510" s="238"/>
      <c r="W510" s="239"/>
      <c r="X510" s="241"/>
      <c r="Y510" s="240"/>
      <c r="Z510" s="238"/>
      <c r="AA510" s="238"/>
      <c r="AB510" s="238"/>
      <c r="AC510" s="239"/>
      <c r="AD510" s="239"/>
      <c r="AE510" s="240"/>
      <c r="AF510" s="238"/>
      <c r="AG510" s="239"/>
    </row>
    <row r="511" spans="1:33" x14ac:dyDescent="0.2">
      <c r="A511" s="388" t="s">
        <v>52</v>
      </c>
      <c r="B511" s="366" t="s">
        <v>421</v>
      </c>
      <c r="C511" s="378"/>
      <c r="D511" s="376">
        <v>229355</v>
      </c>
      <c r="E511" s="381">
        <v>8</v>
      </c>
      <c r="F511" s="235">
        <f t="shared" si="47"/>
        <v>259782</v>
      </c>
      <c r="G511" s="234">
        <f t="shared" si="48"/>
        <v>239480</v>
      </c>
      <c r="H511" s="238">
        <v>186994</v>
      </c>
      <c r="I511" s="239">
        <v>171232</v>
      </c>
      <c r="J511" s="238">
        <v>1355</v>
      </c>
      <c r="K511" s="240">
        <v>3628</v>
      </c>
      <c r="L511" s="238">
        <v>71085</v>
      </c>
      <c r="M511" s="238">
        <v>0</v>
      </c>
      <c r="N511" s="238">
        <v>348</v>
      </c>
      <c r="O511" s="239">
        <v>64422</v>
      </c>
      <c r="P511" s="239">
        <v>0</v>
      </c>
      <c r="Q511" s="240">
        <v>198</v>
      </c>
      <c r="R511" s="238"/>
      <c r="S511" s="240"/>
      <c r="T511" s="236">
        <f t="shared" si="49"/>
        <v>0</v>
      </c>
      <c r="U511" s="237">
        <f t="shared" si="50"/>
        <v>0</v>
      </c>
      <c r="V511" s="238"/>
      <c r="W511" s="239"/>
      <c r="X511" s="241"/>
      <c r="Y511" s="240"/>
      <c r="Z511" s="238"/>
      <c r="AA511" s="238"/>
      <c r="AB511" s="238"/>
      <c r="AC511" s="239"/>
      <c r="AD511" s="239"/>
      <c r="AE511" s="240"/>
      <c r="AF511" s="238"/>
      <c r="AG511" s="239"/>
    </row>
    <row r="512" spans="1:33" x14ac:dyDescent="0.2">
      <c r="A512" s="388" t="s">
        <v>52</v>
      </c>
      <c r="B512" s="366" t="s">
        <v>422</v>
      </c>
      <c r="C512" s="378"/>
      <c r="D512" s="376">
        <v>222567</v>
      </c>
      <c r="E512" s="381">
        <v>9</v>
      </c>
      <c r="F512" s="235">
        <f t="shared" si="47"/>
        <v>106578</v>
      </c>
      <c r="G512" s="234">
        <f t="shared" si="48"/>
        <v>101785</v>
      </c>
      <c r="H512" s="238">
        <v>88842</v>
      </c>
      <c r="I512" s="239">
        <v>84719</v>
      </c>
      <c r="J512" s="238">
        <v>17736</v>
      </c>
      <c r="K512" s="240">
        <v>17066</v>
      </c>
      <c r="L512" s="238">
        <v>0</v>
      </c>
      <c r="M512" s="238">
        <v>0</v>
      </c>
      <c r="N512" s="238">
        <v>0</v>
      </c>
      <c r="O512" s="239">
        <v>0</v>
      </c>
      <c r="P512" s="239">
        <v>0</v>
      </c>
      <c r="Q512" s="240">
        <v>0</v>
      </c>
      <c r="R512" s="238"/>
      <c r="S512" s="240"/>
      <c r="T512" s="236">
        <f t="shared" si="49"/>
        <v>0</v>
      </c>
      <c r="U512" s="237">
        <f t="shared" si="50"/>
        <v>0</v>
      </c>
      <c r="V512" s="238"/>
      <c r="W512" s="239"/>
      <c r="X512" s="241"/>
      <c r="Y512" s="240"/>
      <c r="Z512" s="238"/>
      <c r="AA512" s="238"/>
      <c r="AB512" s="238"/>
      <c r="AC512" s="239"/>
      <c r="AD512" s="239"/>
      <c r="AE512" s="240"/>
      <c r="AF512" s="238"/>
      <c r="AG512" s="239"/>
    </row>
    <row r="513" spans="1:33" x14ac:dyDescent="0.2">
      <c r="A513" s="388" t="s">
        <v>52</v>
      </c>
      <c r="B513" s="366" t="s">
        <v>423</v>
      </c>
      <c r="C513" s="378"/>
      <c r="D513" s="376">
        <v>222822</v>
      </c>
      <c r="E513" s="381">
        <v>9</v>
      </c>
      <c r="F513" s="235">
        <f t="shared" si="47"/>
        <v>113896</v>
      </c>
      <c r="G513" s="234">
        <f t="shared" si="48"/>
        <v>106118</v>
      </c>
      <c r="H513" s="238">
        <v>72306</v>
      </c>
      <c r="I513" s="239">
        <v>64018</v>
      </c>
      <c r="J513" s="238">
        <v>13237</v>
      </c>
      <c r="K513" s="240">
        <v>10232</v>
      </c>
      <c r="L513" s="238">
        <v>20104</v>
      </c>
      <c r="M513" s="238">
        <v>8189</v>
      </c>
      <c r="N513" s="238">
        <v>60</v>
      </c>
      <c r="O513" s="239">
        <v>21357</v>
      </c>
      <c r="P513" s="239">
        <v>10511</v>
      </c>
      <c r="Q513" s="240">
        <v>0</v>
      </c>
      <c r="R513" s="238"/>
      <c r="S513" s="240"/>
      <c r="T513" s="236">
        <f t="shared" si="49"/>
        <v>0</v>
      </c>
      <c r="U513" s="237">
        <f t="shared" si="50"/>
        <v>0</v>
      </c>
      <c r="V513" s="238"/>
      <c r="W513" s="239"/>
      <c r="X513" s="241"/>
      <c r="Y513" s="240"/>
      <c r="Z513" s="238"/>
      <c r="AA513" s="238"/>
      <c r="AB513" s="238"/>
      <c r="AC513" s="239"/>
      <c r="AD513" s="239"/>
      <c r="AE513" s="240"/>
      <c r="AF513" s="238"/>
      <c r="AG513" s="239"/>
    </row>
    <row r="514" spans="1:33" x14ac:dyDescent="0.2">
      <c r="A514" s="388" t="s">
        <v>52</v>
      </c>
      <c r="B514" s="366" t="s">
        <v>424</v>
      </c>
      <c r="C514" s="378"/>
      <c r="D514" s="376">
        <v>223773</v>
      </c>
      <c r="E514" s="381">
        <v>9</v>
      </c>
      <c r="F514" s="235">
        <f t="shared" si="47"/>
        <v>111968</v>
      </c>
      <c r="G514" s="234">
        <f t="shared" si="48"/>
        <v>101285</v>
      </c>
      <c r="H514" s="238">
        <v>71640</v>
      </c>
      <c r="I514" s="239">
        <v>60179</v>
      </c>
      <c r="J514" s="238">
        <v>1572</v>
      </c>
      <c r="K514" s="240">
        <v>1679</v>
      </c>
      <c r="L514" s="238">
        <v>38756</v>
      </c>
      <c r="M514" s="238">
        <v>0</v>
      </c>
      <c r="N514" s="238">
        <v>0</v>
      </c>
      <c r="O514" s="239">
        <v>39427</v>
      </c>
      <c r="P514" s="239">
        <v>0</v>
      </c>
      <c r="Q514" s="240">
        <v>0</v>
      </c>
      <c r="R514" s="238"/>
      <c r="S514" s="240"/>
      <c r="T514" s="236">
        <f t="shared" si="49"/>
        <v>0</v>
      </c>
      <c r="U514" s="237">
        <f t="shared" si="50"/>
        <v>0</v>
      </c>
      <c r="V514" s="238"/>
      <c r="W514" s="239"/>
      <c r="X514" s="241"/>
      <c r="Y514" s="240"/>
      <c r="Z514" s="238"/>
      <c r="AA514" s="238"/>
      <c r="AB514" s="238"/>
      <c r="AC514" s="239"/>
      <c r="AD514" s="239"/>
      <c r="AE514" s="240"/>
      <c r="AF514" s="238"/>
      <c r="AG514" s="239"/>
    </row>
    <row r="515" spans="1:33" x14ac:dyDescent="0.2">
      <c r="A515" s="388" t="s">
        <v>52</v>
      </c>
      <c r="B515" s="366" t="s">
        <v>425</v>
      </c>
      <c r="C515" s="378"/>
      <c r="D515" s="376">
        <v>223898</v>
      </c>
      <c r="E515" s="381">
        <v>9</v>
      </c>
      <c r="F515" s="235">
        <f t="shared" si="47"/>
        <v>94568</v>
      </c>
      <c r="G515" s="234">
        <f t="shared" si="48"/>
        <v>83959</v>
      </c>
      <c r="H515" s="238">
        <v>15015</v>
      </c>
      <c r="I515" s="239">
        <v>13080</v>
      </c>
      <c r="J515" s="238">
        <v>56714</v>
      </c>
      <c r="K515" s="240">
        <v>48195</v>
      </c>
      <c r="L515" s="238">
        <v>21567</v>
      </c>
      <c r="M515" s="238">
        <v>1272</v>
      </c>
      <c r="N515" s="238">
        <v>0</v>
      </c>
      <c r="O515" s="239">
        <v>21721</v>
      </c>
      <c r="P515" s="239">
        <v>959</v>
      </c>
      <c r="Q515" s="240">
        <v>4</v>
      </c>
      <c r="R515" s="238"/>
      <c r="S515" s="240"/>
      <c r="T515" s="236">
        <f t="shared" si="49"/>
        <v>0</v>
      </c>
      <c r="U515" s="237">
        <f t="shared" si="50"/>
        <v>0</v>
      </c>
      <c r="V515" s="238"/>
      <c r="W515" s="239"/>
      <c r="X515" s="241"/>
      <c r="Y515" s="240"/>
      <c r="Z515" s="238"/>
      <c r="AA515" s="238"/>
      <c r="AB515" s="238"/>
      <c r="AC515" s="239"/>
      <c r="AD515" s="239"/>
      <c r="AE515" s="240"/>
      <c r="AF515" s="238"/>
      <c r="AG515" s="239"/>
    </row>
    <row r="516" spans="1:33" x14ac:dyDescent="0.2">
      <c r="A516" s="388" t="s">
        <v>52</v>
      </c>
      <c r="B516" s="366" t="s">
        <v>426</v>
      </c>
      <c r="C516" s="378"/>
      <c r="D516" s="376">
        <v>223320</v>
      </c>
      <c r="E516" s="381">
        <v>9</v>
      </c>
      <c r="F516" s="235">
        <f t="shared" si="47"/>
        <v>79616</v>
      </c>
      <c r="G516" s="234">
        <f t="shared" si="48"/>
        <v>70874</v>
      </c>
      <c r="H516" s="238">
        <v>22969</v>
      </c>
      <c r="I516" s="239">
        <v>20136</v>
      </c>
      <c r="J516" s="238">
        <v>35841</v>
      </c>
      <c r="K516" s="240">
        <v>29173</v>
      </c>
      <c r="L516" s="238">
        <v>13390</v>
      </c>
      <c r="M516" s="238">
        <v>4902</v>
      </c>
      <c r="N516" s="238">
        <v>2514</v>
      </c>
      <c r="O516" s="239">
        <v>15279</v>
      </c>
      <c r="P516" s="239">
        <v>4435</v>
      </c>
      <c r="Q516" s="240">
        <v>1851</v>
      </c>
      <c r="R516" s="238"/>
      <c r="S516" s="240"/>
      <c r="T516" s="236">
        <f t="shared" si="49"/>
        <v>0</v>
      </c>
      <c r="U516" s="237">
        <f t="shared" si="50"/>
        <v>0</v>
      </c>
      <c r="V516" s="238"/>
      <c r="W516" s="239"/>
      <c r="X516" s="241"/>
      <c r="Y516" s="240"/>
      <c r="Z516" s="238"/>
      <c r="AA516" s="238"/>
      <c r="AB516" s="238"/>
      <c r="AC516" s="239"/>
      <c r="AD516" s="239"/>
      <c r="AE516" s="240"/>
      <c r="AF516" s="238"/>
      <c r="AG516" s="239"/>
    </row>
    <row r="517" spans="1:33" x14ac:dyDescent="0.2">
      <c r="A517" s="388" t="s">
        <v>52</v>
      </c>
      <c r="B517" s="366" t="s">
        <v>427</v>
      </c>
      <c r="C517" s="378"/>
      <c r="D517" s="376">
        <v>226408</v>
      </c>
      <c r="E517" s="381">
        <v>9</v>
      </c>
      <c r="F517" s="235">
        <f t="shared" si="47"/>
        <v>87306</v>
      </c>
      <c r="G517" s="234">
        <f t="shared" si="48"/>
        <v>82382</v>
      </c>
      <c r="H517" s="238">
        <v>80631</v>
      </c>
      <c r="I517" s="239">
        <v>74828</v>
      </c>
      <c r="J517" s="238">
        <v>6675</v>
      </c>
      <c r="K517" s="240">
        <v>7554</v>
      </c>
      <c r="L517" s="238">
        <v>0</v>
      </c>
      <c r="M517" s="238">
        <v>0</v>
      </c>
      <c r="N517" s="238">
        <v>0</v>
      </c>
      <c r="O517" s="239">
        <v>0</v>
      </c>
      <c r="P517" s="239">
        <v>0</v>
      </c>
      <c r="Q517" s="240">
        <v>0</v>
      </c>
      <c r="R517" s="238"/>
      <c r="S517" s="240"/>
      <c r="T517" s="236">
        <f t="shared" si="49"/>
        <v>0</v>
      </c>
      <c r="U517" s="237">
        <f t="shared" si="50"/>
        <v>0</v>
      </c>
      <c r="V517" s="238"/>
      <c r="W517" s="239"/>
      <c r="X517" s="241"/>
      <c r="Y517" s="240"/>
      <c r="Z517" s="238"/>
      <c r="AA517" s="238"/>
      <c r="AB517" s="238"/>
      <c r="AC517" s="239"/>
      <c r="AD517" s="239"/>
      <c r="AE517" s="240"/>
      <c r="AF517" s="238"/>
      <c r="AG517" s="239"/>
    </row>
    <row r="518" spans="1:33" x14ac:dyDescent="0.2">
      <c r="A518" s="388" t="s">
        <v>52</v>
      </c>
      <c r="B518" s="366" t="s">
        <v>428</v>
      </c>
      <c r="C518" s="378"/>
      <c r="D518" s="376">
        <v>225070</v>
      </c>
      <c r="E518" s="381">
        <v>9</v>
      </c>
      <c r="F518" s="235">
        <f t="shared" si="47"/>
        <v>116342</v>
      </c>
      <c r="G518" s="234">
        <f t="shared" si="48"/>
        <v>105481</v>
      </c>
      <c r="H518" s="238">
        <v>78792</v>
      </c>
      <c r="I518" s="239">
        <v>66925</v>
      </c>
      <c r="J518" s="238">
        <v>2249</v>
      </c>
      <c r="K518" s="240">
        <v>3170</v>
      </c>
      <c r="L518" s="238">
        <v>33174</v>
      </c>
      <c r="M518" s="238">
        <v>0</v>
      </c>
      <c r="N518" s="238">
        <v>2127</v>
      </c>
      <c r="O518" s="239">
        <v>32977</v>
      </c>
      <c r="P518" s="239">
        <v>0</v>
      </c>
      <c r="Q518" s="240">
        <v>2409</v>
      </c>
      <c r="R518" s="238"/>
      <c r="S518" s="240"/>
      <c r="T518" s="236">
        <f t="shared" si="49"/>
        <v>0</v>
      </c>
      <c r="U518" s="237">
        <f t="shared" si="50"/>
        <v>0</v>
      </c>
      <c r="V518" s="238"/>
      <c r="W518" s="239"/>
      <c r="X518" s="241"/>
      <c r="Y518" s="240"/>
      <c r="Z518" s="238"/>
      <c r="AA518" s="238"/>
      <c r="AB518" s="238"/>
      <c r="AC518" s="239"/>
      <c r="AD518" s="239"/>
      <c r="AE518" s="240"/>
      <c r="AF518" s="238"/>
      <c r="AG518" s="239"/>
    </row>
    <row r="519" spans="1:33" x14ac:dyDescent="0.2">
      <c r="A519" s="388" t="s">
        <v>52</v>
      </c>
      <c r="B519" s="366" t="s">
        <v>429</v>
      </c>
      <c r="C519" s="378"/>
      <c r="D519" s="376">
        <v>225371</v>
      </c>
      <c r="E519" s="381">
        <v>9</v>
      </c>
      <c r="F519" s="235">
        <f t="shared" si="47"/>
        <v>94640</v>
      </c>
      <c r="G519" s="234">
        <f t="shared" si="48"/>
        <v>93796</v>
      </c>
      <c r="H519" s="238">
        <v>20672</v>
      </c>
      <c r="I519" s="239">
        <v>22891</v>
      </c>
      <c r="J519" s="238">
        <v>40614</v>
      </c>
      <c r="K519" s="240">
        <v>35526</v>
      </c>
      <c r="L519" s="238">
        <v>31389</v>
      </c>
      <c r="M519" s="238">
        <v>1965</v>
      </c>
      <c r="N519" s="238">
        <v>0</v>
      </c>
      <c r="O519" s="239">
        <v>33849</v>
      </c>
      <c r="P519" s="239">
        <v>1530</v>
      </c>
      <c r="Q519" s="240">
        <v>0</v>
      </c>
      <c r="R519" s="238"/>
      <c r="S519" s="240"/>
      <c r="T519" s="236">
        <f t="shared" si="49"/>
        <v>0</v>
      </c>
      <c r="U519" s="237">
        <f t="shared" si="50"/>
        <v>0</v>
      </c>
      <c r="V519" s="238"/>
      <c r="W519" s="239"/>
      <c r="X519" s="241"/>
      <c r="Y519" s="240"/>
      <c r="Z519" s="238"/>
      <c r="AA519" s="238"/>
      <c r="AB519" s="238"/>
      <c r="AC519" s="239"/>
      <c r="AD519" s="239"/>
      <c r="AE519" s="240"/>
      <c r="AF519" s="238"/>
      <c r="AG519" s="239"/>
    </row>
    <row r="520" spans="1:33" x14ac:dyDescent="0.2">
      <c r="A520" s="365" t="s">
        <v>52</v>
      </c>
      <c r="B520" s="366" t="s">
        <v>430</v>
      </c>
      <c r="C520" s="378"/>
      <c r="D520" s="376">
        <v>225520</v>
      </c>
      <c r="E520" s="381">
        <v>9</v>
      </c>
      <c r="F520" s="235">
        <f t="shared" si="47"/>
        <v>87037</v>
      </c>
      <c r="G520" s="234">
        <f t="shared" si="48"/>
        <v>80850</v>
      </c>
      <c r="H520" s="238">
        <v>19185</v>
      </c>
      <c r="I520" s="426">
        <v>18676</v>
      </c>
      <c r="J520" s="238">
        <v>38301</v>
      </c>
      <c r="K520" s="426">
        <v>34411</v>
      </c>
      <c r="L520" s="238">
        <v>24526</v>
      </c>
      <c r="M520" s="238">
        <v>4773</v>
      </c>
      <c r="N520" s="238">
        <v>252</v>
      </c>
      <c r="O520" s="239">
        <v>23688</v>
      </c>
      <c r="P520" s="239">
        <v>3802</v>
      </c>
      <c r="Q520" s="240">
        <v>273</v>
      </c>
      <c r="R520" s="238"/>
      <c r="S520" s="240"/>
      <c r="T520" s="236">
        <f t="shared" si="49"/>
        <v>0</v>
      </c>
      <c r="U520" s="237">
        <f t="shared" si="50"/>
        <v>0</v>
      </c>
      <c r="V520" s="238"/>
      <c r="W520" s="239"/>
      <c r="X520" s="241"/>
      <c r="Y520" s="240"/>
      <c r="Z520" s="238"/>
      <c r="AA520" s="238"/>
      <c r="AB520" s="238"/>
      <c r="AC520" s="239"/>
      <c r="AD520" s="239"/>
      <c r="AE520" s="240"/>
      <c r="AF520" s="238"/>
      <c r="AG520" s="239"/>
    </row>
    <row r="521" spans="1:33" x14ac:dyDescent="0.2">
      <c r="A521" s="365" t="s">
        <v>52</v>
      </c>
      <c r="B521" s="374" t="s">
        <v>431</v>
      </c>
      <c r="C521" s="375"/>
      <c r="D521" s="382">
        <v>441760</v>
      </c>
      <c r="E521" s="383">
        <v>9</v>
      </c>
      <c r="F521" s="235">
        <f t="shared" si="47"/>
        <v>64380</v>
      </c>
      <c r="G521" s="234">
        <f t="shared" si="48"/>
        <v>59358</v>
      </c>
      <c r="H521" s="238">
        <v>60737</v>
      </c>
      <c r="I521" s="426">
        <v>54170</v>
      </c>
      <c r="J521" s="238">
        <v>1462</v>
      </c>
      <c r="K521" s="426">
        <v>1735</v>
      </c>
      <c r="L521" s="238">
        <v>2136</v>
      </c>
      <c r="M521" s="238">
        <v>45</v>
      </c>
      <c r="N521" s="238">
        <v>0</v>
      </c>
      <c r="O521" s="239">
        <v>3381</v>
      </c>
      <c r="P521" s="239">
        <v>66</v>
      </c>
      <c r="Q521" s="240">
        <v>6</v>
      </c>
      <c r="R521" s="238"/>
      <c r="S521" s="240"/>
      <c r="T521" s="236">
        <f t="shared" si="49"/>
        <v>0</v>
      </c>
      <c r="U521" s="237">
        <f t="shared" si="50"/>
        <v>0</v>
      </c>
      <c r="V521" s="238"/>
      <c r="W521" s="239"/>
      <c r="X521" s="241"/>
      <c r="Y521" s="240"/>
      <c r="Z521" s="238"/>
      <c r="AA521" s="238"/>
      <c r="AB521" s="238"/>
      <c r="AC521" s="239"/>
      <c r="AD521" s="239"/>
      <c r="AE521" s="240"/>
      <c r="AF521" s="238"/>
      <c r="AG521" s="239"/>
    </row>
    <row r="522" spans="1:33" x14ac:dyDescent="0.2">
      <c r="A522" s="365" t="s">
        <v>52</v>
      </c>
      <c r="B522" s="374" t="s">
        <v>449</v>
      </c>
      <c r="C522" s="384" t="s">
        <v>463</v>
      </c>
      <c r="D522" s="382">
        <v>226116</v>
      </c>
      <c r="E522" s="385">
        <v>9</v>
      </c>
      <c r="F522" s="235">
        <f t="shared" si="47"/>
        <v>59265</v>
      </c>
      <c r="G522" s="234">
        <f t="shared" si="48"/>
        <v>61749</v>
      </c>
      <c r="H522" s="238">
        <v>40622</v>
      </c>
      <c r="I522" s="426">
        <v>38109</v>
      </c>
      <c r="J522" s="238">
        <v>5436</v>
      </c>
      <c r="K522" s="426">
        <v>4813</v>
      </c>
      <c r="L522" s="238">
        <v>13207</v>
      </c>
      <c r="M522" s="238">
        <v>0</v>
      </c>
      <c r="N522" s="238">
        <v>0</v>
      </c>
      <c r="O522" s="239">
        <v>18827</v>
      </c>
      <c r="P522" s="239">
        <v>0</v>
      </c>
      <c r="Q522" s="240">
        <v>0</v>
      </c>
      <c r="R522" s="238"/>
      <c r="S522" s="240"/>
      <c r="T522" s="236">
        <f t="shared" si="49"/>
        <v>0</v>
      </c>
      <c r="U522" s="237">
        <f t="shared" si="50"/>
        <v>0</v>
      </c>
      <c r="V522" s="238"/>
      <c r="W522" s="239"/>
      <c r="X522" s="241"/>
      <c r="Y522" s="240"/>
      <c r="Z522" s="238"/>
      <c r="AA522" s="238"/>
      <c r="AB522" s="238"/>
      <c r="AC522" s="239"/>
      <c r="AD522" s="239"/>
      <c r="AE522" s="240"/>
      <c r="AF522" s="238"/>
      <c r="AG522" s="239"/>
    </row>
    <row r="523" spans="1:33" x14ac:dyDescent="0.2">
      <c r="A523" s="365" t="s">
        <v>52</v>
      </c>
      <c r="B523" s="366" t="s">
        <v>432</v>
      </c>
      <c r="C523" s="378"/>
      <c r="D523" s="376">
        <v>226204</v>
      </c>
      <c r="E523" s="381">
        <v>9</v>
      </c>
      <c r="F523" s="235">
        <f t="shared" si="47"/>
        <v>140128</v>
      </c>
      <c r="G523" s="234">
        <f t="shared" si="48"/>
        <v>126903</v>
      </c>
      <c r="H523" s="238">
        <v>108264</v>
      </c>
      <c r="I523" s="426">
        <v>91070</v>
      </c>
      <c r="J523" s="238">
        <v>16754</v>
      </c>
      <c r="K523" s="426">
        <v>18009</v>
      </c>
      <c r="L523" s="238">
        <v>14790</v>
      </c>
      <c r="M523" s="238">
        <v>0</v>
      </c>
      <c r="N523" s="238">
        <v>320</v>
      </c>
      <c r="O523" s="239">
        <v>17824</v>
      </c>
      <c r="P523" s="239">
        <v>0</v>
      </c>
      <c r="Q523" s="240">
        <v>0</v>
      </c>
      <c r="R523" s="238"/>
      <c r="S523" s="240"/>
      <c r="T523" s="236">
        <f t="shared" si="49"/>
        <v>0</v>
      </c>
      <c r="U523" s="237">
        <f t="shared" si="50"/>
        <v>0</v>
      </c>
      <c r="V523" s="238"/>
      <c r="W523" s="239"/>
      <c r="X523" s="241"/>
      <c r="Y523" s="240"/>
      <c r="Z523" s="238"/>
      <c r="AA523" s="238"/>
      <c r="AB523" s="238"/>
      <c r="AC523" s="239"/>
      <c r="AD523" s="239"/>
      <c r="AE523" s="240"/>
      <c r="AF523" s="238"/>
      <c r="AG523" s="239"/>
    </row>
    <row r="524" spans="1:33" x14ac:dyDescent="0.2">
      <c r="A524" s="365" t="s">
        <v>52</v>
      </c>
      <c r="B524" s="372" t="s">
        <v>433</v>
      </c>
      <c r="C524" s="373"/>
      <c r="D524" s="376">
        <v>226930</v>
      </c>
      <c r="E524" s="381">
        <v>9</v>
      </c>
      <c r="F524" s="235">
        <f t="shared" si="47"/>
        <v>146492</v>
      </c>
      <c r="G524" s="234">
        <f t="shared" si="48"/>
        <v>141205</v>
      </c>
      <c r="H524" s="238">
        <v>111995</v>
      </c>
      <c r="I524" s="426">
        <v>103999</v>
      </c>
      <c r="J524" s="238">
        <v>0</v>
      </c>
      <c r="K524" s="426">
        <v>0</v>
      </c>
      <c r="L524" s="238">
        <v>34497</v>
      </c>
      <c r="M524" s="238">
        <v>0</v>
      </c>
      <c r="N524" s="238">
        <v>0</v>
      </c>
      <c r="O524" s="239">
        <v>37206</v>
      </c>
      <c r="P524" s="239">
        <v>0</v>
      </c>
      <c r="Q524" s="240">
        <v>0</v>
      </c>
      <c r="R524" s="238"/>
      <c r="S524" s="240"/>
      <c r="T524" s="236">
        <f t="shared" si="49"/>
        <v>0</v>
      </c>
      <c r="U524" s="237">
        <f t="shared" si="50"/>
        <v>0</v>
      </c>
      <c r="V524" s="238"/>
      <c r="W524" s="239"/>
      <c r="X524" s="241"/>
      <c r="Y524" s="240"/>
      <c r="Z524" s="238"/>
      <c r="AA524" s="238"/>
      <c r="AB524" s="238"/>
      <c r="AC524" s="239"/>
      <c r="AD524" s="239"/>
      <c r="AE524" s="240"/>
      <c r="AF524" s="238"/>
      <c r="AG524" s="239"/>
    </row>
    <row r="525" spans="1:33" x14ac:dyDescent="0.2">
      <c r="A525" s="365" t="s">
        <v>52</v>
      </c>
      <c r="B525" s="366" t="s">
        <v>434</v>
      </c>
      <c r="C525" s="371"/>
      <c r="D525" s="376">
        <v>227225</v>
      </c>
      <c r="E525" s="370">
        <v>9</v>
      </c>
      <c r="F525" s="235">
        <f t="shared" si="47"/>
        <v>72602</v>
      </c>
      <c r="G525" s="234">
        <f t="shared" si="48"/>
        <v>71053</v>
      </c>
      <c r="H525" s="238">
        <v>54188</v>
      </c>
      <c r="I525" s="239">
        <v>56145</v>
      </c>
      <c r="J525" s="238">
        <v>1129</v>
      </c>
      <c r="K525" s="240">
        <v>1086</v>
      </c>
      <c r="L525" s="238">
        <v>17027</v>
      </c>
      <c r="M525" s="238">
        <v>258</v>
      </c>
      <c r="N525" s="238">
        <v>0</v>
      </c>
      <c r="O525" s="239">
        <v>13822</v>
      </c>
      <c r="P525" s="239">
        <v>0</v>
      </c>
      <c r="Q525" s="240">
        <v>0</v>
      </c>
      <c r="R525" s="238"/>
      <c r="S525" s="240"/>
      <c r="T525" s="236">
        <f t="shared" si="49"/>
        <v>0</v>
      </c>
      <c r="U525" s="237">
        <f t="shared" si="50"/>
        <v>0</v>
      </c>
      <c r="V525" s="238"/>
      <c r="W525" s="239"/>
      <c r="X525" s="241"/>
      <c r="Y525" s="240"/>
      <c r="Z525" s="238"/>
      <c r="AA525" s="238"/>
      <c r="AB525" s="238"/>
      <c r="AC525" s="239"/>
      <c r="AD525" s="239"/>
      <c r="AE525" s="240"/>
      <c r="AF525" s="238"/>
      <c r="AG525" s="239"/>
    </row>
    <row r="526" spans="1:33" x14ac:dyDescent="0.2">
      <c r="A526" s="365" t="s">
        <v>52</v>
      </c>
      <c r="B526" s="366" t="s">
        <v>435</v>
      </c>
      <c r="C526" s="378"/>
      <c r="D526" s="376">
        <v>227304</v>
      </c>
      <c r="E526" s="381">
        <v>9</v>
      </c>
      <c r="F526" s="235">
        <f t="shared" si="47"/>
        <v>98768</v>
      </c>
      <c r="G526" s="234">
        <f t="shared" si="48"/>
        <v>93640</v>
      </c>
      <c r="H526" s="238">
        <v>59110</v>
      </c>
      <c r="I526" s="239">
        <v>51467</v>
      </c>
      <c r="J526" s="238">
        <v>6877</v>
      </c>
      <c r="K526" s="240">
        <v>8071</v>
      </c>
      <c r="L526" s="238">
        <v>32466</v>
      </c>
      <c r="M526" s="238">
        <v>315</v>
      </c>
      <c r="N526" s="238">
        <v>0</v>
      </c>
      <c r="O526" s="239">
        <v>34102</v>
      </c>
      <c r="P526" s="239">
        <v>0</v>
      </c>
      <c r="Q526" s="240">
        <v>0</v>
      </c>
      <c r="R526" s="238"/>
      <c r="S526" s="240"/>
      <c r="T526" s="236">
        <f t="shared" si="49"/>
        <v>0</v>
      </c>
      <c r="U526" s="237">
        <f t="shared" si="50"/>
        <v>0</v>
      </c>
      <c r="V526" s="238"/>
      <c r="W526" s="239"/>
      <c r="X526" s="241"/>
      <c r="Y526" s="240"/>
      <c r="Z526" s="238"/>
      <c r="AA526" s="238"/>
      <c r="AB526" s="238"/>
      <c r="AC526" s="239"/>
      <c r="AD526" s="239"/>
      <c r="AE526" s="240"/>
      <c r="AF526" s="238"/>
      <c r="AG526" s="239"/>
    </row>
    <row r="527" spans="1:33" x14ac:dyDescent="0.2">
      <c r="A527" s="365" t="s">
        <v>52</v>
      </c>
      <c r="B527" s="366" t="s">
        <v>436</v>
      </c>
      <c r="C527" s="378"/>
      <c r="D527" s="376">
        <v>227401</v>
      </c>
      <c r="E527" s="381">
        <v>9</v>
      </c>
      <c r="F527" s="235">
        <f t="shared" si="47"/>
        <v>131884</v>
      </c>
      <c r="G527" s="234">
        <f t="shared" si="48"/>
        <v>121470</v>
      </c>
      <c r="H527" s="238">
        <v>50395</v>
      </c>
      <c r="I527" s="239">
        <v>44355</v>
      </c>
      <c r="J527" s="238">
        <v>41866</v>
      </c>
      <c r="K527" s="240">
        <v>40005</v>
      </c>
      <c r="L527" s="238">
        <v>36365</v>
      </c>
      <c r="M527" s="238">
        <v>3258</v>
      </c>
      <c r="N527" s="238">
        <v>0</v>
      </c>
      <c r="O527" s="239">
        <v>34029</v>
      </c>
      <c r="P527" s="239">
        <v>3081</v>
      </c>
      <c r="Q527" s="240">
        <v>0</v>
      </c>
      <c r="R527" s="238"/>
      <c r="S527" s="240"/>
      <c r="T527" s="236">
        <f t="shared" si="49"/>
        <v>0</v>
      </c>
      <c r="U527" s="237">
        <f t="shared" si="50"/>
        <v>0</v>
      </c>
      <c r="V527" s="238"/>
      <c r="W527" s="239"/>
      <c r="X527" s="241"/>
      <c r="Y527" s="240"/>
      <c r="Z527" s="238"/>
      <c r="AA527" s="238"/>
      <c r="AB527" s="238"/>
      <c r="AC527" s="239"/>
      <c r="AD527" s="239"/>
      <c r="AE527" s="240"/>
      <c r="AF527" s="238"/>
      <c r="AG527" s="239"/>
    </row>
    <row r="528" spans="1:33" x14ac:dyDescent="0.2">
      <c r="A528" s="365" t="s">
        <v>52</v>
      </c>
      <c r="B528" s="366" t="s">
        <v>437</v>
      </c>
      <c r="C528" s="378"/>
      <c r="D528" s="376">
        <v>228316</v>
      </c>
      <c r="E528" s="381">
        <v>9</v>
      </c>
      <c r="F528" s="235">
        <f t="shared" si="47"/>
        <v>111605</v>
      </c>
      <c r="G528" s="234">
        <f t="shared" si="48"/>
        <v>104546</v>
      </c>
      <c r="H528" s="238">
        <v>31767</v>
      </c>
      <c r="I528" s="239">
        <v>28843</v>
      </c>
      <c r="J528" s="238">
        <v>52200</v>
      </c>
      <c r="K528" s="240">
        <v>49291</v>
      </c>
      <c r="L528" s="238">
        <v>9529</v>
      </c>
      <c r="M528" s="238">
        <v>18109</v>
      </c>
      <c r="N528" s="238">
        <v>0</v>
      </c>
      <c r="O528" s="239">
        <v>9991</v>
      </c>
      <c r="P528" s="239">
        <v>16421</v>
      </c>
      <c r="Q528" s="240">
        <v>0</v>
      </c>
      <c r="R528" s="238"/>
      <c r="S528" s="240"/>
      <c r="T528" s="236">
        <f t="shared" si="49"/>
        <v>0</v>
      </c>
      <c r="U528" s="237">
        <f t="shared" si="50"/>
        <v>0</v>
      </c>
      <c r="V528" s="238"/>
      <c r="W528" s="239"/>
      <c r="X528" s="241"/>
      <c r="Y528" s="240"/>
      <c r="Z528" s="238"/>
      <c r="AA528" s="238"/>
      <c r="AB528" s="238"/>
      <c r="AC528" s="239"/>
      <c r="AD528" s="239"/>
      <c r="AE528" s="240"/>
      <c r="AF528" s="238"/>
      <c r="AG528" s="239"/>
    </row>
    <row r="529" spans="1:33" x14ac:dyDescent="0.2">
      <c r="A529" s="365" t="s">
        <v>52</v>
      </c>
      <c r="B529" s="366" t="s">
        <v>438</v>
      </c>
      <c r="C529" s="378"/>
      <c r="D529" s="376">
        <v>228608</v>
      </c>
      <c r="E529" s="381">
        <v>9</v>
      </c>
      <c r="F529" s="235">
        <f t="shared" ref="F529:F584" si="51">SUM(H529,J529,L529,M529,N529,R529)</f>
        <v>121557</v>
      </c>
      <c r="G529" s="234">
        <f t="shared" ref="G529:G584" si="52">SUM(I529,K529,O529,P529,Q529,S529)</f>
        <v>113632</v>
      </c>
      <c r="H529" s="238">
        <v>68990</v>
      </c>
      <c r="I529" s="239">
        <v>62408</v>
      </c>
      <c r="J529" s="238">
        <v>16971</v>
      </c>
      <c r="K529" s="240">
        <v>14882</v>
      </c>
      <c r="L529" s="238">
        <v>35556</v>
      </c>
      <c r="M529" s="238">
        <v>40</v>
      </c>
      <c r="N529" s="238">
        <v>0</v>
      </c>
      <c r="O529" s="239">
        <v>36198</v>
      </c>
      <c r="P529" s="239">
        <v>144</v>
      </c>
      <c r="Q529" s="240">
        <v>0</v>
      </c>
      <c r="R529" s="238"/>
      <c r="S529" s="240"/>
      <c r="T529" s="236">
        <f t="shared" ref="T529:T584" si="53">SUM(V529,X529,Z529,AA529,AB529,AF529)</f>
        <v>0</v>
      </c>
      <c r="U529" s="237">
        <f t="shared" ref="U529:U584" si="54">SUM(W529,Y529,AC529,AD529,AE529,AG529)</f>
        <v>0</v>
      </c>
      <c r="V529" s="238"/>
      <c r="W529" s="239"/>
      <c r="X529" s="241"/>
      <c r="Y529" s="240"/>
      <c r="Z529" s="238"/>
      <c r="AA529" s="238"/>
      <c r="AB529" s="238"/>
      <c r="AC529" s="239"/>
      <c r="AD529" s="239"/>
      <c r="AE529" s="240"/>
      <c r="AF529" s="238"/>
      <c r="AG529" s="239"/>
    </row>
    <row r="530" spans="1:33" x14ac:dyDescent="0.2">
      <c r="A530" s="365" t="s">
        <v>52</v>
      </c>
      <c r="B530" s="366" t="s">
        <v>439</v>
      </c>
      <c r="C530" s="378"/>
      <c r="D530" s="376">
        <v>228699</v>
      </c>
      <c r="E530" s="381">
        <v>9</v>
      </c>
      <c r="F530" s="235">
        <f t="shared" si="51"/>
        <v>87487</v>
      </c>
      <c r="G530" s="234">
        <f t="shared" si="52"/>
        <v>77548</v>
      </c>
      <c r="H530" s="238">
        <v>72119</v>
      </c>
      <c r="I530" s="239">
        <v>56987</v>
      </c>
      <c r="J530" s="238">
        <v>9863</v>
      </c>
      <c r="K530" s="240">
        <v>12841</v>
      </c>
      <c r="L530" s="238">
        <v>5478</v>
      </c>
      <c r="M530" s="238">
        <v>0</v>
      </c>
      <c r="N530" s="238">
        <v>27</v>
      </c>
      <c r="O530" s="239">
        <v>7720</v>
      </c>
      <c r="P530" s="239">
        <v>0</v>
      </c>
      <c r="Q530" s="240">
        <v>0</v>
      </c>
      <c r="R530" s="238"/>
      <c r="S530" s="240"/>
      <c r="T530" s="236">
        <f t="shared" si="53"/>
        <v>0</v>
      </c>
      <c r="U530" s="237">
        <f t="shared" si="54"/>
        <v>0</v>
      </c>
      <c r="V530" s="238"/>
      <c r="W530" s="239"/>
      <c r="X530" s="241"/>
      <c r="Y530" s="240"/>
      <c r="Z530" s="238"/>
      <c r="AA530" s="238"/>
      <c r="AB530" s="238"/>
      <c r="AC530" s="239"/>
      <c r="AD530" s="239"/>
      <c r="AE530" s="240"/>
      <c r="AF530" s="238"/>
      <c r="AG530" s="239"/>
    </row>
    <row r="531" spans="1:33" x14ac:dyDescent="0.2">
      <c r="A531" s="365" t="s">
        <v>52</v>
      </c>
      <c r="B531" s="366" t="s">
        <v>440</v>
      </c>
      <c r="C531" s="371"/>
      <c r="D531" s="376">
        <v>229319</v>
      </c>
      <c r="E531" s="381">
        <v>9</v>
      </c>
      <c r="F531" s="235">
        <f t="shared" si="51"/>
        <v>130391</v>
      </c>
      <c r="G531" s="234">
        <f t="shared" si="52"/>
        <v>120750</v>
      </c>
      <c r="H531" s="238">
        <v>112274</v>
      </c>
      <c r="I531" s="239">
        <v>107884</v>
      </c>
      <c r="J531" s="238">
        <v>3901</v>
      </c>
      <c r="K531" s="240">
        <v>1417</v>
      </c>
      <c r="L531" s="238">
        <v>13622</v>
      </c>
      <c r="M531" s="238">
        <v>594</v>
      </c>
      <c r="N531" s="238">
        <v>0</v>
      </c>
      <c r="O531" s="239">
        <v>11281</v>
      </c>
      <c r="P531" s="239">
        <v>168</v>
      </c>
      <c r="Q531" s="240">
        <v>0</v>
      </c>
      <c r="R531" s="238"/>
      <c r="S531" s="240"/>
      <c r="T531" s="236">
        <f t="shared" si="53"/>
        <v>0</v>
      </c>
      <c r="U531" s="237">
        <f t="shared" si="54"/>
        <v>0</v>
      </c>
      <c r="V531" s="238"/>
      <c r="W531" s="239"/>
      <c r="X531" s="241"/>
      <c r="Y531" s="240"/>
      <c r="Z531" s="238"/>
      <c r="AA531" s="238"/>
      <c r="AB531" s="238"/>
      <c r="AC531" s="239"/>
      <c r="AD531" s="239"/>
      <c r="AE531" s="240"/>
      <c r="AF531" s="238"/>
      <c r="AG531" s="239"/>
    </row>
    <row r="532" spans="1:33" x14ac:dyDescent="0.2">
      <c r="A532" s="365" t="s">
        <v>52</v>
      </c>
      <c r="B532" s="366" t="s">
        <v>441</v>
      </c>
      <c r="C532" s="375"/>
      <c r="D532" s="382">
        <v>229504</v>
      </c>
      <c r="E532" s="383">
        <v>9</v>
      </c>
      <c r="F532" s="235">
        <f t="shared" si="51"/>
        <v>67579</v>
      </c>
      <c r="G532" s="234">
        <f t="shared" si="52"/>
        <v>65288</v>
      </c>
      <c r="H532" s="238">
        <v>9555</v>
      </c>
      <c r="I532" s="239">
        <v>8966</v>
      </c>
      <c r="J532" s="238">
        <v>32035</v>
      </c>
      <c r="K532" s="240">
        <v>30651</v>
      </c>
      <c r="L532" s="238">
        <v>19314</v>
      </c>
      <c r="M532" s="238">
        <v>6675</v>
      </c>
      <c r="N532" s="238">
        <v>0</v>
      </c>
      <c r="O532" s="239">
        <v>21011</v>
      </c>
      <c r="P532" s="239">
        <v>4660</v>
      </c>
      <c r="Q532" s="240">
        <v>0</v>
      </c>
      <c r="R532" s="238"/>
      <c r="S532" s="240"/>
      <c r="T532" s="236">
        <f t="shared" si="53"/>
        <v>0</v>
      </c>
      <c r="U532" s="237">
        <f t="shared" si="54"/>
        <v>0</v>
      </c>
      <c r="V532" s="238"/>
      <c r="W532" s="239"/>
      <c r="X532" s="241"/>
      <c r="Y532" s="240"/>
      <c r="Z532" s="238"/>
      <c r="AA532" s="238"/>
      <c r="AB532" s="238"/>
      <c r="AC532" s="239"/>
      <c r="AD532" s="239"/>
      <c r="AE532" s="240"/>
      <c r="AF532" s="238"/>
      <c r="AG532" s="239"/>
    </row>
    <row r="533" spans="1:33" x14ac:dyDescent="0.2">
      <c r="A533" s="365" t="s">
        <v>52</v>
      </c>
      <c r="B533" s="366" t="s">
        <v>442</v>
      </c>
      <c r="C533" s="378"/>
      <c r="D533" s="376">
        <v>229540</v>
      </c>
      <c r="E533" s="381">
        <v>9</v>
      </c>
      <c r="F533" s="235">
        <f t="shared" si="51"/>
        <v>85982</v>
      </c>
      <c r="G533" s="234">
        <f t="shared" si="52"/>
        <v>82509</v>
      </c>
      <c r="H533" s="238">
        <v>56496</v>
      </c>
      <c r="I533" s="239">
        <v>53571</v>
      </c>
      <c r="J533" s="238">
        <v>5620</v>
      </c>
      <c r="K533" s="240">
        <v>5486</v>
      </c>
      <c r="L533" s="238">
        <v>20026</v>
      </c>
      <c r="M533" s="238">
        <v>3791</v>
      </c>
      <c r="N533" s="238">
        <v>49</v>
      </c>
      <c r="O533" s="239">
        <v>19957</v>
      </c>
      <c r="P533" s="239">
        <v>3495</v>
      </c>
      <c r="Q533" s="240">
        <v>0</v>
      </c>
      <c r="R533" s="238"/>
      <c r="S533" s="240"/>
      <c r="T533" s="236">
        <f t="shared" si="53"/>
        <v>0</v>
      </c>
      <c r="U533" s="237">
        <f t="shared" si="54"/>
        <v>0</v>
      </c>
      <c r="V533" s="238"/>
      <c r="W533" s="239"/>
      <c r="X533" s="241"/>
      <c r="Y533" s="240"/>
      <c r="Z533" s="238"/>
      <c r="AA533" s="238"/>
      <c r="AB533" s="238"/>
      <c r="AC533" s="239"/>
      <c r="AD533" s="239"/>
      <c r="AE533" s="240"/>
      <c r="AF533" s="238"/>
      <c r="AG533" s="239"/>
    </row>
    <row r="534" spans="1:33" x14ac:dyDescent="0.2">
      <c r="A534" s="365" t="s">
        <v>52</v>
      </c>
      <c r="B534" s="366" t="s">
        <v>443</v>
      </c>
      <c r="C534" s="378"/>
      <c r="D534" s="376">
        <v>229799</v>
      </c>
      <c r="E534" s="381">
        <v>9</v>
      </c>
      <c r="F534" s="235">
        <f t="shared" si="51"/>
        <v>115097</v>
      </c>
      <c r="G534" s="234">
        <f t="shared" si="52"/>
        <v>112643</v>
      </c>
      <c r="H534" s="238">
        <v>74383</v>
      </c>
      <c r="I534" s="239">
        <v>63863</v>
      </c>
      <c r="J534" s="238">
        <v>12841</v>
      </c>
      <c r="K534" s="240">
        <v>15682</v>
      </c>
      <c r="L534" s="238">
        <v>25791</v>
      </c>
      <c r="M534" s="238">
        <v>2082</v>
      </c>
      <c r="N534" s="238">
        <v>0</v>
      </c>
      <c r="O534" s="239">
        <v>30401</v>
      </c>
      <c r="P534" s="239">
        <v>2697</v>
      </c>
      <c r="Q534" s="240">
        <v>0</v>
      </c>
      <c r="R534" s="238"/>
      <c r="S534" s="240"/>
      <c r="T534" s="236">
        <f t="shared" si="53"/>
        <v>0</v>
      </c>
      <c r="U534" s="237">
        <f t="shared" si="54"/>
        <v>0</v>
      </c>
      <c r="V534" s="238"/>
      <c r="W534" s="239"/>
      <c r="X534" s="241"/>
      <c r="Y534" s="240"/>
      <c r="Z534" s="238"/>
      <c r="AA534" s="238"/>
      <c r="AB534" s="238"/>
      <c r="AC534" s="239"/>
      <c r="AD534" s="239"/>
      <c r="AE534" s="240"/>
      <c r="AF534" s="238"/>
      <c r="AG534" s="239"/>
    </row>
    <row r="535" spans="1:33" x14ac:dyDescent="0.2">
      <c r="A535" s="365" t="s">
        <v>52</v>
      </c>
      <c r="B535" s="366" t="s">
        <v>444</v>
      </c>
      <c r="C535" s="378"/>
      <c r="D535" s="376">
        <v>229841</v>
      </c>
      <c r="E535" s="381">
        <v>9</v>
      </c>
      <c r="F535" s="235">
        <f t="shared" si="51"/>
        <v>147021</v>
      </c>
      <c r="G535" s="234">
        <f t="shared" si="52"/>
        <v>148029</v>
      </c>
      <c r="H535" s="238">
        <v>44106</v>
      </c>
      <c r="I535" s="239">
        <v>44079</v>
      </c>
      <c r="J535" s="238">
        <v>79773</v>
      </c>
      <c r="K535" s="240">
        <v>78984</v>
      </c>
      <c r="L535" s="238">
        <v>20481</v>
      </c>
      <c r="M535" s="238">
        <v>2661</v>
      </c>
      <c r="N535" s="238">
        <v>0</v>
      </c>
      <c r="O535" s="239">
        <v>22013</v>
      </c>
      <c r="P535" s="239">
        <v>2953</v>
      </c>
      <c r="Q535" s="240">
        <v>0</v>
      </c>
      <c r="R535" s="238"/>
      <c r="S535" s="240"/>
      <c r="T535" s="236">
        <f t="shared" si="53"/>
        <v>0</v>
      </c>
      <c r="U535" s="237">
        <f t="shared" si="54"/>
        <v>0</v>
      </c>
      <c r="V535" s="238"/>
      <c r="W535" s="239"/>
      <c r="X535" s="241"/>
      <c r="Y535" s="240"/>
      <c r="Z535" s="238"/>
      <c r="AA535" s="238"/>
      <c r="AB535" s="238"/>
      <c r="AC535" s="239"/>
      <c r="AD535" s="239"/>
      <c r="AE535" s="240"/>
      <c r="AF535" s="238"/>
      <c r="AG535" s="239"/>
    </row>
    <row r="536" spans="1:33" x14ac:dyDescent="0.2">
      <c r="A536" s="365" t="s">
        <v>52</v>
      </c>
      <c r="B536" s="366" t="s">
        <v>445</v>
      </c>
      <c r="C536" s="378"/>
      <c r="D536" s="376">
        <v>223922</v>
      </c>
      <c r="E536" s="381">
        <v>10</v>
      </c>
      <c r="F536" s="235">
        <f t="shared" si="51"/>
        <v>34696</v>
      </c>
      <c r="G536" s="234">
        <f t="shared" si="52"/>
        <v>30746</v>
      </c>
      <c r="H536" s="238">
        <v>11028</v>
      </c>
      <c r="I536" s="239">
        <v>9655</v>
      </c>
      <c r="J536" s="238">
        <v>13298</v>
      </c>
      <c r="K536" s="240">
        <v>10955</v>
      </c>
      <c r="L536" s="238">
        <v>9736</v>
      </c>
      <c r="M536" s="238">
        <v>634</v>
      </c>
      <c r="N536" s="238">
        <v>0</v>
      </c>
      <c r="O536" s="239">
        <v>9471</v>
      </c>
      <c r="P536" s="239">
        <v>665</v>
      </c>
      <c r="Q536" s="240">
        <v>0</v>
      </c>
      <c r="R536" s="238"/>
      <c r="S536" s="240"/>
      <c r="T536" s="236">
        <f t="shared" si="53"/>
        <v>0</v>
      </c>
      <c r="U536" s="237">
        <f t="shared" si="54"/>
        <v>0</v>
      </c>
      <c r="V536" s="238"/>
      <c r="W536" s="239"/>
      <c r="X536" s="241"/>
      <c r="Y536" s="240"/>
      <c r="Z536" s="238"/>
      <c r="AA536" s="238"/>
      <c r="AB536" s="238"/>
      <c r="AC536" s="239"/>
      <c r="AD536" s="239"/>
      <c r="AE536" s="240"/>
      <c r="AF536" s="238"/>
      <c r="AG536" s="239"/>
    </row>
    <row r="537" spans="1:33" x14ac:dyDescent="0.2">
      <c r="A537" s="365" t="s">
        <v>52</v>
      </c>
      <c r="B537" s="366" t="s">
        <v>446</v>
      </c>
      <c r="C537" s="378"/>
      <c r="D537" s="376">
        <v>224891</v>
      </c>
      <c r="E537" s="381">
        <v>10</v>
      </c>
      <c r="F537" s="235">
        <f t="shared" si="51"/>
        <v>22512</v>
      </c>
      <c r="G537" s="234">
        <f t="shared" si="52"/>
        <v>21989</v>
      </c>
      <c r="H537" s="238">
        <v>16689</v>
      </c>
      <c r="I537" s="239">
        <v>15618</v>
      </c>
      <c r="J537" s="238">
        <v>1635</v>
      </c>
      <c r="K537" s="240">
        <v>1930</v>
      </c>
      <c r="L537" s="238">
        <v>1408</v>
      </c>
      <c r="M537" s="238">
        <v>0</v>
      </c>
      <c r="N537" s="238">
        <v>2780</v>
      </c>
      <c r="O537" s="239">
        <v>1138</v>
      </c>
      <c r="P537" s="239">
        <v>0</v>
      </c>
      <c r="Q537" s="240">
        <v>3303</v>
      </c>
      <c r="R537" s="238"/>
      <c r="S537" s="240"/>
      <c r="T537" s="236">
        <f t="shared" si="53"/>
        <v>0</v>
      </c>
      <c r="U537" s="237">
        <f t="shared" si="54"/>
        <v>0</v>
      </c>
      <c r="V537" s="238"/>
      <c r="W537" s="239"/>
      <c r="X537" s="241"/>
      <c r="Y537" s="240"/>
      <c r="Z537" s="238"/>
      <c r="AA537" s="238"/>
      <c r="AB537" s="238"/>
      <c r="AC537" s="239"/>
      <c r="AD537" s="239"/>
      <c r="AE537" s="240"/>
      <c r="AF537" s="238"/>
      <c r="AG537" s="239"/>
    </row>
    <row r="538" spans="1:33" x14ac:dyDescent="0.2">
      <c r="A538" s="365" t="s">
        <v>52</v>
      </c>
      <c r="B538" s="366" t="s">
        <v>447</v>
      </c>
      <c r="C538" s="378"/>
      <c r="D538" s="376">
        <v>224961</v>
      </c>
      <c r="E538" s="381">
        <v>10</v>
      </c>
      <c r="F538" s="235">
        <f t="shared" si="51"/>
        <v>47892</v>
      </c>
      <c r="G538" s="234">
        <f t="shared" si="52"/>
        <v>45992</v>
      </c>
      <c r="H538" s="238">
        <v>47375</v>
      </c>
      <c r="I538" s="239">
        <v>45504</v>
      </c>
      <c r="J538" s="238">
        <v>421</v>
      </c>
      <c r="K538" s="240">
        <v>390</v>
      </c>
      <c r="L538" s="238">
        <v>0</v>
      </c>
      <c r="M538" s="238">
        <v>0</v>
      </c>
      <c r="N538" s="238">
        <v>96</v>
      </c>
      <c r="O538" s="239">
        <v>8</v>
      </c>
      <c r="P538" s="239">
        <v>0</v>
      </c>
      <c r="Q538" s="240">
        <v>90</v>
      </c>
      <c r="R538" s="238"/>
      <c r="S538" s="240"/>
      <c r="T538" s="236">
        <f t="shared" si="53"/>
        <v>0</v>
      </c>
      <c r="U538" s="237">
        <f t="shared" si="54"/>
        <v>0</v>
      </c>
      <c r="V538" s="238"/>
      <c r="W538" s="239"/>
      <c r="X538" s="241"/>
      <c r="Y538" s="240"/>
      <c r="Z538" s="238"/>
      <c r="AA538" s="238"/>
      <c r="AB538" s="238"/>
      <c r="AC538" s="239"/>
      <c r="AD538" s="239"/>
      <c r="AE538" s="240"/>
      <c r="AF538" s="238"/>
      <c r="AG538" s="239"/>
    </row>
    <row r="539" spans="1:33" x14ac:dyDescent="0.2">
      <c r="A539" s="365" t="s">
        <v>52</v>
      </c>
      <c r="B539" s="366" t="s">
        <v>448</v>
      </c>
      <c r="C539" s="375"/>
      <c r="D539" s="382">
        <v>226107</v>
      </c>
      <c r="E539" s="383">
        <v>10</v>
      </c>
      <c r="F539" s="235">
        <f t="shared" si="51"/>
        <v>56026</v>
      </c>
      <c r="G539" s="234">
        <f t="shared" si="52"/>
        <v>51850</v>
      </c>
      <c r="H539" s="238">
        <v>50964</v>
      </c>
      <c r="I539" s="239">
        <v>38903</v>
      </c>
      <c r="J539" s="238">
        <v>0</v>
      </c>
      <c r="K539" s="240">
        <v>2876</v>
      </c>
      <c r="L539" s="238">
        <v>5020</v>
      </c>
      <c r="M539" s="238">
        <v>42</v>
      </c>
      <c r="N539" s="238">
        <v>0</v>
      </c>
      <c r="O539" s="239">
        <v>9831</v>
      </c>
      <c r="P539" s="239">
        <v>240</v>
      </c>
      <c r="Q539" s="240">
        <v>0</v>
      </c>
      <c r="R539" s="238"/>
      <c r="S539" s="240"/>
      <c r="T539" s="236">
        <f t="shared" si="53"/>
        <v>0</v>
      </c>
      <c r="U539" s="237">
        <f t="shared" si="54"/>
        <v>0</v>
      </c>
      <c r="V539" s="238"/>
      <c r="W539" s="239"/>
      <c r="X539" s="241"/>
      <c r="Y539" s="240"/>
      <c r="Z539" s="238"/>
      <c r="AA539" s="238"/>
      <c r="AB539" s="238"/>
      <c r="AC539" s="239"/>
      <c r="AD539" s="239"/>
      <c r="AE539" s="240"/>
      <c r="AF539" s="238"/>
      <c r="AG539" s="239"/>
    </row>
    <row r="540" spans="1:33" x14ac:dyDescent="0.2">
      <c r="A540" s="365" t="s">
        <v>52</v>
      </c>
      <c r="B540" s="374" t="s">
        <v>450</v>
      </c>
      <c r="C540" s="375"/>
      <c r="D540" s="386" t="s">
        <v>451</v>
      </c>
      <c r="E540" s="383">
        <v>10</v>
      </c>
      <c r="F540" s="235">
        <f t="shared" si="51"/>
        <v>13926</v>
      </c>
      <c r="G540" s="234">
        <f t="shared" si="52"/>
        <v>10054</v>
      </c>
      <c r="H540" s="238">
        <v>13926</v>
      </c>
      <c r="I540" s="239">
        <v>10030</v>
      </c>
      <c r="J540" s="238">
        <v>0</v>
      </c>
      <c r="K540" s="240">
        <v>0</v>
      </c>
      <c r="L540" s="238">
        <v>0</v>
      </c>
      <c r="M540" s="238">
        <v>0</v>
      </c>
      <c r="N540" s="238">
        <v>0</v>
      </c>
      <c r="O540" s="239">
        <v>24</v>
      </c>
      <c r="P540" s="239">
        <v>0</v>
      </c>
      <c r="Q540" s="240">
        <v>0</v>
      </c>
      <c r="R540" s="238"/>
      <c r="S540" s="240"/>
      <c r="T540" s="236">
        <f t="shared" si="53"/>
        <v>0</v>
      </c>
      <c r="U540" s="237">
        <f t="shared" si="54"/>
        <v>0</v>
      </c>
      <c r="V540" s="238"/>
      <c r="W540" s="239"/>
      <c r="X540" s="241"/>
      <c r="Y540" s="240"/>
      <c r="Z540" s="238"/>
      <c r="AA540" s="238"/>
      <c r="AB540" s="238"/>
      <c r="AC540" s="239"/>
      <c r="AD540" s="239"/>
      <c r="AE540" s="240"/>
      <c r="AF540" s="238"/>
      <c r="AG540" s="239"/>
    </row>
    <row r="541" spans="1:33" x14ac:dyDescent="0.2">
      <c r="A541" s="365" t="s">
        <v>52</v>
      </c>
      <c r="B541" s="366" t="s">
        <v>452</v>
      </c>
      <c r="C541" s="378"/>
      <c r="D541" s="376">
        <v>227386</v>
      </c>
      <c r="E541" s="381">
        <v>10</v>
      </c>
      <c r="F541" s="235">
        <f t="shared" si="51"/>
        <v>51046</v>
      </c>
      <c r="G541" s="234">
        <f t="shared" si="52"/>
        <v>53886</v>
      </c>
      <c r="H541" s="238">
        <v>26443</v>
      </c>
      <c r="I541" s="239">
        <v>25410</v>
      </c>
      <c r="J541" s="238">
        <v>8014</v>
      </c>
      <c r="K541" s="240">
        <v>8601</v>
      </c>
      <c r="L541" s="238">
        <v>15623</v>
      </c>
      <c r="M541" s="238">
        <v>966</v>
      </c>
      <c r="N541" s="238">
        <v>0</v>
      </c>
      <c r="O541" s="239">
        <v>18746</v>
      </c>
      <c r="P541" s="239">
        <v>1129</v>
      </c>
      <c r="Q541" s="240">
        <v>0</v>
      </c>
      <c r="R541" s="238"/>
      <c r="S541" s="240"/>
      <c r="T541" s="236">
        <f t="shared" si="53"/>
        <v>0</v>
      </c>
      <c r="U541" s="237">
        <f t="shared" si="54"/>
        <v>0</v>
      </c>
      <c r="V541" s="238"/>
      <c r="W541" s="239"/>
      <c r="X541" s="241"/>
      <c r="Y541" s="240"/>
      <c r="Z541" s="238"/>
      <c r="AA541" s="238"/>
      <c r="AB541" s="238"/>
      <c r="AC541" s="239"/>
      <c r="AD541" s="239"/>
      <c r="AE541" s="240"/>
      <c r="AF541" s="238"/>
      <c r="AG541" s="239"/>
    </row>
    <row r="542" spans="1:33" x14ac:dyDescent="0.2">
      <c r="A542" s="365" t="s">
        <v>52</v>
      </c>
      <c r="B542" s="366" t="s">
        <v>453</v>
      </c>
      <c r="C542" s="378"/>
      <c r="D542" s="376">
        <v>227687</v>
      </c>
      <c r="E542" s="381">
        <v>10</v>
      </c>
      <c r="F542" s="235">
        <f t="shared" si="51"/>
        <v>34840</v>
      </c>
      <c r="G542" s="234">
        <f t="shared" si="52"/>
        <v>40760</v>
      </c>
      <c r="H542" s="238">
        <v>11537</v>
      </c>
      <c r="I542" s="239">
        <v>12915</v>
      </c>
      <c r="J542" s="238">
        <v>14855</v>
      </c>
      <c r="K542" s="240">
        <v>16455</v>
      </c>
      <c r="L542" s="238">
        <v>6288</v>
      </c>
      <c r="M542" s="238">
        <v>2022</v>
      </c>
      <c r="N542" s="238">
        <v>138</v>
      </c>
      <c r="O542" s="239">
        <v>8271</v>
      </c>
      <c r="P542" s="239">
        <v>2897</v>
      </c>
      <c r="Q542" s="240">
        <v>222</v>
      </c>
      <c r="R542" s="238"/>
      <c r="S542" s="240"/>
      <c r="T542" s="236">
        <f t="shared" si="53"/>
        <v>0</v>
      </c>
      <c r="U542" s="237">
        <f t="shared" si="54"/>
        <v>0</v>
      </c>
      <c r="V542" s="238"/>
      <c r="W542" s="239"/>
      <c r="X542" s="241"/>
      <c r="Y542" s="240"/>
      <c r="Z542" s="238"/>
      <c r="AA542" s="238"/>
      <c r="AB542" s="238"/>
      <c r="AC542" s="239"/>
      <c r="AD542" s="239"/>
      <c r="AE542" s="240"/>
      <c r="AF542" s="238"/>
      <c r="AG542" s="239"/>
    </row>
    <row r="543" spans="1:33" x14ac:dyDescent="0.2">
      <c r="A543" s="365" t="s">
        <v>52</v>
      </c>
      <c r="B543" s="366" t="s">
        <v>454</v>
      </c>
      <c r="C543" s="378"/>
      <c r="D543" s="376">
        <v>382911</v>
      </c>
      <c r="E543" s="381">
        <v>10</v>
      </c>
      <c r="F543" s="235">
        <f t="shared" si="51"/>
        <v>2719</v>
      </c>
      <c r="G543" s="234">
        <f t="shared" si="52"/>
        <v>2944</v>
      </c>
      <c r="H543" s="238">
        <v>2589</v>
      </c>
      <c r="I543" s="239">
        <v>2902</v>
      </c>
      <c r="J543" s="238">
        <v>20</v>
      </c>
      <c r="K543" s="240">
        <v>0</v>
      </c>
      <c r="L543" s="238">
        <v>101</v>
      </c>
      <c r="M543" s="238">
        <v>9</v>
      </c>
      <c r="N543" s="238">
        <v>0</v>
      </c>
      <c r="O543" s="239">
        <v>36</v>
      </c>
      <c r="P543" s="239">
        <v>6</v>
      </c>
      <c r="Q543" s="240">
        <v>0</v>
      </c>
      <c r="R543" s="238"/>
      <c r="S543" s="240"/>
      <c r="T543" s="236">
        <f t="shared" si="53"/>
        <v>0</v>
      </c>
      <c r="U543" s="237">
        <f t="shared" si="54"/>
        <v>0</v>
      </c>
      <c r="V543" s="238"/>
      <c r="W543" s="239"/>
      <c r="X543" s="241"/>
      <c r="Y543" s="240"/>
      <c r="Z543" s="238"/>
      <c r="AA543" s="238"/>
      <c r="AB543" s="238"/>
      <c r="AC543" s="239"/>
      <c r="AD543" s="239"/>
      <c r="AE543" s="240"/>
      <c r="AF543" s="238"/>
      <c r="AG543" s="239"/>
    </row>
    <row r="544" spans="1:33" x14ac:dyDescent="0.2">
      <c r="A544" s="365" t="s">
        <v>52</v>
      </c>
      <c r="B544" s="366" t="s">
        <v>455</v>
      </c>
      <c r="C544" s="378"/>
      <c r="D544" s="376">
        <v>408394</v>
      </c>
      <c r="E544" s="381">
        <v>10</v>
      </c>
      <c r="F544" s="235">
        <f t="shared" si="51"/>
        <v>21457</v>
      </c>
      <c r="G544" s="234">
        <f t="shared" si="52"/>
        <v>18867</v>
      </c>
      <c r="H544" s="231">
        <v>13718</v>
      </c>
      <c r="I544" s="232">
        <v>12494</v>
      </c>
      <c r="J544" s="231">
        <v>751</v>
      </c>
      <c r="K544" s="233">
        <v>790</v>
      </c>
      <c r="L544" s="231">
        <v>6988</v>
      </c>
      <c r="M544" s="231">
        <v>0</v>
      </c>
      <c r="N544" s="231">
        <v>0</v>
      </c>
      <c r="O544" s="232">
        <v>5583</v>
      </c>
      <c r="P544" s="232">
        <v>0</v>
      </c>
      <c r="Q544" s="233">
        <v>0</v>
      </c>
      <c r="R544" s="238"/>
      <c r="S544" s="240"/>
      <c r="T544" s="236">
        <f t="shared" si="53"/>
        <v>0</v>
      </c>
      <c r="U544" s="237">
        <f t="shared" si="54"/>
        <v>0</v>
      </c>
      <c r="V544" s="238"/>
      <c r="W544" s="239"/>
      <c r="X544" s="241"/>
      <c r="Y544" s="240"/>
      <c r="Z544" s="238"/>
      <c r="AA544" s="238"/>
      <c r="AB544" s="238"/>
      <c r="AC544" s="239"/>
      <c r="AD544" s="239"/>
      <c r="AE544" s="240"/>
      <c r="AF544" s="238"/>
      <c r="AG544" s="239"/>
    </row>
    <row r="545" spans="1:33" x14ac:dyDescent="0.2">
      <c r="A545" s="365" t="s">
        <v>52</v>
      </c>
      <c r="B545" s="366" t="s">
        <v>456</v>
      </c>
      <c r="C545" s="375"/>
      <c r="D545" s="382">
        <v>229328</v>
      </c>
      <c r="E545" s="383">
        <v>10</v>
      </c>
      <c r="F545" s="235">
        <f t="shared" si="51"/>
        <v>25208</v>
      </c>
      <c r="G545" s="234">
        <f t="shared" si="52"/>
        <v>23595</v>
      </c>
      <c r="H545" s="231">
        <v>6827</v>
      </c>
      <c r="I545" s="232">
        <v>6909</v>
      </c>
      <c r="J545" s="231">
        <v>6219</v>
      </c>
      <c r="K545" s="233">
        <v>5033</v>
      </c>
      <c r="L545" s="231">
        <v>12162</v>
      </c>
      <c r="M545" s="231">
        <v>0</v>
      </c>
      <c r="N545" s="231">
        <v>0</v>
      </c>
      <c r="O545" s="232">
        <v>11653</v>
      </c>
      <c r="P545" s="232">
        <v>0</v>
      </c>
      <c r="Q545" s="233">
        <v>0</v>
      </c>
      <c r="R545" s="238"/>
      <c r="S545" s="240"/>
      <c r="T545" s="236">
        <f t="shared" si="53"/>
        <v>0</v>
      </c>
      <c r="U545" s="237">
        <f t="shared" si="54"/>
        <v>0</v>
      </c>
      <c r="V545" s="238"/>
      <c r="W545" s="239"/>
      <c r="X545" s="241"/>
      <c r="Y545" s="240"/>
      <c r="Z545" s="238"/>
      <c r="AA545" s="238"/>
      <c r="AB545" s="238"/>
      <c r="AC545" s="239"/>
      <c r="AD545" s="239"/>
      <c r="AE545" s="240"/>
      <c r="AF545" s="238"/>
      <c r="AG545" s="239"/>
    </row>
    <row r="546" spans="1:33" x14ac:dyDescent="0.2">
      <c r="A546" s="365" t="s">
        <v>52</v>
      </c>
      <c r="B546" s="366" t="s">
        <v>457</v>
      </c>
      <c r="C546" s="378"/>
      <c r="D546" s="376">
        <v>229832</v>
      </c>
      <c r="E546" s="381">
        <v>10</v>
      </c>
      <c r="F546" s="235">
        <f t="shared" si="51"/>
        <v>46461</v>
      </c>
      <c r="G546" s="234">
        <f t="shared" si="52"/>
        <v>46987</v>
      </c>
      <c r="H546" s="231">
        <v>13504</v>
      </c>
      <c r="I546" s="232">
        <v>14133</v>
      </c>
      <c r="J546" s="231">
        <v>8551</v>
      </c>
      <c r="K546" s="233">
        <v>7759</v>
      </c>
      <c r="L546" s="231">
        <v>19717</v>
      </c>
      <c r="M546" s="231">
        <v>4524</v>
      </c>
      <c r="N546" s="231">
        <v>165</v>
      </c>
      <c r="O546" s="232">
        <v>21613</v>
      </c>
      <c r="P546" s="232">
        <v>3476</v>
      </c>
      <c r="Q546" s="233">
        <v>6</v>
      </c>
      <c r="R546" s="238"/>
      <c r="S546" s="240"/>
      <c r="T546" s="236">
        <f t="shared" si="53"/>
        <v>0</v>
      </c>
      <c r="U546" s="237">
        <f t="shared" si="54"/>
        <v>0</v>
      </c>
      <c r="V546" s="238"/>
      <c r="W546" s="239"/>
      <c r="X546" s="241"/>
      <c r="Y546" s="240"/>
      <c r="Z546" s="238"/>
      <c r="AA546" s="238"/>
      <c r="AB546" s="238"/>
      <c r="AC546" s="239"/>
      <c r="AD546" s="239"/>
      <c r="AE546" s="240"/>
      <c r="AF546" s="238"/>
      <c r="AG546" s="239"/>
    </row>
    <row r="547" spans="1:33" x14ac:dyDescent="0.2">
      <c r="A547" s="388" t="s">
        <v>52</v>
      </c>
      <c r="B547" s="366" t="s">
        <v>460</v>
      </c>
      <c r="C547" s="367" t="s">
        <v>461</v>
      </c>
      <c r="D547" s="386" t="s">
        <v>451</v>
      </c>
      <c r="E547" s="377">
        <v>99</v>
      </c>
      <c r="F547" s="235">
        <f t="shared" si="51"/>
        <v>31544</v>
      </c>
      <c r="G547" s="234">
        <f t="shared" si="52"/>
        <v>33373</v>
      </c>
      <c r="H547" s="238">
        <v>30845</v>
      </c>
      <c r="I547" s="232">
        <v>31969</v>
      </c>
      <c r="J547" s="238">
        <v>228</v>
      </c>
      <c r="K547" s="233">
        <v>552</v>
      </c>
      <c r="L547" s="238">
        <v>471</v>
      </c>
      <c r="M547" s="238">
        <v>0</v>
      </c>
      <c r="N547" s="238">
        <v>0</v>
      </c>
      <c r="O547" s="232">
        <v>852</v>
      </c>
      <c r="P547" s="239"/>
      <c r="Q547" s="240"/>
      <c r="R547" s="238"/>
      <c r="S547" s="240"/>
      <c r="T547" s="236">
        <f t="shared" si="53"/>
        <v>3852</v>
      </c>
      <c r="U547" s="237">
        <f t="shared" si="54"/>
        <v>4149</v>
      </c>
      <c r="V547" s="238">
        <v>3765</v>
      </c>
      <c r="W547" s="239">
        <v>3876</v>
      </c>
      <c r="X547" s="241">
        <v>48</v>
      </c>
      <c r="Y547" s="240">
        <v>0</v>
      </c>
      <c r="Z547" s="238">
        <v>39</v>
      </c>
      <c r="AA547" s="238">
        <v>0</v>
      </c>
      <c r="AB547" s="238">
        <v>0</v>
      </c>
      <c r="AC547" s="239">
        <v>273</v>
      </c>
      <c r="AD547" s="239"/>
      <c r="AE547" s="240">
        <v>0</v>
      </c>
      <c r="AF547" s="238"/>
      <c r="AG547" s="239"/>
    </row>
    <row r="548" spans="1:33" x14ac:dyDescent="0.2">
      <c r="A548" s="546" t="s">
        <v>53</v>
      </c>
      <c r="B548" s="547" t="s">
        <v>774</v>
      </c>
      <c r="C548" s="548"/>
      <c r="D548" s="555">
        <v>232186</v>
      </c>
      <c r="E548" s="549">
        <v>1</v>
      </c>
      <c r="F548" s="235">
        <f t="shared" si="51"/>
        <v>570979.5</v>
      </c>
      <c r="G548" s="234">
        <f t="shared" si="52"/>
        <v>586721.5</v>
      </c>
      <c r="H548" s="238">
        <v>534505</v>
      </c>
      <c r="I548" s="239">
        <v>535411</v>
      </c>
      <c r="J548" s="238">
        <v>16202.5</v>
      </c>
      <c r="K548" s="240">
        <v>23163.5</v>
      </c>
      <c r="L548" s="238">
        <v>17092</v>
      </c>
      <c r="M548" s="238">
        <v>3180</v>
      </c>
      <c r="N548" s="238"/>
      <c r="O548" s="239">
        <v>24148</v>
      </c>
      <c r="P548" s="239">
        <v>3999</v>
      </c>
      <c r="Q548" s="240"/>
      <c r="R548" s="238"/>
      <c r="S548" s="240"/>
      <c r="T548" s="236">
        <f t="shared" si="53"/>
        <v>177232.5</v>
      </c>
      <c r="U548" s="237">
        <f t="shared" si="54"/>
        <v>175857</v>
      </c>
      <c r="V548" s="238">
        <v>136496.5</v>
      </c>
      <c r="W548" s="239">
        <v>135663.5</v>
      </c>
      <c r="X548" s="241">
        <v>31841.5</v>
      </c>
      <c r="Y548" s="240">
        <v>28271.5</v>
      </c>
      <c r="Z548" s="238">
        <v>6907.5</v>
      </c>
      <c r="AA548" s="238">
        <v>1987</v>
      </c>
      <c r="AB548" s="238"/>
      <c r="AC548" s="239">
        <v>8721.5</v>
      </c>
      <c r="AD548" s="239">
        <v>3200.5</v>
      </c>
      <c r="AE548" s="240"/>
      <c r="AF548" s="238"/>
      <c r="AG548" s="239"/>
    </row>
    <row r="549" spans="1:33" x14ac:dyDescent="0.2">
      <c r="A549" s="546" t="s">
        <v>53</v>
      </c>
      <c r="B549" s="547" t="s">
        <v>775</v>
      </c>
      <c r="C549" s="550"/>
      <c r="D549" s="555">
        <v>232982</v>
      </c>
      <c r="E549" s="549">
        <v>1</v>
      </c>
      <c r="F549" s="235">
        <f t="shared" si="51"/>
        <v>501823</v>
      </c>
      <c r="G549" s="234">
        <f t="shared" si="52"/>
        <v>511320</v>
      </c>
      <c r="H549" s="238">
        <v>436372</v>
      </c>
      <c r="I549" s="239">
        <v>437043</v>
      </c>
      <c r="J549" s="238">
        <v>1200</v>
      </c>
      <c r="K549" s="240">
        <v>864</v>
      </c>
      <c r="L549" s="238">
        <v>31568</v>
      </c>
      <c r="M549" s="238">
        <v>32683</v>
      </c>
      <c r="N549" s="238"/>
      <c r="O549" s="239">
        <v>42649</v>
      </c>
      <c r="P549" s="239">
        <v>30764</v>
      </c>
      <c r="Q549" s="240"/>
      <c r="R549" s="238"/>
      <c r="S549" s="240"/>
      <c r="T549" s="236">
        <f t="shared" si="53"/>
        <v>76119</v>
      </c>
      <c r="U549" s="237">
        <f t="shared" si="54"/>
        <v>72575</v>
      </c>
      <c r="V549" s="238">
        <v>51385</v>
      </c>
      <c r="W549" s="239">
        <v>47556</v>
      </c>
      <c r="X549" s="241">
        <v>3593</v>
      </c>
      <c r="Y549" s="240">
        <v>2952</v>
      </c>
      <c r="Z549" s="238">
        <v>9636</v>
      </c>
      <c r="AA549" s="238">
        <v>11505</v>
      </c>
      <c r="AB549" s="238"/>
      <c r="AC549" s="239">
        <v>11835</v>
      </c>
      <c r="AD549" s="239">
        <v>10232</v>
      </c>
      <c r="AE549" s="240"/>
      <c r="AF549" s="238"/>
      <c r="AG549" s="239"/>
    </row>
    <row r="550" spans="1:33" x14ac:dyDescent="0.2">
      <c r="A550" s="546" t="s">
        <v>53</v>
      </c>
      <c r="B550" s="547" t="s">
        <v>776</v>
      </c>
      <c r="C550" s="550"/>
      <c r="D550" s="555">
        <v>234076</v>
      </c>
      <c r="E550" s="549">
        <v>1</v>
      </c>
      <c r="F550" s="235">
        <f t="shared" si="51"/>
        <v>467835.5</v>
      </c>
      <c r="G550" s="234">
        <f t="shared" si="52"/>
        <v>467096.5</v>
      </c>
      <c r="H550" s="238">
        <v>424751.5</v>
      </c>
      <c r="I550" s="239">
        <v>429657</v>
      </c>
      <c r="J550" s="238">
        <v>39412</v>
      </c>
      <c r="K550" s="240">
        <v>34248.5</v>
      </c>
      <c r="L550" s="238">
        <v>3672</v>
      </c>
      <c r="M550" s="238">
        <v>0</v>
      </c>
      <c r="N550" s="238"/>
      <c r="O550" s="239">
        <v>3119</v>
      </c>
      <c r="P550" s="239">
        <v>72</v>
      </c>
      <c r="Q550" s="240"/>
      <c r="R550" s="238"/>
      <c r="S550" s="240"/>
      <c r="T550" s="236">
        <f t="shared" si="53"/>
        <v>203119</v>
      </c>
      <c r="U550" s="237">
        <f t="shared" si="54"/>
        <v>195527.5</v>
      </c>
      <c r="V550" s="238">
        <v>176415</v>
      </c>
      <c r="W550" s="239">
        <v>171648</v>
      </c>
      <c r="X550" s="241">
        <v>19000</v>
      </c>
      <c r="Y550" s="240">
        <v>16147</v>
      </c>
      <c r="Z550" s="238">
        <v>7227</v>
      </c>
      <c r="AA550" s="238">
        <v>477</v>
      </c>
      <c r="AB550" s="238"/>
      <c r="AC550" s="239">
        <v>7232</v>
      </c>
      <c r="AD550" s="239">
        <v>500.5</v>
      </c>
      <c r="AE550" s="240"/>
      <c r="AF550" s="238"/>
      <c r="AG550" s="239"/>
    </row>
    <row r="551" spans="1:33" x14ac:dyDescent="0.2">
      <c r="A551" s="546" t="s">
        <v>53</v>
      </c>
      <c r="B551" s="547" t="s">
        <v>777</v>
      </c>
      <c r="C551" s="550"/>
      <c r="D551" s="555">
        <v>233921</v>
      </c>
      <c r="E551" s="549">
        <v>1</v>
      </c>
      <c r="F551" s="235">
        <f t="shared" si="51"/>
        <v>748965</v>
      </c>
      <c r="G551" s="234">
        <f t="shared" si="52"/>
        <v>752287</v>
      </c>
      <c r="H551" s="238">
        <v>737571</v>
      </c>
      <c r="I551" s="239">
        <v>740321</v>
      </c>
      <c r="J551" s="238">
        <v>287</v>
      </c>
      <c r="K551" s="240">
        <v>262</v>
      </c>
      <c r="L551" s="238">
        <v>9529</v>
      </c>
      <c r="M551" s="238">
        <v>1578</v>
      </c>
      <c r="N551" s="238"/>
      <c r="O551" s="239">
        <v>10405</v>
      </c>
      <c r="P551" s="239">
        <v>1299</v>
      </c>
      <c r="Q551" s="240"/>
      <c r="R551" s="238"/>
      <c r="S551" s="240"/>
      <c r="T551" s="236">
        <f t="shared" si="53"/>
        <v>146962</v>
      </c>
      <c r="U551" s="237">
        <f t="shared" si="54"/>
        <v>147082</v>
      </c>
      <c r="V551" s="238">
        <v>110934</v>
      </c>
      <c r="W551" s="239">
        <v>111891</v>
      </c>
      <c r="X551" s="241">
        <v>21163</v>
      </c>
      <c r="Y551" s="240">
        <v>20937</v>
      </c>
      <c r="Z551" s="238">
        <v>9078</v>
      </c>
      <c r="AA551" s="238">
        <v>5787</v>
      </c>
      <c r="AB551" s="238"/>
      <c r="AC551" s="239">
        <v>8527</v>
      </c>
      <c r="AD551" s="239">
        <v>5727</v>
      </c>
      <c r="AE551" s="240"/>
      <c r="AF551" s="238"/>
      <c r="AG551" s="239"/>
    </row>
    <row r="552" spans="1:33" x14ac:dyDescent="0.2">
      <c r="A552" s="546" t="s">
        <v>53</v>
      </c>
      <c r="B552" s="547" t="s">
        <v>778</v>
      </c>
      <c r="C552" s="550"/>
      <c r="D552" s="555">
        <v>231624</v>
      </c>
      <c r="E552" s="549">
        <v>2</v>
      </c>
      <c r="F552" s="235">
        <f t="shared" si="51"/>
        <v>175401</v>
      </c>
      <c r="G552" s="234">
        <f t="shared" si="52"/>
        <v>179675</v>
      </c>
      <c r="H552" s="238">
        <v>174378</v>
      </c>
      <c r="I552" s="239">
        <v>176247.5</v>
      </c>
      <c r="J552" s="238">
        <v>1023</v>
      </c>
      <c r="K552" s="240">
        <v>3375.5</v>
      </c>
      <c r="L552" s="238">
        <v>0</v>
      </c>
      <c r="M552" s="238">
        <v>0</v>
      </c>
      <c r="N552" s="238"/>
      <c r="O552" s="239">
        <v>0</v>
      </c>
      <c r="P552" s="239">
        <v>52</v>
      </c>
      <c r="Q552" s="240"/>
      <c r="R552" s="238"/>
      <c r="S552" s="240"/>
      <c r="T552" s="236">
        <f t="shared" si="53"/>
        <v>54763.5</v>
      </c>
      <c r="U552" s="237">
        <f t="shared" si="54"/>
        <v>55731.5</v>
      </c>
      <c r="V552" s="238">
        <v>49512</v>
      </c>
      <c r="W552" s="239">
        <v>50590</v>
      </c>
      <c r="X552" s="241">
        <v>5251.5</v>
      </c>
      <c r="Y552" s="240">
        <v>5078.5</v>
      </c>
      <c r="Z552" s="238">
        <v>0</v>
      </c>
      <c r="AA552" s="238">
        <v>0</v>
      </c>
      <c r="AB552" s="238"/>
      <c r="AC552" s="239">
        <v>0</v>
      </c>
      <c r="AD552" s="239">
        <v>63</v>
      </c>
      <c r="AE552" s="240"/>
      <c r="AF552" s="238"/>
      <c r="AG552" s="239"/>
    </row>
    <row r="553" spans="1:33" x14ac:dyDescent="0.2">
      <c r="A553" s="546" t="s">
        <v>53</v>
      </c>
      <c r="B553" s="547" t="s">
        <v>779</v>
      </c>
      <c r="C553" s="550"/>
      <c r="D553" s="555">
        <v>234030</v>
      </c>
      <c r="E553" s="549">
        <v>2</v>
      </c>
      <c r="F553" s="235">
        <f t="shared" si="51"/>
        <v>650106.5</v>
      </c>
      <c r="G553" s="234">
        <f t="shared" si="52"/>
        <v>660503.5</v>
      </c>
      <c r="H553" s="238">
        <v>618488.5</v>
      </c>
      <c r="I553" s="239">
        <v>623427</v>
      </c>
      <c r="J553" s="238">
        <v>7338</v>
      </c>
      <c r="K553" s="240">
        <v>8822</v>
      </c>
      <c r="L553" s="238">
        <v>24280</v>
      </c>
      <c r="M553" s="238">
        <v>0</v>
      </c>
      <c r="N553" s="238"/>
      <c r="O553" s="239">
        <v>28254.5</v>
      </c>
      <c r="P553" s="239">
        <v>0</v>
      </c>
      <c r="Q553" s="240"/>
      <c r="R553" s="238"/>
      <c r="S553" s="240"/>
      <c r="T553" s="236">
        <f t="shared" si="53"/>
        <v>140788</v>
      </c>
      <c r="U553" s="237">
        <f t="shared" si="54"/>
        <v>138191</v>
      </c>
      <c r="V553" s="238">
        <v>118096</v>
      </c>
      <c r="W553" s="239">
        <v>120121</v>
      </c>
      <c r="X553" s="241">
        <v>12821</v>
      </c>
      <c r="Y553" s="240">
        <v>9218</v>
      </c>
      <c r="Z553" s="238">
        <v>9871</v>
      </c>
      <c r="AA553" s="238">
        <v>0</v>
      </c>
      <c r="AB553" s="238"/>
      <c r="AC553" s="239">
        <v>8852</v>
      </c>
      <c r="AD553" s="239">
        <v>0</v>
      </c>
      <c r="AE553" s="240"/>
      <c r="AF553" s="238"/>
      <c r="AG553" s="239"/>
    </row>
    <row r="554" spans="1:33" x14ac:dyDescent="0.2">
      <c r="A554" s="546" t="s">
        <v>53</v>
      </c>
      <c r="B554" s="547" t="s">
        <v>780</v>
      </c>
      <c r="C554" s="550"/>
      <c r="D554" s="555">
        <v>232423</v>
      </c>
      <c r="E554" s="549">
        <v>3</v>
      </c>
      <c r="F554" s="235">
        <f t="shared" si="51"/>
        <v>533881</v>
      </c>
      <c r="G554" s="234">
        <f t="shared" si="52"/>
        <v>541805</v>
      </c>
      <c r="H554" s="238">
        <v>507922</v>
      </c>
      <c r="I554" s="239">
        <v>512967</v>
      </c>
      <c r="J554" s="238">
        <v>10157</v>
      </c>
      <c r="K554" s="240">
        <v>9203</v>
      </c>
      <c r="L554" s="238">
        <v>15802</v>
      </c>
      <c r="M554" s="238">
        <v>0</v>
      </c>
      <c r="N554" s="238"/>
      <c r="O554" s="239">
        <v>19635</v>
      </c>
      <c r="P554" s="239">
        <v>0</v>
      </c>
      <c r="Q554" s="240"/>
      <c r="R554" s="238"/>
      <c r="S554" s="240"/>
      <c r="T554" s="236">
        <f t="shared" si="53"/>
        <v>33802</v>
      </c>
      <c r="U554" s="237">
        <f t="shared" si="54"/>
        <v>35808</v>
      </c>
      <c r="V554" s="238">
        <v>26315</v>
      </c>
      <c r="W554" s="239">
        <v>28076</v>
      </c>
      <c r="X554" s="241">
        <v>3548</v>
      </c>
      <c r="Y554" s="240">
        <v>3562</v>
      </c>
      <c r="Z554" s="238">
        <v>3939</v>
      </c>
      <c r="AA554" s="238">
        <v>0</v>
      </c>
      <c r="AB554" s="238"/>
      <c r="AC554" s="239">
        <v>4170</v>
      </c>
      <c r="AD554" s="239">
        <v>0</v>
      </c>
      <c r="AE554" s="240"/>
      <c r="AF554" s="238"/>
      <c r="AG554" s="239"/>
    </row>
    <row r="555" spans="1:33" x14ac:dyDescent="0.2">
      <c r="A555" s="546" t="s">
        <v>53</v>
      </c>
      <c r="B555" s="547" t="s">
        <v>781</v>
      </c>
      <c r="C555" s="550"/>
      <c r="D555" s="555">
        <v>232937</v>
      </c>
      <c r="E555" s="549">
        <v>3</v>
      </c>
      <c r="F555" s="235">
        <f t="shared" si="51"/>
        <v>160708</v>
      </c>
      <c r="G555" s="234">
        <f t="shared" si="52"/>
        <v>152499</v>
      </c>
      <c r="H555" s="238">
        <v>134731</v>
      </c>
      <c r="I555" s="239">
        <v>140375</v>
      </c>
      <c r="J555" s="238">
        <v>1815</v>
      </c>
      <c r="K555" s="240">
        <v>12124</v>
      </c>
      <c r="L555" s="238">
        <v>0</v>
      </c>
      <c r="M555" s="238">
        <v>24162</v>
      </c>
      <c r="N555" s="238"/>
      <c r="O555" s="239">
        <v>0</v>
      </c>
      <c r="P555" s="239">
        <v>0</v>
      </c>
      <c r="Q555" s="240"/>
      <c r="R555" s="238"/>
      <c r="S555" s="240"/>
      <c r="T555" s="236">
        <f t="shared" si="53"/>
        <v>14099</v>
      </c>
      <c r="U555" s="237">
        <f t="shared" si="54"/>
        <v>11804</v>
      </c>
      <c r="V555" s="238">
        <v>11591</v>
      </c>
      <c r="W555" s="239">
        <v>10026</v>
      </c>
      <c r="X555" s="241">
        <v>652</v>
      </c>
      <c r="Y555" s="240">
        <v>1778</v>
      </c>
      <c r="Z555" s="238">
        <v>0</v>
      </c>
      <c r="AA555" s="238">
        <v>1856</v>
      </c>
      <c r="AB555" s="238"/>
      <c r="AC555" s="239">
        <v>0</v>
      </c>
      <c r="AD555" s="239">
        <v>0</v>
      </c>
      <c r="AE555" s="240"/>
      <c r="AF555" s="238"/>
      <c r="AG555" s="239"/>
    </row>
    <row r="556" spans="1:33" x14ac:dyDescent="0.2">
      <c r="A556" s="546" t="s">
        <v>53</v>
      </c>
      <c r="B556" s="547" t="s">
        <v>782</v>
      </c>
      <c r="C556" s="550" t="s">
        <v>325</v>
      </c>
      <c r="D556" s="555">
        <v>232566</v>
      </c>
      <c r="E556" s="546">
        <v>4</v>
      </c>
      <c r="F556" s="235">
        <f t="shared" si="51"/>
        <v>126712</v>
      </c>
      <c r="G556" s="234">
        <f t="shared" si="52"/>
        <v>126649</v>
      </c>
      <c r="H556" s="238">
        <v>117765</v>
      </c>
      <c r="I556" s="239">
        <v>117539</v>
      </c>
      <c r="J556" s="238">
        <v>781</v>
      </c>
      <c r="K556" s="240">
        <v>240</v>
      </c>
      <c r="L556" s="238">
        <v>8166</v>
      </c>
      <c r="M556" s="238">
        <v>0</v>
      </c>
      <c r="N556" s="238"/>
      <c r="O556" s="239">
        <v>8870</v>
      </c>
      <c r="P556" s="239">
        <v>0</v>
      </c>
      <c r="Q556" s="240"/>
      <c r="R556" s="238"/>
      <c r="S556" s="240"/>
      <c r="T556" s="236">
        <f t="shared" si="53"/>
        <v>7771</v>
      </c>
      <c r="U556" s="237">
        <f t="shared" si="54"/>
        <v>7700</v>
      </c>
      <c r="V556" s="238">
        <v>4139</v>
      </c>
      <c r="W556" s="239">
        <v>3861</v>
      </c>
      <c r="X556" s="241">
        <v>1918</v>
      </c>
      <c r="Y556" s="240">
        <v>862</v>
      </c>
      <c r="Z556" s="238">
        <v>1714</v>
      </c>
      <c r="AA556" s="238">
        <v>0</v>
      </c>
      <c r="AB556" s="238"/>
      <c r="AC556" s="239">
        <v>2977</v>
      </c>
      <c r="AD556" s="239">
        <v>0</v>
      </c>
      <c r="AE556" s="240"/>
      <c r="AF556" s="238"/>
      <c r="AG556" s="239"/>
    </row>
    <row r="557" spans="1:33" x14ac:dyDescent="0.2">
      <c r="A557" s="546" t="s">
        <v>53</v>
      </c>
      <c r="B557" s="547" t="s">
        <v>783</v>
      </c>
      <c r="C557" s="550" t="s">
        <v>325</v>
      </c>
      <c r="D557" s="555">
        <v>233277</v>
      </c>
      <c r="E557" s="549">
        <v>4</v>
      </c>
      <c r="F557" s="235">
        <f t="shared" si="51"/>
        <v>244570</v>
      </c>
      <c r="G557" s="234">
        <f t="shared" si="52"/>
        <v>253773</v>
      </c>
      <c r="H557" s="238">
        <v>235209</v>
      </c>
      <c r="I557" s="239">
        <v>239374</v>
      </c>
      <c r="J557" s="238">
        <v>7653</v>
      </c>
      <c r="K557" s="240">
        <v>6240</v>
      </c>
      <c r="L557" s="238">
        <v>810</v>
      </c>
      <c r="M557" s="238">
        <v>898</v>
      </c>
      <c r="N557" s="238"/>
      <c r="O557" s="239">
        <v>7257</v>
      </c>
      <c r="P557" s="239">
        <v>902</v>
      </c>
      <c r="Q557" s="240"/>
      <c r="R557" s="238"/>
      <c r="S557" s="240"/>
      <c r="T557" s="236">
        <f t="shared" si="53"/>
        <v>20498</v>
      </c>
      <c r="U557" s="237">
        <f t="shared" si="54"/>
        <v>19850</v>
      </c>
      <c r="V557" s="238">
        <v>15415</v>
      </c>
      <c r="W557" s="239">
        <v>13893</v>
      </c>
      <c r="X557" s="241">
        <v>3350</v>
      </c>
      <c r="Y557" s="240">
        <v>3773</v>
      </c>
      <c r="Z557" s="238">
        <v>385</v>
      </c>
      <c r="AA557" s="238">
        <v>1348</v>
      </c>
      <c r="AB557" s="238"/>
      <c r="AC557" s="239">
        <v>1476</v>
      </c>
      <c r="AD557" s="239">
        <v>708</v>
      </c>
      <c r="AE557" s="240"/>
      <c r="AF557" s="238"/>
      <c r="AG557" s="239"/>
    </row>
    <row r="558" spans="1:33" x14ac:dyDescent="0.2">
      <c r="A558" s="546" t="s">
        <v>53</v>
      </c>
      <c r="B558" s="547" t="s">
        <v>784</v>
      </c>
      <c r="C558" s="550" t="s">
        <v>325</v>
      </c>
      <c r="D558" s="555">
        <v>234155</v>
      </c>
      <c r="E558" s="549">
        <v>4</v>
      </c>
      <c r="F558" s="235">
        <f t="shared" si="51"/>
        <v>157465</v>
      </c>
      <c r="G558" s="234">
        <f t="shared" si="52"/>
        <v>162724</v>
      </c>
      <c r="H558" s="238">
        <v>153741</v>
      </c>
      <c r="I558" s="239">
        <v>159069</v>
      </c>
      <c r="J558" s="238">
        <v>2680</v>
      </c>
      <c r="K558" s="240">
        <v>2734</v>
      </c>
      <c r="L558" s="238">
        <v>1044</v>
      </c>
      <c r="M558" s="238">
        <v>0</v>
      </c>
      <c r="N558" s="238"/>
      <c r="O558" s="239">
        <v>921</v>
      </c>
      <c r="P558" s="239">
        <v>0</v>
      </c>
      <c r="Q558" s="240"/>
      <c r="R558" s="238"/>
      <c r="S558" s="240"/>
      <c r="T558" s="236">
        <f t="shared" si="53"/>
        <v>9863</v>
      </c>
      <c r="U558" s="237">
        <f t="shared" si="54"/>
        <v>10911</v>
      </c>
      <c r="V558" s="238">
        <v>8063</v>
      </c>
      <c r="W558" s="239">
        <v>8868</v>
      </c>
      <c r="X558" s="241">
        <v>1800</v>
      </c>
      <c r="Y558" s="240">
        <v>2043</v>
      </c>
      <c r="Z558" s="238">
        <v>0</v>
      </c>
      <c r="AA558" s="238">
        <v>0</v>
      </c>
      <c r="AB558" s="238"/>
      <c r="AC558" s="239">
        <v>0</v>
      </c>
      <c r="AD558" s="239">
        <v>0</v>
      </c>
      <c r="AE558" s="240"/>
      <c r="AF558" s="238"/>
      <c r="AG558" s="239"/>
    </row>
    <row r="559" spans="1:33" x14ac:dyDescent="0.2">
      <c r="A559" s="546" t="s">
        <v>53</v>
      </c>
      <c r="B559" s="547" t="s">
        <v>785</v>
      </c>
      <c r="C559" s="550" t="s">
        <v>812</v>
      </c>
      <c r="D559" s="555">
        <v>231712</v>
      </c>
      <c r="E559" s="549">
        <v>5</v>
      </c>
      <c r="F559" s="235">
        <f t="shared" si="51"/>
        <v>140270</v>
      </c>
      <c r="G559" s="234">
        <f t="shared" si="52"/>
        <v>144321</v>
      </c>
      <c r="H559" s="238">
        <v>139898</v>
      </c>
      <c r="I559" s="239">
        <v>144021</v>
      </c>
      <c r="J559" s="238">
        <v>372</v>
      </c>
      <c r="K559" s="240">
        <v>300</v>
      </c>
      <c r="L559" s="238">
        <v>0</v>
      </c>
      <c r="M559" s="238">
        <v>0</v>
      </c>
      <c r="N559" s="238"/>
      <c r="O559" s="239">
        <v>0</v>
      </c>
      <c r="P559" s="239">
        <v>0</v>
      </c>
      <c r="Q559" s="240"/>
      <c r="R559" s="238"/>
      <c r="S559" s="240"/>
      <c r="T559" s="236">
        <f t="shared" si="53"/>
        <v>3807</v>
      </c>
      <c r="U559" s="237">
        <f t="shared" si="54"/>
        <v>4141</v>
      </c>
      <c r="V559" s="238">
        <v>3807</v>
      </c>
      <c r="W559" s="239">
        <v>4084</v>
      </c>
      <c r="X559" s="241">
        <v>0</v>
      </c>
      <c r="Y559" s="240">
        <v>57</v>
      </c>
      <c r="Z559" s="238">
        <v>0</v>
      </c>
      <c r="AA559" s="238">
        <v>0</v>
      </c>
      <c r="AB559" s="238"/>
      <c r="AC559" s="239">
        <v>0</v>
      </c>
      <c r="AD559" s="239">
        <v>0</v>
      </c>
      <c r="AE559" s="240"/>
      <c r="AF559" s="238"/>
      <c r="AG559" s="239"/>
    </row>
    <row r="560" spans="1:33" x14ac:dyDescent="0.2">
      <c r="A560" s="546" t="s">
        <v>53</v>
      </c>
      <c r="B560" s="547" t="s">
        <v>786</v>
      </c>
      <c r="C560" s="550" t="s">
        <v>325</v>
      </c>
      <c r="D560" s="555">
        <v>232681</v>
      </c>
      <c r="E560" s="549">
        <v>5</v>
      </c>
      <c r="F560" s="235">
        <f t="shared" si="51"/>
        <v>126791</v>
      </c>
      <c r="G560" s="234">
        <f t="shared" si="52"/>
        <v>126517</v>
      </c>
      <c r="H560" s="238">
        <v>122858</v>
      </c>
      <c r="I560" s="239">
        <v>122520</v>
      </c>
      <c r="J560" s="238">
        <v>0</v>
      </c>
      <c r="K560" s="240">
        <v>0</v>
      </c>
      <c r="L560" s="238">
        <v>3849</v>
      </c>
      <c r="M560" s="238">
        <v>84</v>
      </c>
      <c r="N560" s="238"/>
      <c r="O560" s="239">
        <v>3683</v>
      </c>
      <c r="P560" s="239">
        <v>314</v>
      </c>
      <c r="Q560" s="240"/>
      <c r="R560" s="238"/>
      <c r="S560" s="240"/>
      <c r="T560" s="236">
        <f t="shared" si="53"/>
        <v>9707</v>
      </c>
      <c r="U560" s="237">
        <f t="shared" si="54"/>
        <v>8929</v>
      </c>
      <c r="V560" s="238">
        <v>8042</v>
      </c>
      <c r="W560" s="239">
        <v>7487</v>
      </c>
      <c r="X560" s="241">
        <v>0</v>
      </c>
      <c r="Y560" s="240">
        <v>0</v>
      </c>
      <c r="Z560" s="238">
        <v>1665</v>
      </c>
      <c r="AA560" s="238">
        <v>0</v>
      </c>
      <c r="AB560" s="238"/>
      <c r="AC560" s="239">
        <v>1442</v>
      </c>
      <c r="AD560" s="239">
        <v>0</v>
      </c>
      <c r="AE560" s="240"/>
      <c r="AF560" s="238"/>
      <c r="AG560" s="239"/>
    </row>
    <row r="561" spans="1:33" x14ac:dyDescent="0.2">
      <c r="A561" s="546" t="s">
        <v>53</v>
      </c>
      <c r="B561" s="547" t="s">
        <v>787</v>
      </c>
      <c r="C561" s="548"/>
      <c r="D561" s="555">
        <v>233897</v>
      </c>
      <c r="E561" s="549">
        <v>6</v>
      </c>
      <c r="F561" s="235">
        <f t="shared" si="51"/>
        <v>51098</v>
      </c>
      <c r="G561" s="234">
        <f t="shared" si="52"/>
        <v>53846</v>
      </c>
      <c r="H561" s="238">
        <v>48493</v>
      </c>
      <c r="I561" s="239">
        <v>47128</v>
      </c>
      <c r="J561" s="238">
        <v>901</v>
      </c>
      <c r="K561" s="240">
        <v>630</v>
      </c>
      <c r="L561" s="238">
        <v>1704</v>
      </c>
      <c r="M561" s="238">
        <v>0</v>
      </c>
      <c r="N561" s="238"/>
      <c r="O561" s="239">
        <v>3424</v>
      </c>
      <c r="P561" s="239">
        <v>2664</v>
      </c>
      <c r="Q561" s="240"/>
      <c r="R561" s="238"/>
      <c r="S561" s="240"/>
      <c r="T561" s="236">
        <f t="shared" si="53"/>
        <v>0</v>
      </c>
      <c r="U561" s="237">
        <f t="shared" si="54"/>
        <v>0</v>
      </c>
      <c r="V561" s="238">
        <v>0</v>
      </c>
      <c r="W561" s="239">
        <v>0</v>
      </c>
      <c r="X561" s="241">
        <v>0</v>
      </c>
      <c r="Y561" s="240">
        <v>0</v>
      </c>
      <c r="Z561" s="238">
        <v>0</v>
      </c>
      <c r="AA561" s="238">
        <v>0</v>
      </c>
      <c r="AB561" s="238"/>
      <c r="AC561" s="239">
        <v>0</v>
      </c>
      <c r="AD561" s="239">
        <v>0</v>
      </c>
      <c r="AE561" s="240"/>
      <c r="AF561" s="238"/>
      <c r="AG561" s="239"/>
    </row>
    <row r="562" spans="1:33" x14ac:dyDescent="0.2">
      <c r="A562" s="546" t="s">
        <v>53</v>
      </c>
      <c r="B562" s="547" t="s">
        <v>788</v>
      </c>
      <c r="C562" s="548"/>
      <c r="D562" s="555">
        <v>232414</v>
      </c>
      <c r="E562" s="551">
        <v>8</v>
      </c>
      <c r="F562" s="235">
        <f t="shared" si="51"/>
        <v>258715</v>
      </c>
      <c r="G562" s="234">
        <f t="shared" si="52"/>
        <v>255580</v>
      </c>
      <c r="H562" s="238">
        <v>169578</v>
      </c>
      <c r="I562" s="239">
        <v>159154</v>
      </c>
      <c r="J562" s="238">
        <v>22486</v>
      </c>
      <c r="K562" s="240">
        <v>20270</v>
      </c>
      <c r="L562" s="238">
        <v>66480</v>
      </c>
      <c r="M562" s="238">
        <v>171</v>
      </c>
      <c r="N562" s="238"/>
      <c r="O562" s="239">
        <v>75945</v>
      </c>
      <c r="P562" s="239">
        <v>211</v>
      </c>
      <c r="Q562" s="240"/>
      <c r="R562" s="238"/>
      <c r="S562" s="240"/>
      <c r="T562" s="236">
        <f t="shared" si="53"/>
        <v>0</v>
      </c>
      <c r="U562" s="237">
        <f t="shared" si="54"/>
        <v>0</v>
      </c>
      <c r="V562" s="238">
        <v>0</v>
      </c>
      <c r="W562" s="239">
        <v>0</v>
      </c>
      <c r="X562" s="241">
        <v>0</v>
      </c>
      <c r="Y562" s="240">
        <v>0</v>
      </c>
      <c r="Z562" s="238">
        <v>0</v>
      </c>
      <c r="AA562" s="238">
        <v>0</v>
      </c>
      <c r="AB562" s="238"/>
      <c r="AC562" s="239">
        <v>0</v>
      </c>
      <c r="AD562" s="239">
        <v>0</v>
      </c>
      <c r="AE562" s="240"/>
      <c r="AF562" s="238"/>
      <c r="AG562" s="239"/>
    </row>
    <row r="563" spans="1:33" x14ac:dyDescent="0.2">
      <c r="A563" s="546" t="s">
        <v>53</v>
      </c>
      <c r="B563" s="547" t="s">
        <v>789</v>
      </c>
      <c r="C563" s="548"/>
      <c r="D563" s="555">
        <v>232946</v>
      </c>
      <c r="E563" s="551">
        <v>8</v>
      </c>
      <c r="F563" s="235">
        <f t="shared" si="51"/>
        <v>1051547</v>
      </c>
      <c r="G563" s="234">
        <f t="shared" si="52"/>
        <v>1079763</v>
      </c>
      <c r="H563" s="238">
        <v>756511</v>
      </c>
      <c r="I563" s="239">
        <v>782515</v>
      </c>
      <c r="J563" s="238">
        <v>60406</v>
      </c>
      <c r="K563" s="240">
        <v>54697</v>
      </c>
      <c r="L563" s="238">
        <v>229568</v>
      </c>
      <c r="M563" s="238">
        <v>5062</v>
      </c>
      <c r="N563" s="238"/>
      <c r="O563" s="239">
        <v>236927</v>
      </c>
      <c r="P563" s="239">
        <v>5624</v>
      </c>
      <c r="Q563" s="240"/>
      <c r="R563" s="238"/>
      <c r="S563" s="240"/>
      <c r="T563" s="236">
        <f t="shared" si="53"/>
        <v>0</v>
      </c>
      <c r="U563" s="237">
        <f t="shared" si="54"/>
        <v>0</v>
      </c>
      <c r="V563" s="238">
        <v>0</v>
      </c>
      <c r="W563" s="239">
        <v>0</v>
      </c>
      <c r="X563" s="241">
        <v>0</v>
      </c>
      <c r="Y563" s="240">
        <v>0</v>
      </c>
      <c r="Z563" s="238">
        <v>0</v>
      </c>
      <c r="AA563" s="238">
        <v>0</v>
      </c>
      <c r="AB563" s="238"/>
      <c r="AC563" s="239">
        <v>0</v>
      </c>
      <c r="AD563" s="239">
        <v>0</v>
      </c>
      <c r="AE563" s="240"/>
      <c r="AF563" s="238"/>
      <c r="AG563" s="239"/>
    </row>
    <row r="564" spans="1:33" x14ac:dyDescent="0.2">
      <c r="A564" s="546" t="s">
        <v>53</v>
      </c>
      <c r="B564" s="547" t="s">
        <v>790</v>
      </c>
      <c r="C564" s="548"/>
      <c r="D564" s="555">
        <v>233754</v>
      </c>
      <c r="E564" s="551">
        <v>8</v>
      </c>
      <c r="F564" s="235">
        <f t="shared" si="51"/>
        <v>215326</v>
      </c>
      <c r="G564" s="234">
        <f t="shared" si="52"/>
        <v>215120</v>
      </c>
      <c r="H564" s="238">
        <v>154144</v>
      </c>
      <c r="I564" s="239">
        <v>149510</v>
      </c>
      <c r="J564" s="238">
        <v>16070</v>
      </c>
      <c r="K564" s="240">
        <v>14444</v>
      </c>
      <c r="L564" s="238">
        <v>44775</v>
      </c>
      <c r="M564" s="238">
        <v>337</v>
      </c>
      <c r="N564" s="238"/>
      <c r="O564" s="239">
        <v>50897</v>
      </c>
      <c r="P564" s="239">
        <v>269</v>
      </c>
      <c r="Q564" s="240"/>
      <c r="R564" s="238"/>
      <c r="S564" s="240"/>
      <c r="T564" s="236">
        <f t="shared" si="53"/>
        <v>0</v>
      </c>
      <c r="U564" s="237">
        <f t="shared" si="54"/>
        <v>0</v>
      </c>
      <c r="V564" s="238">
        <v>0</v>
      </c>
      <c r="W564" s="239">
        <v>0</v>
      </c>
      <c r="X564" s="241">
        <v>0</v>
      </c>
      <c r="Y564" s="240">
        <v>0</v>
      </c>
      <c r="Z564" s="238">
        <v>0</v>
      </c>
      <c r="AA564" s="238">
        <v>0</v>
      </c>
      <c r="AB564" s="238"/>
      <c r="AC564" s="239">
        <v>0</v>
      </c>
      <c r="AD564" s="239">
        <v>0</v>
      </c>
      <c r="AE564" s="240"/>
      <c r="AF564" s="238"/>
      <c r="AG564" s="239"/>
    </row>
    <row r="565" spans="1:33" x14ac:dyDescent="0.2">
      <c r="A565" s="546" t="s">
        <v>53</v>
      </c>
      <c r="B565" s="547" t="s">
        <v>791</v>
      </c>
      <c r="C565" s="548"/>
      <c r="D565" s="555">
        <v>233772</v>
      </c>
      <c r="E565" s="551">
        <v>8</v>
      </c>
      <c r="F565" s="235">
        <f t="shared" si="51"/>
        <v>690950</v>
      </c>
      <c r="G565" s="234">
        <f t="shared" si="52"/>
        <v>670812</v>
      </c>
      <c r="H565" s="238">
        <v>469902</v>
      </c>
      <c r="I565" s="239">
        <v>443674</v>
      </c>
      <c r="J565" s="238">
        <v>42965</v>
      </c>
      <c r="K565" s="240">
        <v>41741</v>
      </c>
      <c r="L565" s="238">
        <v>178034</v>
      </c>
      <c r="M565" s="238">
        <v>49</v>
      </c>
      <c r="N565" s="238"/>
      <c r="O565" s="239">
        <v>185355</v>
      </c>
      <c r="P565" s="239">
        <v>42</v>
      </c>
      <c r="Q565" s="240"/>
      <c r="R565" s="238"/>
      <c r="S565" s="240"/>
      <c r="T565" s="236">
        <f t="shared" si="53"/>
        <v>0</v>
      </c>
      <c r="U565" s="237">
        <f t="shared" si="54"/>
        <v>0</v>
      </c>
      <c r="V565" s="238">
        <v>0</v>
      </c>
      <c r="W565" s="239">
        <v>0</v>
      </c>
      <c r="X565" s="241">
        <v>0</v>
      </c>
      <c r="Y565" s="240">
        <v>0</v>
      </c>
      <c r="Z565" s="238">
        <v>0</v>
      </c>
      <c r="AA565" s="238">
        <v>0</v>
      </c>
      <c r="AB565" s="238"/>
      <c r="AC565" s="239">
        <v>0</v>
      </c>
      <c r="AD565" s="239">
        <v>0</v>
      </c>
      <c r="AE565" s="240"/>
      <c r="AF565" s="238"/>
      <c r="AG565" s="239"/>
    </row>
    <row r="566" spans="1:33" x14ac:dyDescent="0.2">
      <c r="A566" s="546" t="s">
        <v>53</v>
      </c>
      <c r="B566" s="547" t="s">
        <v>792</v>
      </c>
      <c r="C566" s="548"/>
      <c r="D566" s="555">
        <v>231536</v>
      </c>
      <c r="E566" s="551">
        <v>9</v>
      </c>
      <c r="F566" s="235">
        <f t="shared" si="51"/>
        <v>94524</v>
      </c>
      <c r="G566" s="234">
        <f t="shared" si="52"/>
        <v>89372</v>
      </c>
      <c r="H566" s="238">
        <v>54717</v>
      </c>
      <c r="I566" s="239">
        <v>50456</v>
      </c>
      <c r="J566" s="238">
        <v>11233</v>
      </c>
      <c r="K566" s="240">
        <v>10501</v>
      </c>
      <c r="L566" s="238">
        <v>28574</v>
      </c>
      <c r="M566" s="238">
        <v>0</v>
      </c>
      <c r="N566" s="238"/>
      <c r="O566" s="239">
        <v>28415</v>
      </c>
      <c r="P566" s="239">
        <v>0</v>
      </c>
      <c r="Q566" s="240"/>
      <c r="R566" s="238"/>
      <c r="S566" s="240"/>
      <c r="T566" s="236">
        <f t="shared" si="53"/>
        <v>0</v>
      </c>
      <c r="U566" s="237">
        <f t="shared" si="54"/>
        <v>0</v>
      </c>
      <c r="V566" s="238">
        <v>0</v>
      </c>
      <c r="W566" s="239">
        <v>0</v>
      </c>
      <c r="X566" s="241">
        <v>0</v>
      </c>
      <c r="Y566" s="240">
        <v>0</v>
      </c>
      <c r="Z566" s="238">
        <v>0</v>
      </c>
      <c r="AA566" s="238">
        <v>0</v>
      </c>
      <c r="AB566" s="238"/>
      <c r="AC566" s="239">
        <v>0</v>
      </c>
      <c r="AD566" s="239">
        <v>0</v>
      </c>
      <c r="AE566" s="240"/>
      <c r="AF566" s="238"/>
      <c r="AG566" s="239"/>
    </row>
    <row r="567" spans="1:33" x14ac:dyDescent="0.2">
      <c r="A567" s="546" t="s">
        <v>53</v>
      </c>
      <c r="B567" s="547" t="s">
        <v>793</v>
      </c>
      <c r="C567" s="548"/>
      <c r="D567" s="555">
        <v>231697</v>
      </c>
      <c r="E567" s="551">
        <v>9</v>
      </c>
      <c r="F567" s="235">
        <f t="shared" si="51"/>
        <v>88001</v>
      </c>
      <c r="G567" s="234">
        <f t="shared" si="52"/>
        <v>84580</v>
      </c>
      <c r="H567" s="238">
        <v>52026</v>
      </c>
      <c r="I567" s="239">
        <v>49087</v>
      </c>
      <c r="J567" s="238">
        <v>18497</v>
      </c>
      <c r="K567" s="240">
        <v>17647</v>
      </c>
      <c r="L567" s="238">
        <v>13611</v>
      </c>
      <c r="M567" s="238">
        <v>3867</v>
      </c>
      <c r="N567" s="238"/>
      <c r="O567" s="239">
        <v>13977</v>
      </c>
      <c r="P567" s="239">
        <v>3869</v>
      </c>
      <c r="Q567" s="240"/>
      <c r="R567" s="238"/>
      <c r="S567" s="240"/>
      <c r="T567" s="236">
        <f t="shared" si="53"/>
        <v>0</v>
      </c>
      <c r="U567" s="237">
        <f t="shared" si="54"/>
        <v>0</v>
      </c>
      <c r="V567" s="238">
        <v>0</v>
      </c>
      <c r="W567" s="239">
        <v>0</v>
      </c>
      <c r="X567" s="241">
        <v>0</v>
      </c>
      <c r="Y567" s="240">
        <v>0</v>
      </c>
      <c r="Z567" s="238">
        <v>0</v>
      </c>
      <c r="AA567" s="238">
        <v>0</v>
      </c>
      <c r="AB567" s="238"/>
      <c r="AC567" s="239">
        <v>0</v>
      </c>
      <c r="AD567" s="239">
        <v>0</v>
      </c>
      <c r="AE567" s="240"/>
      <c r="AF567" s="238"/>
      <c r="AG567" s="239"/>
    </row>
    <row r="568" spans="1:33" x14ac:dyDescent="0.2">
      <c r="A568" s="546" t="s">
        <v>53</v>
      </c>
      <c r="B568" s="547" t="s">
        <v>794</v>
      </c>
      <c r="C568" s="548"/>
      <c r="D568" s="555">
        <v>231882</v>
      </c>
      <c r="E568" s="551">
        <v>9</v>
      </c>
      <c r="F568" s="235">
        <f t="shared" si="51"/>
        <v>85382</v>
      </c>
      <c r="G568" s="234">
        <f t="shared" si="52"/>
        <v>84108</v>
      </c>
      <c r="H568" s="238">
        <v>57605</v>
      </c>
      <c r="I568" s="239">
        <v>55807</v>
      </c>
      <c r="J568" s="238">
        <v>18086</v>
      </c>
      <c r="K568" s="240">
        <v>18912</v>
      </c>
      <c r="L568" s="238">
        <v>9107</v>
      </c>
      <c r="M568" s="238">
        <v>584</v>
      </c>
      <c r="N568" s="238"/>
      <c r="O568" s="239">
        <v>9066</v>
      </c>
      <c r="P568" s="239">
        <v>323</v>
      </c>
      <c r="Q568" s="240"/>
      <c r="R568" s="238"/>
      <c r="S568" s="240"/>
      <c r="T568" s="236">
        <f t="shared" si="53"/>
        <v>0</v>
      </c>
      <c r="U568" s="237">
        <f t="shared" si="54"/>
        <v>0</v>
      </c>
      <c r="V568" s="238">
        <v>0</v>
      </c>
      <c r="W568" s="239">
        <v>0</v>
      </c>
      <c r="X568" s="241">
        <v>0</v>
      </c>
      <c r="Y568" s="240">
        <v>0</v>
      </c>
      <c r="Z568" s="238">
        <v>0</v>
      </c>
      <c r="AA568" s="238">
        <v>0</v>
      </c>
      <c r="AB568" s="238"/>
      <c r="AC568" s="239">
        <v>0</v>
      </c>
      <c r="AD568" s="239">
        <v>0</v>
      </c>
      <c r="AE568" s="240"/>
      <c r="AF568" s="238"/>
      <c r="AG568" s="239"/>
    </row>
    <row r="569" spans="1:33" x14ac:dyDescent="0.2">
      <c r="A569" s="546" t="s">
        <v>53</v>
      </c>
      <c r="B569" s="547" t="s">
        <v>795</v>
      </c>
      <c r="C569" s="548"/>
      <c r="D569" s="555">
        <v>232195</v>
      </c>
      <c r="E569" s="551">
        <v>9</v>
      </c>
      <c r="F569" s="235">
        <f t="shared" si="51"/>
        <v>139901</v>
      </c>
      <c r="G569" s="234">
        <f t="shared" si="52"/>
        <v>138010</v>
      </c>
      <c r="H569" s="238">
        <v>68757</v>
      </c>
      <c r="I569" s="239">
        <v>71290</v>
      </c>
      <c r="J569" s="238">
        <v>18585</v>
      </c>
      <c r="K569" s="240">
        <v>21911</v>
      </c>
      <c r="L569" s="238">
        <v>27980</v>
      </c>
      <c r="M569" s="238">
        <v>24579</v>
      </c>
      <c r="N569" s="238"/>
      <c r="O569" s="239">
        <v>27111</v>
      </c>
      <c r="P569" s="239">
        <v>17698</v>
      </c>
      <c r="Q569" s="240"/>
      <c r="R569" s="238"/>
      <c r="S569" s="240"/>
      <c r="T569" s="236">
        <f t="shared" si="53"/>
        <v>0</v>
      </c>
      <c r="U569" s="237">
        <f t="shared" si="54"/>
        <v>0</v>
      </c>
      <c r="V569" s="238">
        <v>0</v>
      </c>
      <c r="W569" s="239">
        <v>0</v>
      </c>
      <c r="X569" s="241">
        <v>0</v>
      </c>
      <c r="Y569" s="240">
        <v>0</v>
      </c>
      <c r="Z569" s="238">
        <v>0</v>
      </c>
      <c r="AA569" s="238">
        <v>0</v>
      </c>
      <c r="AB569" s="238"/>
      <c r="AC569" s="239">
        <v>0</v>
      </c>
      <c r="AD569" s="239">
        <v>0</v>
      </c>
      <c r="AE569" s="240"/>
      <c r="AF569" s="238"/>
      <c r="AG569" s="239"/>
    </row>
    <row r="570" spans="1:33" x14ac:dyDescent="0.2">
      <c r="A570" s="546" t="s">
        <v>53</v>
      </c>
      <c r="B570" s="547" t="s">
        <v>796</v>
      </c>
      <c r="C570" s="548" t="s">
        <v>813</v>
      </c>
      <c r="D570" s="555">
        <v>232450</v>
      </c>
      <c r="E570" s="551">
        <v>9</v>
      </c>
      <c r="F570" s="235">
        <f t="shared" si="51"/>
        <v>190338</v>
      </c>
      <c r="G570" s="234">
        <f t="shared" si="52"/>
        <v>183864</v>
      </c>
      <c r="H570" s="238">
        <v>122195</v>
      </c>
      <c r="I570" s="239">
        <v>111996</v>
      </c>
      <c r="J570" s="238">
        <v>20761</v>
      </c>
      <c r="K570" s="240">
        <v>20993</v>
      </c>
      <c r="L570" s="238">
        <v>47182</v>
      </c>
      <c r="M570" s="238">
        <v>200</v>
      </c>
      <c r="N570" s="238"/>
      <c r="O570" s="239">
        <v>50719</v>
      </c>
      <c r="P570" s="239">
        <v>156</v>
      </c>
      <c r="Q570" s="240"/>
      <c r="R570" s="238"/>
      <c r="S570" s="240"/>
      <c r="T570" s="236">
        <f t="shared" si="53"/>
        <v>0</v>
      </c>
      <c r="U570" s="237">
        <f t="shared" si="54"/>
        <v>0</v>
      </c>
      <c r="V570" s="238">
        <v>0</v>
      </c>
      <c r="W570" s="239">
        <v>0</v>
      </c>
      <c r="X570" s="241">
        <v>0</v>
      </c>
      <c r="Y570" s="240">
        <v>0</v>
      </c>
      <c r="Z570" s="238">
        <v>0</v>
      </c>
      <c r="AA570" s="238">
        <v>0</v>
      </c>
      <c r="AB570" s="238"/>
      <c r="AC570" s="239">
        <v>0</v>
      </c>
      <c r="AD570" s="239">
        <v>0</v>
      </c>
      <c r="AE570" s="240"/>
      <c r="AF570" s="238"/>
      <c r="AG570" s="239"/>
    </row>
    <row r="571" spans="1:33" x14ac:dyDescent="0.2">
      <c r="A571" s="546" t="s">
        <v>53</v>
      </c>
      <c r="B571" s="547" t="s">
        <v>797</v>
      </c>
      <c r="C571" s="548"/>
      <c r="D571" s="555">
        <v>232575</v>
      </c>
      <c r="E571" s="551">
        <v>9</v>
      </c>
      <c r="F571" s="235">
        <f t="shared" si="51"/>
        <v>123923</v>
      </c>
      <c r="G571" s="234">
        <f t="shared" si="52"/>
        <v>126718</v>
      </c>
      <c r="H571" s="238">
        <v>71369</v>
      </c>
      <c r="I571" s="239">
        <v>69039</v>
      </c>
      <c r="J571" s="238">
        <v>19623</v>
      </c>
      <c r="K571" s="240">
        <v>21649</v>
      </c>
      <c r="L571" s="238">
        <v>26289</v>
      </c>
      <c r="M571" s="238">
        <v>6642</v>
      </c>
      <c r="N571" s="238"/>
      <c r="O571" s="239">
        <v>29971</v>
      </c>
      <c r="P571" s="239">
        <v>6059</v>
      </c>
      <c r="Q571" s="240"/>
      <c r="R571" s="238"/>
      <c r="S571" s="240"/>
      <c r="T571" s="236">
        <f t="shared" si="53"/>
        <v>0</v>
      </c>
      <c r="U571" s="237">
        <f t="shared" si="54"/>
        <v>0</v>
      </c>
      <c r="V571" s="238">
        <v>0</v>
      </c>
      <c r="W571" s="239">
        <v>0</v>
      </c>
      <c r="X571" s="241">
        <v>0</v>
      </c>
      <c r="Y571" s="240">
        <v>0</v>
      </c>
      <c r="Z571" s="238">
        <v>0</v>
      </c>
      <c r="AA571" s="238">
        <v>0</v>
      </c>
      <c r="AB571" s="238"/>
      <c r="AC571" s="239">
        <v>0</v>
      </c>
      <c r="AD571" s="239">
        <v>0</v>
      </c>
      <c r="AE571" s="240"/>
      <c r="AF571" s="238"/>
      <c r="AG571" s="239"/>
    </row>
    <row r="572" spans="1:33" x14ac:dyDescent="0.2">
      <c r="A572" s="546" t="s">
        <v>53</v>
      </c>
      <c r="B572" s="547" t="s">
        <v>807</v>
      </c>
      <c r="C572" s="557" t="s">
        <v>463</v>
      </c>
      <c r="D572" s="555">
        <v>232788</v>
      </c>
      <c r="E572" s="554">
        <v>9</v>
      </c>
      <c r="F572" s="235">
        <f>SUM(H572,J572,L572,M572,N572,R572)</f>
        <v>65095</v>
      </c>
      <c r="G572" s="234">
        <f>SUM(I572,K572,O572,P572,Q572,S572)</f>
        <v>61671</v>
      </c>
      <c r="H572" s="238">
        <v>27821</v>
      </c>
      <c r="I572" s="239">
        <v>27136</v>
      </c>
      <c r="J572" s="238">
        <v>9870</v>
      </c>
      <c r="K572" s="240">
        <v>10222</v>
      </c>
      <c r="L572" s="238">
        <v>25207</v>
      </c>
      <c r="M572" s="238">
        <v>2197</v>
      </c>
      <c r="N572" s="238"/>
      <c r="O572" s="239">
        <v>22876</v>
      </c>
      <c r="P572" s="239">
        <v>1437</v>
      </c>
      <c r="Q572" s="240"/>
      <c r="R572" s="238"/>
      <c r="S572" s="240"/>
      <c r="T572" s="236">
        <f>SUM(V572,X572,Z572,AA572,AB572,AF572)</f>
        <v>0</v>
      </c>
      <c r="U572" s="237">
        <f>SUM(W572,Y572,AC572,AD572,AE572,AG572)</f>
        <v>0</v>
      </c>
      <c r="V572" s="238">
        <v>0</v>
      </c>
      <c r="W572" s="239">
        <v>0</v>
      </c>
      <c r="X572" s="241">
        <v>0</v>
      </c>
      <c r="Y572" s="240">
        <v>0</v>
      </c>
      <c r="Z572" s="238">
        <v>0</v>
      </c>
      <c r="AA572" s="238">
        <v>0</v>
      </c>
      <c r="AB572" s="238"/>
      <c r="AC572" s="239">
        <v>0</v>
      </c>
      <c r="AD572" s="239">
        <v>0</v>
      </c>
      <c r="AE572" s="240"/>
      <c r="AF572" s="238"/>
      <c r="AG572" s="239"/>
    </row>
    <row r="573" spans="1:33" x14ac:dyDescent="0.2">
      <c r="A573" s="546" t="s">
        <v>53</v>
      </c>
      <c r="B573" s="547" t="s">
        <v>798</v>
      </c>
      <c r="C573" s="548"/>
      <c r="D573" s="555">
        <v>232867</v>
      </c>
      <c r="E573" s="551">
        <v>9</v>
      </c>
      <c r="F573" s="235">
        <f t="shared" si="51"/>
        <v>100166</v>
      </c>
      <c r="G573" s="234">
        <f t="shared" si="52"/>
        <v>98240</v>
      </c>
      <c r="H573" s="238">
        <v>36784</v>
      </c>
      <c r="I573" s="239">
        <v>32712</v>
      </c>
      <c r="J573" s="238">
        <v>30117</v>
      </c>
      <c r="K573" s="240">
        <v>29750</v>
      </c>
      <c r="L573" s="238">
        <v>32557</v>
      </c>
      <c r="M573" s="238">
        <v>708</v>
      </c>
      <c r="N573" s="238"/>
      <c r="O573" s="239">
        <v>35184</v>
      </c>
      <c r="P573" s="239">
        <v>594</v>
      </c>
      <c r="Q573" s="240"/>
      <c r="R573" s="238"/>
      <c r="S573" s="240"/>
      <c r="T573" s="236">
        <f t="shared" si="53"/>
        <v>0</v>
      </c>
      <c r="U573" s="237">
        <f t="shared" si="54"/>
        <v>0</v>
      </c>
      <c r="V573" s="238">
        <v>0</v>
      </c>
      <c r="W573" s="239">
        <v>0</v>
      </c>
      <c r="X573" s="241">
        <v>0</v>
      </c>
      <c r="Y573" s="240">
        <v>0</v>
      </c>
      <c r="Z573" s="238">
        <v>0</v>
      </c>
      <c r="AA573" s="238">
        <v>0</v>
      </c>
      <c r="AB573" s="238"/>
      <c r="AC573" s="239">
        <v>0</v>
      </c>
      <c r="AD573" s="239">
        <v>0</v>
      </c>
      <c r="AE573" s="240"/>
      <c r="AF573" s="238"/>
      <c r="AG573" s="239"/>
    </row>
    <row r="574" spans="1:33" x14ac:dyDescent="0.2">
      <c r="A574" s="546" t="s">
        <v>53</v>
      </c>
      <c r="B574" s="552" t="s">
        <v>799</v>
      </c>
      <c r="C574" s="553"/>
      <c r="D574" s="555">
        <v>233019</v>
      </c>
      <c r="E574" s="556">
        <v>9</v>
      </c>
      <c r="F574" s="235">
        <f t="shared" si="51"/>
        <v>75059</v>
      </c>
      <c r="G574" s="234">
        <f t="shared" si="52"/>
        <v>73270</v>
      </c>
      <c r="H574" s="238">
        <v>39726</v>
      </c>
      <c r="I574" s="239">
        <v>36335</v>
      </c>
      <c r="J574" s="238">
        <v>10088</v>
      </c>
      <c r="K574" s="240">
        <v>11330</v>
      </c>
      <c r="L574" s="238">
        <v>23333</v>
      </c>
      <c r="M574" s="238">
        <v>1912</v>
      </c>
      <c r="N574" s="238"/>
      <c r="O574" s="239">
        <v>23552</v>
      </c>
      <c r="P574" s="239">
        <v>2053</v>
      </c>
      <c r="Q574" s="240"/>
      <c r="R574" s="238"/>
      <c r="S574" s="240"/>
      <c r="T574" s="236">
        <f t="shared" si="53"/>
        <v>0</v>
      </c>
      <c r="U574" s="237">
        <f t="shared" si="54"/>
        <v>0</v>
      </c>
      <c r="V574" s="238">
        <v>0</v>
      </c>
      <c r="W574" s="239">
        <v>0</v>
      </c>
      <c r="X574" s="241">
        <v>0</v>
      </c>
      <c r="Y574" s="240">
        <v>0</v>
      </c>
      <c r="Z574" s="238">
        <v>0</v>
      </c>
      <c r="AA574" s="238">
        <v>0</v>
      </c>
      <c r="AB574" s="238"/>
      <c r="AC574" s="239">
        <v>0</v>
      </c>
      <c r="AD574" s="239">
        <v>0</v>
      </c>
      <c r="AE574" s="240"/>
      <c r="AF574" s="238"/>
      <c r="AG574" s="239"/>
    </row>
    <row r="575" spans="1:33" x14ac:dyDescent="0.2">
      <c r="A575" s="546" t="s">
        <v>53</v>
      </c>
      <c r="B575" s="547" t="s">
        <v>800</v>
      </c>
      <c r="C575" s="548"/>
      <c r="D575" s="555">
        <v>233116</v>
      </c>
      <c r="E575" s="551">
        <v>9</v>
      </c>
      <c r="F575" s="235">
        <f t="shared" si="51"/>
        <v>91630</v>
      </c>
      <c r="G575" s="234">
        <f t="shared" si="52"/>
        <v>91405</v>
      </c>
      <c r="H575" s="238">
        <v>64414</v>
      </c>
      <c r="I575" s="239">
        <v>61463</v>
      </c>
      <c r="J575" s="238">
        <v>11752</v>
      </c>
      <c r="K575" s="240">
        <v>13038</v>
      </c>
      <c r="L575" s="238">
        <v>15052</v>
      </c>
      <c r="M575" s="238">
        <v>412</v>
      </c>
      <c r="N575" s="238"/>
      <c r="O575" s="239">
        <v>16574</v>
      </c>
      <c r="P575" s="239">
        <v>330</v>
      </c>
      <c r="Q575" s="240"/>
      <c r="R575" s="238"/>
      <c r="S575" s="240"/>
      <c r="T575" s="236">
        <f t="shared" si="53"/>
        <v>0</v>
      </c>
      <c r="U575" s="237">
        <f t="shared" si="54"/>
        <v>0</v>
      </c>
      <c r="V575" s="238">
        <v>0</v>
      </c>
      <c r="W575" s="239">
        <v>0</v>
      </c>
      <c r="X575" s="241">
        <v>0</v>
      </c>
      <c r="Y575" s="240">
        <v>0</v>
      </c>
      <c r="Z575" s="238">
        <v>0</v>
      </c>
      <c r="AA575" s="238">
        <v>0</v>
      </c>
      <c r="AB575" s="238"/>
      <c r="AC575" s="239">
        <v>0</v>
      </c>
      <c r="AD575" s="239">
        <v>0</v>
      </c>
      <c r="AE575" s="240"/>
      <c r="AF575" s="238"/>
      <c r="AG575" s="239"/>
    </row>
    <row r="576" spans="1:33" x14ac:dyDescent="0.2">
      <c r="A576" s="546" t="s">
        <v>53</v>
      </c>
      <c r="B576" s="547" t="s">
        <v>801</v>
      </c>
      <c r="C576" s="548"/>
      <c r="D576" s="555">
        <v>233639</v>
      </c>
      <c r="E576" s="551">
        <v>9</v>
      </c>
      <c r="F576" s="235">
        <f t="shared" si="51"/>
        <v>120284</v>
      </c>
      <c r="G576" s="234">
        <f t="shared" si="52"/>
        <v>115911</v>
      </c>
      <c r="H576" s="238">
        <v>31186</v>
      </c>
      <c r="I576" s="239">
        <v>26999</v>
      </c>
      <c r="J576" s="238">
        <v>58575</v>
      </c>
      <c r="K576" s="240">
        <v>57609</v>
      </c>
      <c r="L576" s="238">
        <v>29145</v>
      </c>
      <c r="M576" s="238">
        <v>1378</v>
      </c>
      <c r="N576" s="238"/>
      <c r="O576" s="239">
        <v>29718</v>
      </c>
      <c r="P576" s="239">
        <v>1585</v>
      </c>
      <c r="Q576" s="240"/>
      <c r="R576" s="238"/>
      <c r="S576" s="240"/>
      <c r="T576" s="236">
        <f t="shared" si="53"/>
        <v>0</v>
      </c>
      <c r="U576" s="237">
        <f t="shared" si="54"/>
        <v>0</v>
      </c>
      <c r="V576" s="238">
        <v>0</v>
      </c>
      <c r="W576" s="239">
        <v>0</v>
      </c>
      <c r="X576" s="241">
        <v>0</v>
      </c>
      <c r="Y576" s="240">
        <v>0</v>
      </c>
      <c r="Z576" s="238">
        <v>0</v>
      </c>
      <c r="AA576" s="238">
        <v>0</v>
      </c>
      <c r="AB576" s="238"/>
      <c r="AC576" s="239">
        <v>0</v>
      </c>
      <c r="AD576" s="239">
        <v>0</v>
      </c>
      <c r="AE576" s="240"/>
      <c r="AF576" s="238"/>
      <c r="AG576" s="239"/>
    </row>
    <row r="577" spans="1:33" x14ac:dyDescent="0.2">
      <c r="A577" s="546" t="s">
        <v>53</v>
      </c>
      <c r="B577" s="547" t="s">
        <v>802</v>
      </c>
      <c r="C577" s="548" t="s">
        <v>351</v>
      </c>
      <c r="D577" s="555">
        <v>233648</v>
      </c>
      <c r="E577" s="551">
        <v>9</v>
      </c>
      <c r="F577" s="235">
        <f t="shared" si="51"/>
        <v>66830</v>
      </c>
      <c r="G577" s="234">
        <f t="shared" si="52"/>
        <v>59357</v>
      </c>
      <c r="H577" s="238">
        <v>26128</v>
      </c>
      <c r="I577" s="239">
        <v>23012</v>
      </c>
      <c r="J577" s="238">
        <v>18665</v>
      </c>
      <c r="K577" s="240">
        <v>14981</v>
      </c>
      <c r="L577" s="238">
        <v>18884</v>
      </c>
      <c r="M577" s="238">
        <v>3153</v>
      </c>
      <c r="N577" s="238"/>
      <c r="O577" s="239">
        <v>19294</v>
      </c>
      <c r="P577" s="239">
        <v>2070</v>
      </c>
      <c r="Q577" s="240"/>
      <c r="R577" s="238"/>
      <c r="S577" s="240"/>
      <c r="T577" s="236">
        <f t="shared" si="53"/>
        <v>0</v>
      </c>
      <c r="U577" s="237">
        <f t="shared" si="54"/>
        <v>0</v>
      </c>
      <c r="V577" s="238">
        <v>0</v>
      </c>
      <c r="W577" s="239">
        <v>0</v>
      </c>
      <c r="X577" s="241">
        <v>0</v>
      </c>
      <c r="Y577" s="240">
        <v>0</v>
      </c>
      <c r="Z577" s="238">
        <v>0</v>
      </c>
      <c r="AA577" s="238">
        <v>0</v>
      </c>
      <c r="AB577" s="238"/>
      <c r="AC577" s="239">
        <v>0</v>
      </c>
      <c r="AD577" s="239">
        <v>0</v>
      </c>
      <c r="AE577" s="240"/>
      <c r="AF577" s="238"/>
      <c r="AG577" s="239"/>
    </row>
    <row r="578" spans="1:33" x14ac:dyDescent="0.2">
      <c r="A578" s="546" t="s">
        <v>53</v>
      </c>
      <c r="B578" s="547" t="s">
        <v>803</v>
      </c>
      <c r="C578" s="550"/>
      <c r="D578" s="555">
        <v>233949</v>
      </c>
      <c r="E578" s="551">
        <v>9</v>
      </c>
      <c r="F578" s="235">
        <f t="shared" si="51"/>
        <v>147745</v>
      </c>
      <c r="G578" s="234">
        <f t="shared" si="52"/>
        <v>146845</v>
      </c>
      <c r="H578" s="238">
        <v>97857</v>
      </c>
      <c r="I578" s="239">
        <v>93087</v>
      </c>
      <c r="J578" s="238">
        <v>21373</v>
      </c>
      <c r="K578" s="240">
        <v>20950</v>
      </c>
      <c r="L578" s="238">
        <v>21550</v>
      </c>
      <c r="M578" s="238">
        <v>6965</v>
      </c>
      <c r="N578" s="238"/>
      <c r="O578" s="239">
        <v>23528</v>
      </c>
      <c r="P578" s="239">
        <v>9280</v>
      </c>
      <c r="Q578" s="240"/>
      <c r="R578" s="238"/>
      <c r="S578" s="240"/>
      <c r="T578" s="236">
        <f t="shared" si="53"/>
        <v>0</v>
      </c>
      <c r="U578" s="237">
        <f t="shared" si="54"/>
        <v>0</v>
      </c>
      <c r="V578" s="238">
        <v>0</v>
      </c>
      <c r="W578" s="239">
        <v>0</v>
      </c>
      <c r="X578" s="241">
        <v>0</v>
      </c>
      <c r="Y578" s="240">
        <v>0</v>
      </c>
      <c r="Z578" s="238">
        <v>0</v>
      </c>
      <c r="AA578" s="238">
        <v>0</v>
      </c>
      <c r="AB578" s="238"/>
      <c r="AC578" s="239">
        <v>0</v>
      </c>
      <c r="AD578" s="239">
        <v>0</v>
      </c>
      <c r="AE578" s="240"/>
      <c r="AF578" s="238"/>
      <c r="AG578" s="239"/>
    </row>
    <row r="579" spans="1:33" x14ac:dyDescent="0.2">
      <c r="A579" s="546" t="s">
        <v>53</v>
      </c>
      <c r="B579" s="547" t="s">
        <v>804</v>
      </c>
      <c r="C579" s="553"/>
      <c r="D579" s="555">
        <v>234377</v>
      </c>
      <c r="E579" s="556">
        <v>9</v>
      </c>
      <c r="F579" s="235">
        <f t="shared" si="51"/>
        <v>72616</v>
      </c>
      <c r="G579" s="234">
        <f t="shared" si="52"/>
        <v>69400</v>
      </c>
      <c r="H579" s="238">
        <v>16905</v>
      </c>
      <c r="I579" s="239">
        <v>15064</v>
      </c>
      <c r="J579" s="238">
        <v>19578</v>
      </c>
      <c r="K579" s="240">
        <v>18953</v>
      </c>
      <c r="L579" s="238">
        <v>32402</v>
      </c>
      <c r="M579" s="238">
        <v>3731</v>
      </c>
      <c r="N579" s="238"/>
      <c r="O579" s="239">
        <v>30485</v>
      </c>
      <c r="P579" s="239">
        <v>4898</v>
      </c>
      <c r="Q579" s="240"/>
      <c r="R579" s="238"/>
      <c r="S579" s="240"/>
      <c r="T579" s="236">
        <f t="shared" si="53"/>
        <v>0</v>
      </c>
      <c r="U579" s="237">
        <f t="shared" si="54"/>
        <v>0</v>
      </c>
      <c r="V579" s="238">
        <v>0</v>
      </c>
      <c r="W579" s="239">
        <v>0</v>
      </c>
      <c r="X579" s="241">
        <v>0</v>
      </c>
      <c r="Y579" s="240">
        <v>0</v>
      </c>
      <c r="Z579" s="238">
        <v>0</v>
      </c>
      <c r="AA579" s="238">
        <v>0</v>
      </c>
      <c r="AB579" s="238"/>
      <c r="AC579" s="239">
        <v>0</v>
      </c>
      <c r="AD579" s="239">
        <v>0</v>
      </c>
      <c r="AE579" s="240"/>
      <c r="AF579" s="238"/>
      <c r="AG579" s="239"/>
    </row>
    <row r="580" spans="1:33" x14ac:dyDescent="0.2">
      <c r="A580" s="546" t="s">
        <v>53</v>
      </c>
      <c r="B580" s="547" t="s">
        <v>805</v>
      </c>
      <c r="C580" s="550"/>
      <c r="D580" s="555">
        <v>231873</v>
      </c>
      <c r="E580" s="551">
        <v>10</v>
      </c>
      <c r="F580" s="235">
        <f t="shared" si="51"/>
        <v>26632</v>
      </c>
      <c r="G580" s="234">
        <f t="shared" si="52"/>
        <v>25991</v>
      </c>
      <c r="H580" s="238">
        <v>9670</v>
      </c>
      <c r="I580" s="239">
        <v>9943</v>
      </c>
      <c r="J580" s="238">
        <v>6672</v>
      </c>
      <c r="K580" s="240">
        <v>7062</v>
      </c>
      <c r="L580" s="238">
        <v>2708</v>
      </c>
      <c r="M580" s="238">
        <v>7582</v>
      </c>
      <c r="N580" s="238"/>
      <c r="O580" s="239">
        <v>2616</v>
      </c>
      <c r="P580" s="239">
        <v>6370</v>
      </c>
      <c r="Q580" s="240"/>
      <c r="R580" s="238"/>
      <c r="S580" s="240"/>
      <c r="T580" s="236">
        <f t="shared" si="53"/>
        <v>0</v>
      </c>
      <c r="U580" s="237">
        <f t="shared" si="54"/>
        <v>0</v>
      </c>
      <c r="V580" s="238">
        <v>0</v>
      </c>
      <c r="W580" s="239">
        <v>0</v>
      </c>
      <c r="X580" s="241">
        <v>0</v>
      </c>
      <c r="Y580" s="240">
        <v>0</v>
      </c>
      <c r="Z580" s="238">
        <v>0</v>
      </c>
      <c r="AA580" s="238">
        <v>0</v>
      </c>
      <c r="AB580" s="238"/>
      <c r="AC580" s="239">
        <v>0</v>
      </c>
      <c r="AD580" s="239">
        <v>0</v>
      </c>
      <c r="AE580" s="240"/>
      <c r="AF580" s="238"/>
      <c r="AG580" s="239"/>
    </row>
    <row r="581" spans="1:33" x14ac:dyDescent="0.2">
      <c r="A581" s="546" t="s">
        <v>53</v>
      </c>
      <c r="B581" s="547" t="s">
        <v>806</v>
      </c>
      <c r="C581" s="550"/>
      <c r="D581" s="555">
        <v>232052</v>
      </c>
      <c r="E581" s="551">
        <v>10</v>
      </c>
      <c r="F581" s="235">
        <f t="shared" si="51"/>
        <v>20212</v>
      </c>
      <c r="G581" s="234">
        <f t="shared" si="52"/>
        <v>18435</v>
      </c>
      <c r="H581" s="238">
        <v>14180</v>
      </c>
      <c r="I581" s="239">
        <v>12566</v>
      </c>
      <c r="J581" s="238">
        <v>2383</v>
      </c>
      <c r="K581" s="240">
        <v>2371</v>
      </c>
      <c r="L581" s="238">
        <v>3649</v>
      </c>
      <c r="M581" s="238">
        <v>0</v>
      </c>
      <c r="N581" s="238"/>
      <c r="O581" s="239">
        <v>3498</v>
      </c>
      <c r="P581" s="239">
        <v>0</v>
      </c>
      <c r="Q581" s="240"/>
      <c r="R581" s="238"/>
      <c r="S581" s="240"/>
      <c r="T581" s="236">
        <f t="shared" si="53"/>
        <v>0</v>
      </c>
      <c r="U581" s="237">
        <f t="shared" si="54"/>
        <v>0</v>
      </c>
      <c r="V581" s="238">
        <v>0</v>
      </c>
      <c r="W581" s="239">
        <v>0</v>
      </c>
      <c r="X581" s="241">
        <v>0</v>
      </c>
      <c r="Y581" s="240">
        <v>0</v>
      </c>
      <c r="Z581" s="238">
        <v>0</v>
      </c>
      <c r="AA581" s="238">
        <v>0</v>
      </c>
      <c r="AB581" s="238"/>
      <c r="AC581" s="239">
        <v>0</v>
      </c>
      <c r="AD581" s="239">
        <v>0</v>
      </c>
      <c r="AE581" s="240"/>
      <c r="AF581" s="238"/>
      <c r="AG581" s="239"/>
    </row>
    <row r="582" spans="1:33" x14ac:dyDescent="0.2">
      <c r="A582" s="546" t="s">
        <v>53</v>
      </c>
      <c r="B582" s="547" t="s">
        <v>808</v>
      </c>
      <c r="C582" s="550"/>
      <c r="D582" s="555">
        <v>233037</v>
      </c>
      <c r="E582" s="551">
        <v>10</v>
      </c>
      <c r="F582" s="235">
        <f t="shared" si="51"/>
        <v>33209</v>
      </c>
      <c r="G582" s="234">
        <f t="shared" si="52"/>
        <v>30790</v>
      </c>
      <c r="H582" s="238">
        <v>17625</v>
      </c>
      <c r="I582" s="239">
        <v>14924</v>
      </c>
      <c r="J582" s="238">
        <v>5671</v>
      </c>
      <c r="K582" s="240">
        <v>5624</v>
      </c>
      <c r="L582" s="238">
        <v>7655</v>
      </c>
      <c r="M582" s="238">
        <v>2258</v>
      </c>
      <c r="N582" s="238"/>
      <c r="O582" s="239">
        <v>7582</v>
      </c>
      <c r="P582" s="239">
        <v>2660</v>
      </c>
      <c r="Q582" s="240"/>
      <c r="R582" s="238"/>
      <c r="S582" s="240"/>
      <c r="T582" s="236">
        <f t="shared" si="53"/>
        <v>0</v>
      </c>
      <c r="U582" s="237">
        <f t="shared" si="54"/>
        <v>0</v>
      </c>
      <c r="V582" s="238">
        <v>0</v>
      </c>
      <c r="W582" s="239">
        <v>0</v>
      </c>
      <c r="X582" s="241">
        <v>0</v>
      </c>
      <c r="Y582" s="240">
        <v>0</v>
      </c>
      <c r="Z582" s="238">
        <v>0</v>
      </c>
      <c r="AA582" s="238">
        <v>0</v>
      </c>
      <c r="AB582" s="238"/>
      <c r="AC582" s="239">
        <v>0</v>
      </c>
      <c r="AD582" s="239">
        <v>0</v>
      </c>
      <c r="AE582" s="240"/>
      <c r="AF582" s="238"/>
      <c r="AG582" s="239"/>
    </row>
    <row r="583" spans="1:33" x14ac:dyDescent="0.2">
      <c r="A583" s="546" t="s">
        <v>53</v>
      </c>
      <c r="B583" s="547" t="s">
        <v>809</v>
      </c>
      <c r="C583" s="550" t="s">
        <v>609</v>
      </c>
      <c r="D583" s="555">
        <v>233310</v>
      </c>
      <c r="E583" s="551">
        <v>10</v>
      </c>
      <c r="F583" s="235">
        <f t="shared" si="51"/>
        <v>60806</v>
      </c>
      <c r="G583" s="234">
        <f t="shared" si="52"/>
        <v>62237</v>
      </c>
      <c r="H583" s="238">
        <v>17501</v>
      </c>
      <c r="I583" s="239">
        <v>16397</v>
      </c>
      <c r="J583" s="238">
        <v>16122</v>
      </c>
      <c r="K583" s="240">
        <v>18639</v>
      </c>
      <c r="L583" s="238">
        <v>15331</v>
      </c>
      <c r="M583" s="238">
        <v>11852</v>
      </c>
      <c r="N583" s="238"/>
      <c r="O583" s="239">
        <v>15395</v>
      </c>
      <c r="P583" s="239">
        <v>11806</v>
      </c>
      <c r="Q583" s="240"/>
      <c r="R583" s="238"/>
      <c r="S583" s="240"/>
      <c r="T583" s="236">
        <f t="shared" si="53"/>
        <v>0</v>
      </c>
      <c r="U583" s="237">
        <f t="shared" si="54"/>
        <v>0</v>
      </c>
      <c r="V583" s="238">
        <v>0</v>
      </c>
      <c r="W583" s="239">
        <v>0</v>
      </c>
      <c r="X583" s="241">
        <v>0</v>
      </c>
      <c r="Y583" s="240">
        <v>0</v>
      </c>
      <c r="Z583" s="238">
        <v>0</v>
      </c>
      <c r="AA583" s="238">
        <v>0</v>
      </c>
      <c r="AB583" s="238"/>
      <c r="AC583" s="239">
        <v>0</v>
      </c>
      <c r="AD583" s="239">
        <v>0</v>
      </c>
      <c r="AE583" s="240"/>
      <c r="AF583" s="238"/>
      <c r="AG583" s="239"/>
    </row>
    <row r="584" spans="1:33" x14ac:dyDescent="0.2">
      <c r="A584" s="546" t="s">
        <v>53</v>
      </c>
      <c r="B584" s="547" t="s">
        <v>810</v>
      </c>
      <c r="C584" s="550"/>
      <c r="D584" s="555">
        <v>233338</v>
      </c>
      <c r="E584" s="551">
        <v>10</v>
      </c>
      <c r="F584" s="235">
        <f t="shared" si="51"/>
        <v>35253</v>
      </c>
      <c r="G584" s="234">
        <f t="shared" si="52"/>
        <v>34518</v>
      </c>
      <c r="H584" s="238">
        <v>32172</v>
      </c>
      <c r="I584" s="239">
        <v>30978</v>
      </c>
      <c r="J584" s="238">
        <v>2100</v>
      </c>
      <c r="K584" s="240">
        <v>2217</v>
      </c>
      <c r="L584" s="238">
        <v>981</v>
      </c>
      <c r="M584" s="238">
        <v>0</v>
      </c>
      <c r="N584" s="238"/>
      <c r="O584" s="239">
        <v>1323</v>
      </c>
      <c r="P584" s="239">
        <v>0</v>
      </c>
      <c r="Q584" s="240"/>
      <c r="R584" s="238"/>
      <c r="S584" s="240"/>
      <c r="T584" s="236">
        <f t="shared" si="53"/>
        <v>0</v>
      </c>
      <c r="U584" s="237">
        <f t="shared" si="54"/>
        <v>0</v>
      </c>
      <c r="V584" s="238">
        <v>0</v>
      </c>
      <c r="W584" s="239">
        <v>0</v>
      </c>
      <c r="X584" s="241">
        <v>0</v>
      </c>
      <c r="Y584" s="240">
        <v>0</v>
      </c>
      <c r="Z584" s="238">
        <v>0</v>
      </c>
      <c r="AA584" s="238">
        <v>0</v>
      </c>
      <c r="AB584" s="238"/>
      <c r="AC584" s="239">
        <v>0</v>
      </c>
      <c r="AD584" s="239">
        <v>0</v>
      </c>
      <c r="AE584" s="240"/>
      <c r="AF584" s="238"/>
      <c r="AG584" s="239"/>
    </row>
    <row r="585" spans="1:33" x14ac:dyDescent="0.2">
      <c r="A585" s="546" t="s">
        <v>53</v>
      </c>
      <c r="B585" s="547" t="s">
        <v>811</v>
      </c>
      <c r="C585" s="550"/>
      <c r="D585" s="555">
        <v>233903</v>
      </c>
      <c r="E585" s="551">
        <v>10</v>
      </c>
      <c r="F585" s="235">
        <f t="shared" ref="F585:F589" si="55">SUM(H585,J585,L585,M585,N585,R585)</f>
        <v>54973</v>
      </c>
      <c r="G585" s="234">
        <f t="shared" ref="G585:G589" si="56">SUM(I585,K585,O585,P585,Q585,S585)</f>
        <v>52555</v>
      </c>
      <c r="H585" s="238">
        <v>32955</v>
      </c>
      <c r="I585" s="239">
        <v>31149</v>
      </c>
      <c r="J585" s="238">
        <v>7638</v>
      </c>
      <c r="K585" s="240">
        <v>7355</v>
      </c>
      <c r="L585" s="238">
        <v>12204</v>
      </c>
      <c r="M585" s="238">
        <v>2176</v>
      </c>
      <c r="N585" s="238"/>
      <c r="O585" s="239">
        <v>12492</v>
      </c>
      <c r="P585" s="239">
        <v>1559</v>
      </c>
      <c r="Q585" s="240"/>
      <c r="R585" s="238"/>
      <c r="S585" s="240"/>
      <c r="T585" s="236">
        <f t="shared" ref="T585:T590" si="57">SUM(V585,X585,Z585,AA585,AB585,AF585)</f>
        <v>0</v>
      </c>
      <c r="U585" s="237">
        <f t="shared" ref="U585:U590" si="58">SUM(W585,Y585,AC585,AD585,AE585,AG585)</f>
        <v>0</v>
      </c>
      <c r="V585" s="238">
        <v>0</v>
      </c>
      <c r="W585" s="239">
        <v>0</v>
      </c>
      <c r="X585" s="241">
        <v>0</v>
      </c>
      <c r="Y585" s="240">
        <v>0</v>
      </c>
      <c r="Z585" s="238">
        <v>0</v>
      </c>
      <c r="AA585" s="238">
        <v>0</v>
      </c>
      <c r="AB585" s="238"/>
      <c r="AC585" s="239">
        <v>0</v>
      </c>
      <c r="AD585" s="239">
        <v>0</v>
      </c>
      <c r="AE585" s="240"/>
      <c r="AF585" s="238"/>
      <c r="AG585" s="239"/>
    </row>
    <row r="586" spans="1:33" x14ac:dyDescent="0.2">
      <c r="A586" s="227" t="s">
        <v>54</v>
      </c>
      <c r="B586" s="228" t="s">
        <v>330</v>
      </c>
      <c r="C586" s="361"/>
      <c r="D586" s="229">
        <v>238032</v>
      </c>
      <c r="E586" s="230">
        <v>1</v>
      </c>
      <c r="F586" s="235">
        <f t="shared" si="55"/>
        <v>662072</v>
      </c>
      <c r="G586" s="234">
        <f t="shared" si="56"/>
        <v>667579</v>
      </c>
      <c r="H586" s="238">
        <v>612957</v>
      </c>
      <c r="I586" s="239">
        <v>615492</v>
      </c>
      <c r="J586" s="238">
        <v>1533</v>
      </c>
      <c r="K586" s="240">
        <v>828</v>
      </c>
      <c r="L586" s="238">
        <v>44920</v>
      </c>
      <c r="M586" s="238">
        <v>24</v>
      </c>
      <c r="N586" s="238">
        <v>2638</v>
      </c>
      <c r="O586" s="239">
        <v>48654</v>
      </c>
      <c r="P586" s="239"/>
      <c r="Q586" s="240">
        <v>2605</v>
      </c>
      <c r="R586" s="238"/>
      <c r="S586" s="240"/>
      <c r="T586" s="236">
        <f t="shared" si="57"/>
        <v>111929</v>
      </c>
      <c r="U586" s="237">
        <f t="shared" si="58"/>
        <v>110513</v>
      </c>
      <c r="V586" s="238">
        <v>73384</v>
      </c>
      <c r="W586" s="239">
        <v>72025</v>
      </c>
      <c r="X586" s="241">
        <v>10052</v>
      </c>
      <c r="Y586" s="240">
        <v>8425</v>
      </c>
      <c r="Z586" s="238">
        <v>27481</v>
      </c>
      <c r="AA586" s="238">
        <v>830</v>
      </c>
      <c r="AB586" s="238">
        <v>182</v>
      </c>
      <c r="AC586" s="239">
        <v>28852</v>
      </c>
      <c r="AD586" s="239">
        <f>15+782</f>
        <v>797</v>
      </c>
      <c r="AE586" s="240">
        <v>414</v>
      </c>
      <c r="AF586" s="238"/>
      <c r="AG586" s="239"/>
    </row>
    <row r="587" spans="1:33" x14ac:dyDescent="0.2">
      <c r="A587" s="227" t="s">
        <v>54</v>
      </c>
      <c r="B587" s="228" t="s">
        <v>331</v>
      </c>
      <c r="C587" s="361"/>
      <c r="D587" s="229">
        <v>237525</v>
      </c>
      <c r="E587" s="230">
        <v>3</v>
      </c>
      <c r="F587" s="235">
        <f t="shared" si="55"/>
        <v>274112</v>
      </c>
      <c r="G587" s="234">
        <f t="shared" si="56"/>
        <v>267102</v>
      </c>
      <c r="H587" s="238">
        <v>219156</v>
      </c>
      <c r="I587" s="239">
        <v>214275</v>
      </c>
      <c r="J587" s="238">
        <v>16098</v>
      </c>
      <c r="K587" s="240">
        <v>15559</v>
      </c>
      <c r="L587" s="238">
        <v>37728</v>
      </c>
      <c r="M587" s="238">
        <v>1130</v>
      </c>
      <c r="N587" s="238"/>
      <c r="O587" s="239">
        <v>37268</v>
      </c>
      <c r="P587" s="239"/>
      <c r="Q587" s="240"/>
      <c r="R587" s="238"/>
      <c r="S587" s="240"/>
      <c r="T587" s="236">
        <f t="shared" si="57"/>
        <v>55072</v>
      </c>
      <c r="U587" s="237">
        <f t="shared" si="58"/>
        <v>52442</v>
      </c>
      <c r="V587" s="238">
        <v>16283</v>
      </c>
      <c r="W587" s="239">
        <v>15765</v>
      </c>
      <c r="X587" s="241">
        <v>27662</v>
      </c>
      <c r="Y587" s="240">
        <v>20468</v>
      </c>
      <c r="Z587" s="238">
        <v>10989</v>
      </c>
      <c r="AA587" s="238">
        <v>138</v>
      </c>
      <c r="AB587" s="238"/>
      <c r="AC587" s="239">
        <v>16182</v>
      </c>
      <c r="AD587" s="239">
        <f>15+12</f>
        <v>27</v>
      </c>
      <c r="AE587" s="240"/>
      <c r="AF587" s="238"/>
      <c r="AG587" s="239"/>
    </row>
    <row r="588" spans="1:33" x14ac:dyDescent="0.2">
      <c r="A588" s="227" t="s">
        <v>54</v>
      </c>
      <c r="B588" s="228" t="s">
        <v>332</v>
      </c>
      <c r="C588" s="361"/>
      <c r="D588" s="229">
        <v>237367</v>
      </c>
      <c r="E588" s="230">
        <v>5</v>
      </c>
      <c r="F588" s="235">
        <f t="shared" si="55"/>
        <v>119371</v>
      </c>
      <c r="G588" s="234">
        <f t="shared" si="56"/>
        <v>116069</v>
      </c>
      <c r="H588" s="238">
        <v>90202</v>
      </c>
      <c r="I588" s="239">
        <v>88462</v>
      </c>
      <c r="J588" s="238">
        <v>14854</v>
      </c>
      <c r="K588" s="240">
        <v>13028</v>
      </c>
      <c r="L588" s="238">
        <v>14315</v>
      </c>
      <c r="M588" s="238"/>
      <c r="N588" s="238"/>
      <c r="O588" s="239">
        <v>14579</v>
      </c>
      <c r="P588" s="239"/>
      <c r="Q588" s="240"/>
      <c r="R588" s="238"/>
      <c r="S588" s="240"/>
      <c r="T588" s="236">
        <f t="shared" si="57"/>
        <v>5208</v>
      </c>
      <c r="U588" s="237">
        <f t="shared" si="58"/>
        <v>5578</v>
      </c>
      <c r="V588" s="238">
        <v>1226</v>
      </c>
      <c r="W588" s="239">
        <v>1428</v>
      </c>
      <c r="X588" s="241"/>
      <c r="Y588" s="240"/>
      <c r="Z588" s="238">
        <v>3982</v>
      </c>
      <c r="AA588" s="238"/>
      <c r="AB588" s="238"/>
      <c r="AC588" s="239">
        <v>4150</v>
      </c>
      <c r="AD588" s="239"/>
      <c r="AE588" s="240"/>
      <c r="AF588" s="238"/>
      <c r="AG588" s="239"/>
    </row>
    <row r="589" spans="1:33" x14ac:dyDescent="0.2">
      <c r="A589" s="227" t="s">
        <v>54</v>
      </c>
      <c r="B589" s="228" t="s">
        <v>333</v>
      </c>
      <c r="C589" s="361"/>
      <c r="D589" s="229">
        <v>237792</v>
      </c>
      <c r="E589" s="355">
        <v>5</v>
      </c>
      <c r="F589" s="235">
        <f t="shared" si="55"/>
        <v>111796</v>
      </c>
      <c r="G589" s="234">
        <f t="shared" si="56"/>
        <v>110442</v>
      </c>
      <c r="H589" s="238">
        <v>110273</v>
      </c>
      <c r="I589" s="239">
        <v>108395</v>
      </c>
      <c r="J589" s="238"/>
      <c r="K589" s="240"/>
      <c r="L589" s="238">
        <v>1523</v>
      </c>
      <c r="M589" s="238"/>
      <c r="N589" s="238"/>
      <c r="O589" s="239">
        <v>2047</v>
      </c>
      <c r="P589" s="239"/>
      <c r="Q589" s="240"/>
      <c r="R589" s="238"/>
      <c r="S589" s="240"/>
      <c r="T589" s="236">
        <f t="shared" si="57"/>
        <v>3877</v>
      </c>
      <c r="U589" s="237">
        <f t="shared" si="58"/>
        <v>3915</v>
      </c>
      <c r="V589" s="238">
        <v>3511</v>
      </c>
      <c r="W589" s="239">
        <v>3561</v>
      </c>
      <c r="X589" s="241"/>
      <c r="Y589" s="240"/>
      <c r="Z589" s="238">
        <v>366</v>
      </c>
      <c r="AA589" s="238"/>
      <c r="AB589" s="238"/>
      <c r="AC589" s="239">
        <v>354</v>
      </c>
      <c r="AD589" s="239"/>
      <c r="AE589" s="240"/>
      <c r="AF589" s="238"/>
      <c r="AG589" s="239"/>
    </row>
    <row r="590" spans="1:33" x14ac:dyDescent="0.2">
      <c r="A590" s="227" t="s">
        <v>54</v>
      </c>
      <c r="B590" s="228" t="s">
        <v>334</v>
      </c>
      <c r="C590" s="361"/>
      <c r="D590" s="229">
        <v>237215</v>
      </c>
      <c r="E590" s="230">
        <v>6</v>
      </c>
      <c r="F590" s="235">
        <f t="shared" ref="F590:F606" si="59">SUM(H590,J590,L590,M590,N590,R590)</f>
        <v>53681</v>
      </c>
      <c r="G590" s="234">
        <f t="shared" ref="G590:G606" si="60">SUM(I590,K590,O590,P590,Q590,S590)</f>
        <v>53271</v>
      </c>
      <c r="H590" s="238">
        <v>30505</v>
      </c>
      <c r="I590" s="239">
        <v>28147</v>
      </c>
      <c r="J590" s="238">
        <v>3414</v>
      </c>
      <c r="K590" s="240">
        <v>3613</v>
      </c>
      <c r="L590" s="238">
        <v>16079</v>
      </c>
      <c r="M590" s="238">
        <v>3683</v>
      </c>
      <c r="N590" s="238"/>
      <c r="O590" s="239">
        <v>17360</v>
      </c>
      <c r="P590" s="239">
        <f>2652+1499</f>
        <v>4151</v>
      </c>
      <c r="Q590" s="240"/>
      <c r="R590" s="238"/>
      <c r="S590" s="240"/>
      <c r="T590" s="236">
        <f t="shared" si="57"/>
        <v>0</v>
      </c>
      <c r="U590" s="237">
        <f t="shared" si="58"/>
        <v>0</v>
      </c>
      <c r="V590" s="238"/>
      <c r="W590" s="239"/>
      <c r="X590" s="241"/>
      <c r="Y590" s="240"/>
      <c r="Z590" s="238"/>
      <c r="AA590" s="238"/>
      <c r="AB590" s="238"/>
      <c r="AC590" s="239"/>
      <c r="AD590" s="239"/>
      <c r="AE590" s="240"/>
      <c r="AF590" s="238"/>
      <c r="AG590" s="239"/>
    </row>
    <row r="591" spans="1:33" x14ac:dyDescent="0.2">
      <c r="A591" s="227" t="s">
        <v>54</v>
      </c>
      <c r="B591" s="228" t="s">
        <v>335</v>
      </c>
      <c r="C591" s="361"/>
      <c r="D591" s="229">
        <v>237330</v>
      </c>
      <c r="E591" s="230">
        <v>6</v>
      </c>
      <c r="F591" s="235">
        <f t="shared" si="59"/>
        <v>81167</v>
      </c>
      <c r="G591" s="234">
        <f t="shared" si="60"/>
        <v>76635</v>
      </c>
      <c r="H591" s="238">
        <v>64357</v>
      </c>
      <c r="I591" s="239">
        <v>57412</v>
      </c>
      <c r="J591" s="238">
        <v>10958</v>
      </c>
      <c r="K591" s="240">
        <v>11041</v>
      </c>
      <c r="L591" s="238">
        <v>5259</v>
      </c>
      <c r="M591" s="238">
        <v>593</v>
      </c>
      <c r="N591" s="238"/>
      <c r="O591" s="239">
        <v>7755</v>
      </c>
      <c r="P591" s="239">
        <v>279</v>
      </c>
      <c r="Q591" s="240">
        <v>148</v>
      </c>
      <c r="R591" s="238"/>
      <c r="S591" s="240"/>
      <c r="T591" s="236">
        <f t="shared" ref="T591:T606" si="61">SUM(V591,X591,Z591,AA591,AB591,AF591)</f>
        <v>4326</v>
      </c>
      <c r="U591" s="237">
        <f t="shared" ref="U591:U606" si="62">SUM(W591,Y591,AC591,AD591,AE591,AG591)</f>
        <v>5467</v>
      </c>
      <c r="V591" s="238">
        <v>363</v>
      </c>
      <c r="W591" s="239">
        <v>1612</v>
      </c>
      <c r="X591" s="241">
        <v>732</v>
      </c>
      <c r="Y591" s="240">
        <v>1170</v>
      </c>
      <c r="Z591" s="238">
        <v>3231</v>
      </c>
      <c r="AA591" s="238"/>
      <c r="AB591" s="238"/>
      <c r="AC591" s="239">
        <v>2685</v>
      </c>
      <c r="AD591" s="239"/>
      <c r="AE591" s="240"/>
      <c r="AF591" s="238"/>
      <c r="AG591" s="239"/>
    </row>
    <row r="592" spans="1:33" x14ac:dyDescent="0.2">
      <c r="A592" s="227" t="s">
        <v>54</v>
      </c>
      <c r="B592" s="228" t="s">
        <v>336</v>
      </c>
      <c r="C592" s="361"/>
      <c r="D592" s="229">
        <v>237385</v>
      </c>
      <c r="E592" s="230">
        <v>6</v>
      </c>
      <c r="F592" s="235">
        <f t="shared" si="59"/>
        <v>45017</v>
      </c>
      <c r="G592" s="234">
        <f t="shared" si="60"/>
        <v>43456</v>
      </c>
      <c r="H592" s="238">
        <v>34308</v>
      </c>
      <c r="I592" s="239">
        <v>33065</v>
      </c>
      <c r="J592" s="238">
        <v>5066</v>
      </c>
      <c r="K592" s="240">
        <v>4234</v>
      </c>
      <c r="L592" s="238">
        <v>5643</v>
      </c>
      <c r="M592" s="238"/>
      <c r="N592" s="238"/>
      <c r="O592" s="239">
        <v>6157</v>
      </c>
      <c r="P592" s="239"/>
      <c r="Q592" s="240"/>
      <c r="R592" s="238"/>
      <c r="S592" s="240"/>
      <c r="T592" s="236">
        <f t="shared" si="61"/>
        <v>0</v>
      </c>
      <c r="U592" s="237">
        <f t="shared" si="62"/>
        <v>0</v>
      </c>
      <c r="V592" s="238"/>
      <c r="W592" s="239"/>
      <c r="X592" s="241"/>
      <c r="Y592" s="240"/>
      <c r="Z592" s="238"/>
      <c r="AA592" s="238"/>
      <c r="AB592" s="238"/>
      <c r="AC592" s="239"/>
      <c r="AD592" s="239"/>
      <c r="AE592" s="240"/>
      <c r="AF592" s="238"/>
      <c r="AG592" s="239"/>
    </row>
    <row r="593" spans="1:33" x14ac:dyDescent="0.2">
      <c r="A593" s="227" t="s">
        <v>54</v>
      </c>
      <c r="B593" s="356" t="s">
        <v>337</v>
      </c>
      <c r="C593" s="361"/>
      <c r="D593" s="229">
        <v>237932</v>
      </c>
      <c r="E593" s="230">
        <v>6</v>
      </c>
      <c r="F593" s="235">
        <f t="shared" si="59"/>
        <v>76878</v>
      </c>
      <c r="G593" s="234">
        <f t="shared" si="60"/>
        <v>77506</v>
      </c>
      <c r="H593" s="238">
        <v>66294</v>
      </c>
      <c r="I593" s="239">
        <v>65918</v>
      </c>
      <c r="J593" s="238">
        <v>4492</v>
      </c>
      <c r="K593" s="240">
        <v>5096</v>
      </c>
      <c r="L593" s="238">
        <v>6092</v>
      </c>
      <c r="M593" s="238"/>
      <c r="N593" s="238"/>
      <c r="O593" s="239">
        <v>6492</v>
      </c>
      <c r="P593" s="239"/>
      <c r="Q593" s="240"/>
      <c r="R593" s="238"/>
      <c r="S593" s="240"/>
      <c r="T593" s="236">
        <f t="shared" si="61"/>
        <v>1020</v>
      </c>
      <c r="U593" s="237">
        <f t="shared" si="62"/>
        <v>1875</v>
      </c>
      <c r="V593" s="238">
        <v>24</v>
      </c>
      <c r="W593" s="239">
        <v>804</v>
      </c>
      <c r="X593" s="241">
        <v>966</v>
      </c>
      <c r="Y593" s="240">
        <v>834</v>
      </c>
      <c r="Z593" s="238">
        <v>30</v>
      </c>
      <c r="AA593" s="238"/>
      <c r="AB593" s="238"/>
      <c r="AC593" s="239">
        <v>237</v>
      </c>
      <c r="AD593" s="239"/>
      <c r="AE593" s="240"/>
      <c r="AF593" s="238"/>
      <c r="AG593" s="239"/>
    </row>
    <row r="594" spans="1:33" x14ac:dyDescent="0.2">
      <c r="A594" s="227" t="s">
        <v>54</v>
      </c>
      <c r="B594" s="228" t="s">
        <v>338</v>
      </c>
      <c r="C594" s="361"/>
      <c r="D594" s="229">
        <v>237899</v>
      </c>
      <c r="E594" s="230">
        <v>6</v>
      </c>
      <c r="F594" s="235">
        <f t="shared" si="59"/>
        <v>69990</v>
      </c>
      <c r="G594" s="234">
        <f t="shared" si="60"/>
        <v>64632</v>
      </c>
      <c r="H594" s="238">
        <v>58141</v>
      </c>
      <c r="I594" s="239">
        <v>52833</v>
      </c>
      <c r="J594" s="238">
        <v>2294</v>
      </c>
      <c r="K594" s="240">
        <v>1804</v>
      </c>
      <c r="L594" s="238">
        <v>9555</v>
      </c>
      <c r="M594" s="238"/>
      <c r="N594" s="238"/>
      <c r="O594" s="239">
        <v>9995</v>
      </c>
      <c r="P594" s="239"/>
      <c r="Q594" s="240"/>
      <c r="R594" s="238"/>
      <c r="S594" s="240"/>
      <c r="T594" s="236">
        <f t="shared" si="61"/>
        <v>710</v>
      </c>
      <c r="U594" s="237">
        <f t="shared" si="62"/>
        <v>1120</v>
      </c>
      <c r="V594" s="238">
        <v>626</v>
      </c>
      <c r="W594" s="239">
        <v>886</v>
      </c>
      <c r="X594" s="241"/>
      <c r="Y594" s="240">
        <v>123</v>
      </c>
      <c r="Z594" s="238">
        <v>84</v>
      </c>
      <c r="AA594" s="238"/>
      <c r="AB594" s="238"/>
      <c r="AC594" s="239">
        <v>111</v>
      </c>
      <c r="AD594" s="239"/>
      <c r="AE594" s="240"/>
      <c r="AF594" s="238"/>
      <c r="AG594" s="239"/>
    </row>
    <row r="595" spans="1:33" x14ac:dyDescent="0.2">
      <c r="A595" s="227" t="s">
        <v>54</v>
      </c>
      <c r="B595" s="228" t="s">
        <v>339</v>
      </c>
      <c r="C595" s="361"/>
      <c r="D595" s="229">
        <v>237950</v>
      </c>
      <c r="E595" s="230">
        <v>6</v>
      </c>
      <c r="F595" s="235">
        <f t="shared" si="59"/>
        <v>32977</v>
      </c>
      <c r="G595" s="234">
        <f t="shared" si="60"/>
        <v>28787</v>
      </c>
      <c r="H595" s="238">
        <v>30082</v>
      </c>
      <c r="I595" s="239">
        <v>25441</v>
      </c>
      <c r="J595" s="238">
        <v>1123</v>
      </c>
      <c r="K595" s="240">
        <v>1172</v>
      </c>
      <c r="L595" s="238">
        <v>1735</v>
      </c>
      <c r="M595" s="238"/>
      <c r="N595" s="238">
        <v>37</v>
      </c>
      <c r="O595" s="239">
        <v>2174</v>
      </c>
      <c r="P595" s="239"/>
      <c r="Q595" s="240"/>
      <c r="R595" s="238"/>
      <c r="S595" s="240"/>
      <c r="T595" s="236">
        <f t="shared" si="61"/>
        <v>0</v>
      </c>
      <c r="U595" s="237">
        <f t="shared" si="62"/>
        <v>0</v>
      </c>
      <c r="V595" s="238"/>
      <c r="W595" s="239"/>
      <c r="X595" s="241"/>
      <c r="Y595" s="240"/>
      <c r="Z595" s="238"/>
      <c r="AA595" s="238"/>
      <c r="AB595" s="238"/>
      <c r="AC595" s="239"/>
      <c r="AD595" s="239"/>
      <c r="AE595" s="240"/>
      <c r="AF595" s="238"/>
      <c r="AG595" s="239"/>
    </row>
    <row r="596" spans="1:33" x14ac:dyDescent="0.2">
      <c r="A596" s="227" t="s">
        <v>54</v>
      </c>
      <c r="B596" s="357" t="s">
        <v>340</v>
      </c>
      <c r="C596" s="358"/>
      <c r="D596" s="229">
        <v>237701</v>
      </c>
      <c r="E596" s="363">
        <v>7</v>
      </c>
      <c r="F596" s="235">
        <f t="shared" si="59"/>
        <v>45062</v>
      </c>
      <c r="G596" s="234">
        <f t="shared" si="60"/>
        <v>43601</v>
      </c>
      <c r="H596" s="238">
        <v>39714</v>
      </c>
      <c r="I596" s="239">
        <v>38668</v>
      </c>
      <c r="J596" s="238">
        <v>3169</v>
      </c>
      <c r="K596" s="240">
        <v>2787</v>
      </c>
      <c r="L596" s="238">
        <v>2177</v>
      </c>
      <c r="M596" s="238"/>
      <c r="N596" s="238">
        <v>2</v>
      </c>
      <c r="O596" s="239">
        <v>2146</v>
      </c>
      <c r="P596" s="239"/>
      <c r="Q596" s="240"/>
      <c r="R596" s="238"/>
      <c r="S596" s="240"/>
      <c r="T596" s="236">
        <f t="shared" si="61"/>
        <v>0</v>
      </c>
      <c r="U596" s="237">
        <f t="shared" si="62"/>
        <v>0</v>
      </c>
      <c r="V596" s="238"/>
      <c r="W596" s="239"/>
      <c r="X596" s="241"/>
      <c r="Y596" s="240"/>
      <c r="Z596" s="238"/>
      <c r="AA596" s="238"/>
      <c r="AB596" s="238"/>
      <c r="AC596" s="239"/>
      <c r="AD596" s="239"/>
      <c r="AE596" s="240"/>
      <c r="AF596" s="238"/>
      <c r="AG596" s="239"/>
    </row>
    <row r="597" spans="1:33" x14ac:dyDescent="0.2">
      <c r="A597" s="227" t="s">
        <v>54</v>
      </c>
      <c r="B597" s="228" t="s">
        <v>341</v>
      </c>
      <c r="C597" s="359"/>
      <c r="D597" s="229">
        <v>237686</v>
      </c>
      <c r="E597" s="363">
        <v>7</v>
      </c>
      <c r="F597" s="235">
        <f t="shared" si="59"/>
        <v>103504</v>
      </c>
      <c r="G597" s="234">
        <f t="shared" si="60"/>
        <v>90574</v>
      </c>
      <c r="H597" s="238">
        <v>58448</v>
      </c>
      <c r="I597" s="239">
        <v>50074</v>
      </c>
      <c r="J597" s="238">
        <v>15846</v>
      </c>
      <c r="K597" s="240">
        <v>13210</v>
      </c>
      <c r="L597" s="238">
        <v>28059</v>
      </c>
      <c r="M597" s="238"/>
      <c r="N597" s="238">
        <v>1151</v>
      </c>
      <c r="O597" s="239">
        <v>25971</v>
      </c>
      <c r="P597" s="239"/>
      <c r="Q597" s="240">
        <v>1319</v>
      </c>
      <c r="R597" s="238"/>
      <c r="S597" s="240"/>
      <c r="T597" s="236">
        <f t="shared" si="61"/>
        <v>0</v>
      </c>
      <c r="U597" s="237">
        <f t="shared" si="62"/>
        <v>0</v>
      </c>
      <c r="V597" s="238"/>
      <c r="W597" s="239"/>
      <c r="X597" s="241"/>
      <c r="Y597" s="240"/>
      <c r="Z597" s="238"/>
      <c r="AA597" s="238"/>
      <c r="AB597" s="238"/>
      <c r="AC597" s="239"/>
      <c r="AD597" s="239"/>
      <c r="AE597" s="240"/>
      <c r="AF597" s="238"/>
      <c r="AG597" s="239"/>
    </row>
    <row r="598" spans="1:33" x14ac:dyDescent="0.2">
      <c r="A598" s="227" t="s">
        <v>54</v>
      </c>
      <c r="B598" s="228" t="s">
        <v>348</v>
      </c>
      <c r="C598" s="360" t="s">
        <v>352</v>
      </c>
      <c r="D598" s="229">
        <v>447582</v>
      </c>
      <c r="E598" s="362">
        <v>9</v>
      </c>
      <c r="F598" s="235">
        <f t="shared" si="59"/>
        <v>63534</v>
      </c>
      <c r="G598" s="234">
        <f t="shared" si="60"/>
        <v>65046</v>
      </c>
      <c r="H598" s="238">
        <v>38629</v>
      </c>
      <c r="I598" s="239">
        <v>35342</v>
      </c>
      <c r="J598" s="238">
        <v>6848</v>
      </c>
      <c r="K598" s="240">
        <v>11280</v>
      </c>
      <c r="L598" s="238">
        <v>13089</v>
      </c>
      <c r="M598" s="238">
        <v>4914</v>
      </c>
      <c r="N598" s="238">
        <v>54</v>
      </c>
      <c r="O598" s="239">
        <v>13519</v>
      </c>
      <c r="P598" s="239">
        <f>4538+331</f>
        <v>4869</v>
      </c>
      <c r="Q598" s="240">
        <v>36</v>
      </c>
      <c r="R598" s="238"/>
      <c r="S598" s="240"/>
      <c r="T598" s="236">
        <f t="shared" si="61"/>
        <v>0</v>
      </c>
      <c r="U598" s="237">
        <f t="shared" si="62"/>
        <v>0</v>
      </c>
      <c r="V598" s="238"/>
      <c r="W598" s="239"/>
      <c r="X598" s="241"/>
      <c r="Y598" s="240"/>
      <c r="Z598" s="238"/>
      <c r="AA598" s="238"/>
      <c r="AB598" s="238"/>
      <c r="AC598" s="239"/>
      <c r="AD598" s="239"/>
      <c r="AE598" s="240"/>
      <c r="AF598" s="238"/>
      <c r="AG598" s="239"/>
    </row>
    <row r="599" spans="1:33" x14ac:dyDescent="0.2">
      <c r="A599" s="227" t="s">
        <v>54</v>
      </c>
      <c r="B599" s="357" t="s">
        <v>349</v>
      </c>
      <c r="C599" s="360" t="s">
        <v>352</v>
      </c>
      <c r="D599" s="229">
        <v>443492</v>
      </c>
      <c r="E599" s="362">
        <v>9</v>
      </c>
      <c r="F599" s="235">
        <f t="shared" si="59"/>
        <v>68299</v>
      </c>
      <c r="G599" s="234">
        <f t="shared" si="60"/>
        <v>67362</v>
      </c>
      <c r="H599" s="238">
        <v>35395</v>
      </c>
      <c r="I599" s="239">
        <v>36213</v>
      </c>
      <c r="J599" s="238">
        <v>24888</v>
      </c>
      <c r="K599" s="240">
        <v>23208</v>
      </c>
      <c r="L599" s="238">
        <v>8016</v>
      </c>
      <c r="M599" s="238"/>
      <c r="N599" s="238"/>
      <c r="O599" s="239">
        <v>7941</v>
      </c>
      <c r="P599" s="239"/>
      <c r="Q599" s="240"/>
      <c r="R599" s="238"/>
      <c r="S599" s="240"/>
      <c r="T599" s="236">
        <f t="shared" si="61"/>
        <v>0</v>
      </c>
      <c r="U599" s="237">
        <f t="shared" si="62"/>
        <v>6</v>
      </c>
      <c r="V599" s="238"/>
      <c r="W599" s="239"/>
      <c r="X599" s="241"/>
      <c r="Y599" s="240"/>
      <c r="Z599" s="238"/>
      <c r="AA599" s="238"/>
      <c r="AB599" s="238"/>
      <c r="AC599" s="239">
        <v>6</v>
      </c>
      <c r="AD599" s="239"/>
      <c r="AE599" s="240"/>
      <c r="AF599" s="238"/>
      <c r="AG599" s="239"/>
    </row>
    <row r="600" spans="1:33" x14ac:dyDescent="0.2">
      <c r="A600" s="227" t="s">
        <v>54</v>
      </c>
      <c r="B600" s="228" t="s">
        <v>342</v>
      </c>
      <c r="C600" s="361" t="s">
        <v>351</v>
      </c>
      <c r="D600" s="229">
        <v>238014</v>
      </c>
      <c r="E600" s="364">
        <v>9</v>
      </c>
      <c r="F600" s="235">
        <f t="shared" si="59"/>
        <v>71666</v>
      </c>
      <c r="G600" s="234">
        <f t="shared" si="60"/>
        <v>56992</v>
      </c>
      <c r="H600" s="238">
        <v>54256</v>
      </c>
      <c r="I600" s="239">
        <v>46435</v>
      </c>
      <c r="J600" s="238"/>
      <c r="K600" s="240"/>
      <c r="L600" s="238">
        <v>15446</v>
      </c>
      <c r="M600" s="238">
        <v>1964</v>
      </c>
      <c r="N600" s="238"/>
      <c r="O600" s="239">
        <v>8468</v>
      </c>
      <c r="P600" s="239">
        <v>2089</v>
      </c>
      <c r="Q600" s="240"/>
      <c r="R600" s="238"/>
      <c r="S600" s="240"/>
      <c r="T600" s="236">
        <f t="shared" si="61"/>
        <v>0</v>
      </c>
      <c r="U600" s="237">
        <f t="shared" si="62"/>
        <v>0</v>
      </c>
      <c r="V600" s="238"/>
      <c r="W600" s="239"/>
      <c r="X600" s="241"/>
      <c r="Y600" s="240"/>
      <c r="Z600" s="238"/>
      <c r="AA600" s="238"/>
      <c r="AB600" s="238"/>
      <c r="AC600" s="239"/>
      <c r="AD600" s="239"/>
      <c r="AE600" s="240"/>
      <c r="AF600" s="238"/>
      <c r="AG600" s="239"/>
    </row>
    <row r="601" spans="1:33" x14ac:dyDescent="0.2">
      <c r="A601" s="227" t="s">
        <v>54</v>
      </c>
      <c r="B601" s="228" t="s">
        <v>343</v>
      </c>
      <c r="C601" s="359"/>
      <c r="D601" s="229">
        <v>446774</v>
      </c>
      <c r="E601" s="363">
        <v>10</v>
      </c>
      <c r="F601" s="235">
        <f t="shared" si="59"/>
        <v>57685</v>
      </c>
      <c r="G601" s="234">
        <f t="shared" si="60"/>
        <v>58545</v>
      </c>
      <c r="H601" s="238">
        <v>34001</v>
      </c>
      <c r="I601" s="239">
        <v>27614</v>
      </c>
      <c r="J601" s="238">
        <v>12058</v>
      </c>
      <c r="K601" s="240">
        <v>19133</v>
      </c>
      <c r="L601" s="238">
        <v>11494</v>
      </c>
      <c r="M601" s="238"/>
      <c r="N601" s="238">
        <v>132</v>
      </c>
      <c r="O601" s="239">
        <v>11270</v>
      </c>
      <c r="P601" s="239"/>
      <c r="Q601" s="240">
        <v>528</v>
      </c>
      <c r="R601" s="238"/>
      <c r="S601" s="240"/>
      <c r="T601" s="236">
        <f t="shared" si="61"/>
        <v>0</v>
      </c>
      <c r="U601" s="237">
        <f t="shared" si="62"/>
        <v>0</v>
      </c>
      <c r="V601" s="238"/>
      <c r="W601" s="239"/>
      <c r="X601" s="241"/>
      <c r="Y601" s="240"/>
      <c r="Z601" s="238"/>
      <c r="AA601" s="238"/>
      <c r="AB601" s="238"/>
      <c r="AC601" s="239"/>
      <c r="AD601" s="239"/>
      <c r="AE601" s="240"/>
      <c r="AF601" s="238"/>
      <c r="AG601" s="239"/>
    </row>
    <row r="602" spans="1:33" x14ac:dyDescent="0.2">
      <c r="A602" s="227" t="s">
        <v>54</v>
      </c>
      <c r="B602" s="228" t="s">
        <v>344</v>
      </c>
      <c r="C602" s="359"/>
      <c r="D602" s="229">
        <v>445674</v>
      </c>
      <c r="E602" s="363">
        <v>10</v>
      </c>
      <c r="F602" s="235">
        <f t="shared" si="59"/>
        <v>17632</v>
      </c>
      <c r="G602" s="234">
        <f t="shared" si="60"/>
        <v>17124</v>
      </c>
      <c r="H602" s="238">
        <v>14010</v>
      </c>
      <c r="I602" s="239">
        <v>13339</v>
      </c>
      <c r="J602" s="238">
        <v>753</v>
      </c>
      <c r="K602" s="240">
        <v>969</v>
      </c>
      <c r="L602" s="238">
        <v>2869</v>
      </c>
      <c r="M602" s="238"/>
      <c r="N602" s="238"/>
      <c r="O602" s="239">
        <v>2816</v>
      </c>
      <c r="P602" s="239"/>
      <c r="Q602" s="240"/>
      <c r="R602" s="238"/>
      <c r="S602" s="240"/>
      <c r="T602" s="236">
        <f t="shared" si="61"/>
        <v>0</v>
      </c>
      <c r="U602" s="237">
        <f t="shared" si="62"/>
        <v>0</v>
      </c>
      <c r="V602" s="238"/>
      <c r="W602" s="239"/>
      <c r="X602" s="241"/>
      <c r="Y602" s="240"/>
      <c r="Z602" s="238"/>
      <c r="AA602" s="238"/>
      <c r="AB602" s="238"/>
      <c r="AC602" s="239"/>
      <c r="AD602" s="239"/>
      <c r="AE602" s="240"/>
      <c r="AF602" s="238"/>
      <c r="AG602" s="239"/>
    </row>
    <row r="603" spans="1:33" x14ac:dyDescent="0.2">
      <c r="A603" s="227" t="s">
        <v>54</v>
      </c>
      <c r="B603" s="228" t="s">
        <v>345</v>
      </c>
      <c r="C603" s="359"/>
      <c r="D603" s="229">
        <v>438708</v>
      </c>
      <c r="E603" s="363">
        <v>10</v>
      </c>
      <c r="F603" s="235">
        <f t="shared" si="59"/>
        <v>12550</v>
      </c>
      <c r="G603" s="234">
        <f t="shared" si="60"/>
        <v>14196</v>
      </c>
      <c r="H603" s="238">
        <v>6820</v>
      </c>
      <c r="I603" s="239">
        <v>7303</v>
      </c>
      <c r="J603" s="238">
        <v>2718</v>
      </c>
      <c r="K603" s="240">
        <v>3289</v>
      </c>
      <c r="L603" s="238">
        <v>2823</v>
      </c>
      <c r="M603" s="238">
        <v>189</v>
      </c>
      <c r="N603" s="238"/>
      <c r="O603" s="239">
        <v>3382</v>
      </c>
      <c r="P603" s="239">
        <v>222</v>
      </c>
      <c r="Q603" s="240"/>
      <c r="R603" s="238"/>
      <c r="S603" s="240"/>
      <c r="T603" s="236">
        <f t="shared" si="61"/>
        <v>0</v>
      </c>
      <c r="U603" s="237">
        <f t="shared" si="62"/>
        <v>0</v>
      </c>
      <c r="V603" s="238"/>
      <c r="W603" s="239"/>
      <c r="X603" s="241"/>
      <c r="Y603" s="240"/>
      <c r="Z603" s="238"/>
      <c r="AA603" s="238"/>
      <c r="AB603" s="238"/>
      <c r="AC603" s="239"/>
      <c r="AD603" s="239"/>
      <c r="AE603" s="240"/>
      <c r="AF603" s="238"/>
      <c r="AG603" s="239"/>
    </row>
    <row r="604" spans="1:33" x14ac:dyDescent="0.2">
      <c r="A604" s="227" t="s">
        <v>54</v>
      </c>
      <c r="B604" s="228" t="s">
        <v>346</v>
      </c>
      <c r="C604" s="361"/>
      <c r="D604" s="229">
        <v>445018</v>
      </c>
      <c r="E604" s="363">
        <v>10</v>
      </c>
      <c r="F604" s="235">
        <f t="shared" si="59"/>
        <v>37414</v>
      </c>
      <c r="G604" s="234">
        <f t="shared" si="60"/>
        <v>34452</v>
      </c>
      <c r="H604" s="238">
        <v>31725</v>
      </c>
      <c r="I604" s="239">
        <v>28092</v>
      </c>
      <c r="J604" s="238">
        <v>2133</v>
      </c>
      <c r="K604" s="240">
        <v>1778</v>
      </c>
      <c r="L604" s="238">
        <v>3556</v>
      </c>
      <c r="M604" s="238"/>
      <c r="N604" s="238"/>
      <c r="O604" s="239">
        <v>4582</v>
      </c>
      <c r="P604" s="239"/>
      <c r="Q604" s="240"/>
      <c r="R604" s="238"/>
      <c r="S604" s="240"/>
      <c r="T604" s="236">
        <f t="shared" si="61"/>
        <v>0</v>
      </c>
      <c r="U604" s="237">
        <f t="shared" si="62"/>
        <v>0</v>
      </c>
      <c r="V604" s="238"/>
      <c r="W604" s="239"/>
      <c r="X604" s="241"/>
      <c r="Y604" s="240"/>
      <c r="Z604" s="238"/>
      <c r="AA604" s="238"/>
      <c r="AB604" s="238"/>
      <c r="AC604" s="239"/>
      <c r="AD604" s="239"/>
      <c r="AE604" s="240"/>
      <c r="AF604" s="238"/>
      <c r="AG604" s="239"/>
    </row>
    <row r="605" spans="1:33" x14ac:dyDescent="0.2">
      <c r="A605" s="227" t="s">
        <v>54</v>
      </c>
      <c r="B605" s="228" t="s">
        <v>347</v>
      </c>
      <c r="C605" s="361"/>
      <c r="D605" s="229">
        <v>444954</v>
      </c>
      <c r="E605" s="363">
        <v>10</v>
      </c>
      <c r="F605" s="235">
        <f t="shared" si="59"/>
        <v>59067</v>
      </c>
      <c r="G605" s="234">
        <f t="shared" si="60"/>
        <v>56040</v>
      </c>
      <c r="H605" s="238">
        <v>30412</v>
      </c>
      <c r="I605" s="239">
        <v>26345</v>
      </c>
      <c r="J605" s="238">
        <v>17059</v>
      </c>
      <c r="K605" s="240">
        <v>16903</v>
      </c>
      <c r="L605" s="238">
        <v>11596</v>
      </c>
      <c r="M605" s="238"/>
      <c r="N605" s="238"/>
      <c r="O605" s="239">
        <v>12792</v>
      </c>
      <c r="P605" s="239"/>
      <c r="Q605" s="240"/>
      <c r="R605" s="238"/>
      <c r="S605" s="240"/>
      <c r="T605" s="236">
        <f t="shared" si="61"/>
        <v>0</v>
      </c>
      <c r="U605" s="237">
        <f t="shared" si="62"/>
        <v>0</v>
      </c>
      <c r="V605" s="238"/>
      <c r="W605" s="239"/>
      <c r="X605" s="241"/>
      <c r="Y605" s="240"/>
      <c r="Z605" s="238"/>
      <c r="AA605" s="238"/>
      <c r="AB605" s="238"/>
      <c r="AC605" s="239"/>
      <c r="AD605" s="239"/>
      <c r="AE605" s="240"/>
      <c r="AF605" s="238"/>
      <c r="AG605" s="239"/>
    </row>
    <row r="606" spans="1:33" x14ac:dyDescent="0.2">
      <c r="A606" s="227" t="s">
        <v>54</v>
      </c>
      <c r="B606" s="228" t="s">
        <v>350</v>
      </c>
      <c r="C606" s="359"/>
      <c r="D606" s="229">
        <v>237817</v>
      </c>
      <c r="E606" s="363">
        <v>10</v>
      </c>
      <c r="F606" s="235">
        <f t="shared" si="59"/>
        <v>49297</v>
      </c>
      <c r="G606" s="234">
        <f t="shared" si="60"/>
        <v>47045</v>
      </c>
      <c r="H606" s="238">
        <v>35936</v>
      </c>
      <c r="I606" s="239">
        <v>34200</v>
      </c>
      <c r="J606" s="238">
        <v>3956</v>
      </c>
      <c r="K606" s="240">
        <v>2505</v>
      </c>
      <c r="L606" s="238">
        <v>7567</v>
      </c>
      <c r="M606" s="238">
        <v>1838</v>
      </c>
      <c r="N606" s="238"/>
      <c r="O606" s="239">
        <v>8600</v>
      </c>
      <c r="P606" s="239">
        <f>1737+3</f>
        <v>1740</v>
      </c>
      <c r="Q606" s="240"/>
      <c r="R606" s="238"/>
      <c r="S606" s="240"/>
      <c r="T606" s="236">
        <f t="shared" si="61"/>
        <v>0</v>
      </c>
      <c r="U606" s="237">
        <f t="shared" si="62"/>
        <v>0</v>
      </c>
      <c r="V606" s="238"/>
      <c r="W606" s="239"/>
      <c r="X606" s="241"/>
      <c r="Y606" s="240"/>
      <c r="Z606" s="238"/>
      <c r="AA606" s="238"/>
      <c r="AB606" s="238"/>
      <c r="AC606" s="239"/>
      <c r="AD606" s="239"/>
      <c r="AE606" s="240"/>
      <c r="AF606" s="238"/>
      <c r="AG606" s="239"/>
    </row>
    <row r="607" spans="1:33" x14ac:dyDescent="0.2">
      <c r="A607" s="9"/>
      <c r="B607" s="9"/>
      <c r="C607" s="9"/>
      <c r="D607" s="9"/>
      <c r="E607" s="9"/>
      <c r="G607" s="9"/>
      <c r="I607" s="9"/>
      <c r="M607" s="9"/>
      <c r="N607" s="9"/>
      <c r="O607" s="9"/>
      <c r="Q607" s="9"/>
      <c r="S607" s="9"/>
      <c r="U607" s="9"/>
      <c r="W607" s="9"/>
      <c r="AA607" s="9"/>
      <c r="AB607" s="9"/>
      <c r="AC607" s="9"/>
      <c r="AE607" s="9"/>
    </row>
    <row r="608" spans="1:33" x14ac:dyDescent="0.2">
      <c r="A608" s="9"/>
      <c r="B608" s="9"/>
      <c r="C608" s="9"/>
      <c r="D608" s="9"/>
      <c r="E608" s="9"/>
      <c r="G608" s="9"/>
      <c r="I608" s="9"/>
      <c r="M608" s="9"/>
      <c r="N608" s="9"/>
      <c r="O608" s="9"/>
      <c r="Q608" s="9"/>
      <c r="S608" s="9"/>
      <c r="U608" s="9"/>
      <c r="W608" s="9"/>
      <c r="AA608" s="9"/>
      <c r="AB608" s="9"/>
      <c r="AC608" s="9"/>
      <c r="AE608" s="9"/>
    </row>
    <row r="609" spans="1:31" x14ac:dyDescent="0.2">
      <c r="A609" s="9"/>
      <c r="B609" s="9"/>
      <c r="C609" s="9"/>
      <c r="D609" s="9"/>
      <c r="E609" s="9"/>
      <c r="G609" s="9"/>
      <c r="I609" s="9"/>
      <c r="M609" s="9"/>
      <c r="N609" s="9"/>
      <c r="O609" s="9"/>
      <c r="Q609" s="9"/>
      <c r="S609" s="9"/>
      <c r="U609" s="9"/>
      <c r="W609" s="9"/>
      <c r="AA609" s="9"/>
      <c r="AB609" s="9"/>
      <c r="AC609" s="9"/>
      <c r="AE609" s="9"/>
    </row>
    <row r="610" spans="1:31" x14ac:dyDescent="0.2">
      <c r="A610" s="9"/>
      <c r="B610" s="9"/>
      <c r="C610" s="9"/>
      <c r="D610" s="9"/>
      <c r="E610" s="9"/>
      <c r="G610" s="9"/>
      <c r="I610" s="9"/>
      <c r="M610" s="9"/>
      <c r="N610" s="9"/>
      <c r="O610" s="9"/>
      <c r="Q610" s="9"/>
      <c r="S610" s="9"/>
      <c r="U610" s="9"/>
      <c r="W610" s="9"/>
      <c r="AA610" s="9"/>
      <c r="AB610" s="9"/>
      <c r="AC610" s="9"/>
      <c r="AE610" s="9"/>
    </row>
    <row r="611" spans="1:31" x14ac:dyDescent="0.2">
      <c r="A611" s="9"/>
      <c r="B611" s="9"/>
      <c r="C611" s="9"/>
      <c r="D611" s="9"/>
      <c r="E611" s="9"/>
      <c r="G611" s="9"/>
      <c r="I611" s="9"/>
      <c r="M611" s="9"/>
      <c r="N611" s="9"/>
      <c r="O611" s="9"/>
      <c r="Q611" s="9"/>
      <c r="S611" s="9"/>
      <c r="U611" s="9"/>
      <c r="W611" s="9"/>
      <c r="AA611" s="9"/>
      <c r="AB611" s="9"/>
      <c r="AC611" s="9"/>
      <c r="AE611" s="9"/>
    </row>
    <row r="612" spans="1:31" x14ac:dyDescent="0.2">
      <c r="A612" s="9"/>
      <c r="B612" s="9"/>
      <c r="C612" s="9"/>
      <c r="D612" s="9"/>
      <c r="E612" s="9"/>
      <c r="G612" s="9"/>
      <c r="I612" s="9"/>
      <c r="M612" s="9"/>
      <c r="N612" s="9"/>
      <c r="O612" s="9"/>
      <c r="Q612" s="9"/>
      <c r="S612" s="9"/>
      <c r="U612" s="9"/>
      <c r="W612" s="9"/>
      <c r="AA612" s="9"/>
      <c r="AB612" s="9"/>
      <c r="AC612" s="9"/>
      <c r="AE612" s="9"/>
    </row>
    <row r="613" spans="1:31" x14ac:dyDescent="0.2">
      <c r="A613" s="9"/>
      <c r="B613" s="9"/>
      <c r="C613" s="9"/>
      <c r="D613" s="9"/>
      <c r="E613" s="9"/>
      <c r="G613" s="9"/>
      <c r="I613" s="9"/>
      <c r="M613" s="9"/>
      <c r="N613" s="9"/>
      <c r="O613" s="9"/>
      <c r="Q613" s="9"/>
      <c r="S613" s="9"/>
      <c r="U613" s="9"/>
      <c r="W613" s="9"/>
      <c r="AA613" s="9"/>
      <c r="AB613" s="9"/>
      <c r="AC613" s="9"/>
      <c r="AE613" s="9"/>
    </row>
    <row r="614" spans="1:31" x14ac:dyDescent="0.2">
      <c r="A614" s="9"/>
      <c r="B614" s="9"/>
      <c r="C614" s="9"/>
      <c r="D614" s="9"/>
      <c r="E614" s="9"/>
      <c r="G614" s="9"/>
      <c r="I614" s="9"/>
      <c r="M614" s="9"/>
      <c r="N614" s="9"/>
      <c r="O614" s="9"/>
      <c r="Q614" s="9"/>
      <c r="S614" s="9"/>
      <c r="U614" s="9"/>
      <c r="W614" s="9"/>
      <c r="AA614" s="9"/>
      <c r="AB614" s="9"/>
      <c r="AC614" s="9"/>
      <c r="AE614" s="9"/>
    </row>
    <row r="615" spans="1:31" x14ac:dyDescent="0.2">
      <c r="A615" s="9"/>
      <c r="B615" s="9"/>
      <c r="C615" s="9"/>
      <c r="D615" s="9"/>
      <c r="E615" s="9"/>
      <c r="G615" s="9"/>
      <c r="I615" s="9"/>
      <c r="M615" s="9"/>
      <c r="N615" s="9"/>
      <c r="O615" s="9"/>
      <c r="Q615" s="9"/>
      <c r="S615" s="9"/>
      <c r="U615" s="9"/>
      <c r="W615" s="9"/>
      <c r="AA615" s="9"/>
      <c r="AB615" s="9"/>
      <c r="AC615" s="9"/>
      <c r="AE615" s="9"/>
    </row>
    <row r="616" spans="1:31" x14ac:dyDescent="0.2">
      <c r="A616" s="9"/>
      <c r="B616" s="9"/>
      <c r="C616" s="9"/>
      <c r="D616" s="9"/>
      <c r="E616" s="9"/>
      <c r="G616" s="9"/>
      <c r="I616" s="9"/>
      <c r="M616" s="9"/>
      <c r="N616" s="9"/>
      <c r="O616" s="9"/>
      <c r="Q616" s="9"/>
      <c r="S616" s="9"/>
      <c r="U616" s="9"/>
      <c r="W616" s="9"/>
      <c r="AA616" s="9"/>
      <c r="AB616" s="9"/>
      <c r="AC616" s="9"/>
      <c r="AE616" s="9"/>
    </row>
    <row r="617" spans="1:31" x14ac:dyDescent="0.2">
      <c r="A617" s="9"/>
      <c r="B617" s="9"/>
      <c r="C617" s="9"/>
      <c r="D617" s="9"/>
      <c r="E617" s="9"/>
      <c r="G617" s="9"/>
      <c r="I617" s="9"/>
      <c r="M617" s="9"/>
      <c r="N617" s="9"/>
      <c r="O617" s="9"/>
      <c r="Q617" s="9"/>
      <c r="S617" s="9"/>
      <c r="U617" s="9"/>
      <c r="W617" s="9"/>
      <c r="AA617" s="9"/>
      <c r="AB617" s="9"/>
      <c r="AC617" s="9"/>
      <c r="AE617" s="9"/>
    </row>
    <row r="618" spans="1:31" x14ac:dyDescent="0.2">
      <c r="A618" s="9"/>
      <c r="B618" s="9"/>
      <c r="C618" s="9"/>
      <c r="D618" s="9"/>
      <c r="E618" s="9"/>
      <c r="G618" s="9"/>
      <c r="I618" s="9"/>
      <c r="M618" s="9"/>
      <c r="N618" s="9"/>
      <c r="O618" s="9"/>
      <c r="Q618" s="9"/>
      <c r="S618" s="9"/>
      <c r="U618" s="9"/>
      <c r="W618" s="9"/>
      <c r="AA618" s="9"/>
      <c r="AB618" s="9"/>
      <c r="AC618" s="9"/>
      <c r="AE618" s="9"/>
    </row>
    <row r="619" spans="1:31" x14ac:dyDescent="0.2">
      <c r="A619" s="9"/>
      <c r="B619" s="9"/>
      <c r="C619" s="9"/>
      <c r="D619" s="9"/>
      <c r="E619" s="9"/>
      <c r="G619" s="9"/>
      <c r="I619" s="9"/>
      <c r="M619" s="9"/>
      <c r="N619" s="9"/>
      <c r="O619" s="9"/>
      <c r="Q619" s="9"/>
      <c r="S619" s="9"/>
      <c r="U619" s="9"/>
      <c r="W619" s="9"/>
      <c r="AA619" s="9"/>
      <c r="AB619" s="9"/>
      <c r="AC619" s="9"/>
      <c r="AE619" s="9"/>
    </row>
    <row r="620" spans="1:31" x14ac:dyDescent="0.2">
      <c r="A620" s="9"/>
      <c r="B620" s="9"/>
      <c r="C620" s="9"/>
      <c r="D620" s="9"/>
      <c r="E620" s="9"/>
      <c r="G620" s="9"/>
      <c r="I620" s="9"/>
      <c r="M620" s="9"/>
      <c r="N620" s="9"/>
      <c r="O620" s="9"/>
      <c r="Q620" s="9"/>
      <c r="S620" s="9"/>
      <c r="U620" s="9"/>
      <c r="W620" s="9"/>
      <c r="AA620" s="9"/>
      <c r="AB620" s="9"/>
      <c r="AC620" s="9"/>
      <c r="AE620" s="9"/>
    </row>
    <row r="621" spans="1:31" x14ac:dyDescent="0.2">
      <c r="A621" s="9"/>
      <c r="B621" s="9"/>
      <c r="C621" s="9"/>
      <c r="D621" s="9"/>
      <c r="E621" s="9"/>
      <c r="G621" s="9"/>
      <c r="I621" s="9"/>
      <c r="M621" s="9"/>
      <c r="N621" s="9"/>
      <c r="O621" s="9"/>
      <c r="Q621" s="9"/>
      <c r="S621" s="9"/>
      <c r="U621" s="9"/>
      <c r="W621" s="9"/>
      <c r="AA621" s="9"/>
      <c r="AB621" s="9"/>
      <c r="AC621" s="9"/>
      <c r="AE621" s="9"/>
    </row>
    <row r="622" spans="1:31" x14ac:dyDescent="0.2">
      <c r="A622" s="9"/>
      <c r="B622" s="9"/>
      <c r="C622" s="9"/>
      <c r="D622" s="9"/>
      <c r="E622" s="9"/>
      <c r="G622" s="9"/>
      <c r="I622" s="9"/>
      <c r="M622" s="9"/>
      <c r="N622" s="9"/>
      <c r="O622" s="9"/>
      <c r="Q622" s="9"/>
      <c r="S622" s="9"/>
      <c r="U622" s="9"/>
      <c r="W622" s="9"/>
      <c r="AA622" s="9"/>
      <c r="AB622" s="9"/>
      <c r="AC622" s="9"/>
      <c r="AE622" s="9"/>
    </row>
    <row r="623" spans="1:31" x14ac:dyDescent="0.2">
      <c r="A623" s="9"/>
      <c r="B623" s="9"/>
      <c r="C623" s="9"/>
      <c r="D623" s="9"/>
      <c r="E623" s="9"/>
      <c r="G623" s="9"/>
      <c r="I623" s="9"/>
      <c r="M623" s="9"/>
      <c r="N623" s="9"/>
      <c r="O623" s="9"/>
      <c r="Q623" s="9"/>
      <c r="S623" s="9"/>
      <c r="U623" s="9"/>
      <c r="W623" s="9"/>
      <c r="AA623" s="9"/>
      <c r="AB623" s="9"/>
      <c r="AC623" s="9"/>
      <c r="AE623" s="9"/>
    </row>
    <row r="624" spans="1:31" x14ac:dyDescent="0.2">
      <c r="A624" s="9"/>
      <c r="B624" s="9"/>
      <c r="C624" s="9"/>
      <c r="D624" s="9"/>
      <c r="E624" s="9"/>
      <c r="G624" s="9"/>
      <c r="I624" s="9"/>
      <c r="M624" s="9"/>
      <c r="N624" s="9"/>
      <c r="O624" s="9"/>
      <c r="Q624" s="9"/>
      <c r="S624" s="9"/>
      <c r="U624" s="9"/>
      <c r="W624" s="9"/>
      <c r="AA624" s="9"/>
      <c r="AB624" s="9"/>
      <c r="AC624" s="9"/>
      <c r="AE624" s="9"/>
    </row>
    <row r="625" spans="1:31" x14ac:dyDescent="0.2">
      <c r="A625" s="9"/>
      <c r="B625" s="9"/>
      <c r="C625" s="9"/>
      <c r="D625" s="9"/>
      <c r="E625" s="9"/>
      <c r="G625" s="9"/>
      <c r="I625" s="9"/>
      <c r="M625" s="9"/>
      <c r="N625" s="9"/>
      <c r="O625" s="9"/>
      <c r="Q625" s="9"/>
      <c r="S625" s="9"/>
      <c r="U625" s="9"/>
      <c r="W625" s="9"/>
      <c r="AA625" s="9"/>
      <c r="AB625" s="9"/>
      <c r="AC625" s="9"/>
      <c r="AE625" s="9"/>
    </row>
    <row r="626" spans="1:31" x14ac:dyDescent="0.2">
      <c r="A626" s="9"/>
      <c r="B626" s="9"/>
      <c r="C626" s="9"/>
      <c r="D626" s="9"/>
      <c r="E626" s="9"/>
      <c r="G626" s="9"/>
      <c r="I626" s="9"/>
      <c r="M626" s="9"/>
      <c r="N626" s="9"/>
      <c r="O626" s="9"/>
      <c r="Q626" s="9"/>
      <c r="S626" s="9"/>
      <c r="U626" s="9"/>
      <c r="W626" s="9"/>
      <c r="AA626" s="9"/>
      <c r="AB626" s="9"/>
      <c r="AC626" s="9"/>
      <c r="AE626" s="9"/>
    </row>
    <row r="627" spans="1:31" x14ac:dyDescent="0.2">
      <c r="A627" s="9"/>
      <c r="B627" s="9"/>
      <c r="C627" s="9"/>
      <c r="D627" s="9"/>
      <c r="E627" s="9"/>
      <c r="G627" s="9"/>
      <c r="I627" s="9"/>
      <c r="M627" s="9"/>
      <c r="N627" s="9"/>
      <c r="O627" s="9"/>
      <c r="Q627" s="9"/>
      <c r="S627" s="9"/>
      <c r="U627" s="9"/>
      <c r="W627" s="9"/>
      <c r="AA627" s="9"/>
      <c r="AB627" s="9"/>
      <c r="AC627" s="9"/>
      <c r="AE627" s="9"/>
    </row>
    <row r="628" spans="1:31" x14ac:dyDescent="0.2">
      <c r="A628" s="9"/>
      <c r="B628" s="9"/>
      <c r="C628" s="9"/>
      <c r="D628" s="9"/>
      <c r="E628" s="9"/>
      <c r="G628" s="9"/>
      <c r="I628" s="9"/>
      <c r="M628" s="9"/>
      <c r="N628" s="9"/>
      <c r="O628" s="9"/>
      <c r="Q628" s="9"/>
      <c r="S628" s="9"/>
      <c r="U628" s="9"/>
      <c r="W628" s="9"/>
      <c r="AA628" s="9"/>
      <c r="AB628" s="9"/>
      <c r="AC628" s="9"/>
      <c r="AE628" s="9"/>
    </row>
    <row r="629" spans="1:31" x14ac:dyDescent="0.2">
      <c r="A629" s="9"/>
      <c r="B629" s="9"/>
      <c r="C629" s="9"/>
      <c r="D629" s="9"/>
      <c r="E629" s="9"/>
      <c r="G629" s="9"/>
      <c r="I629" s="9"/>
      <c r="M629" s="9"/>
      <c r="N629" s="9"/>
      <c r="O629" s="9"/>
      <c r="Q629" s="9"/>
      <c r="S629" s="9"/>
      <c r="U629" s="9"/>
      <c r="W629" s="9"/>
      <c r="AA629" s="9"/>
      <c r="AB629" s="9"/>
      <c r="AC629" s="9"/>
      <c r="AE629" s="9"/>
    </row>
    <row r="630" spans="1:31" x14ac:dyDescent="0.2">
      <c r="A630" s="9"/>
      <c r="B630" s="9"/>
      <c r="C630" s="9"/>
      <c r="D630" s="9"/>
      <c r="E630" s="9"/>
      <c r="G630" s="9"/>
      <c r="I630" s="9"/>
      <c r="M630" s="9"/>
      <c r="N630" s="9"/>
      <c r="O630" s="9"/>
      <c r="Q630" s="9"/>
      <c r="S630" s="9"/>
      <c r="U630" s="9"/>
      <c r="W630" s="9"/>
      <c r="AA630" s="9"/>
      <c r="AB630" s="9"/>
      <c r="AC630" s="9"/>
      <c r="AE630" s="9"/>
    </row>
    <row r="631" spans="1:31" x14ac:dyDescent="0.2">
      <c r="A631" s="9"/>
      <c r="B631" s="9"/>
      <c r="C631" s="9"/>
      <c r="D631" s="9"/>
      <c r="E631" s="9"/>
      <c r="G631" s="9"/>
      <c r="I631" s="9"/>
      <c r="M631" s="9"/>
      <c r="N631" s="9"/>
      <c r="O631" s="9"/>
      <c r="Q631" s="9"/>
      <c r="S631" s="9"/>
      <c r="U631" s="9"/>
      <c r="W631" s="9"/>
      <c r="AA631" s="9"/>
      <c r="AB631" s="9"/>
      <c r="AC631" s="9"/>
      <c r="AE631" s="9"/>
    </row>
    <row r="632" spans="1:31" x14ac:dyDescent="0.2">
      <c r="A632" s="9"/>
      <c r="B632" s="9"/>
      <c r="C632" s="9"/>
      <c r="D632" s="9"/>
      <c r="E632" s="9"/>
      <c r="G632" s="9"/>
      <c r="I632" s="9"/>
      <c r="M632" s="9"/>
      <c r="N632" s="9"/>
      <c r="O632" s="9"/>
      <c r="Q632" s="9"/>
      <c r="S632" s="9"/>
      <c r="U632" s="9"/>
      <c r="W632" s="9"/>
      <c r="AA632" s="9"/>
      <c r="AB632" s="9"/>
      <c r="AC632" s="9"/>
      <c r="AE632" s="9"/>
    </row>
    <row r="633" spans="1:31" x14ac:dyDescent="0.2">
      <c r="A633" s="9"/>
      <c r="B633" s="9"/>
      <c r="C633" s="9"/>
      <c r="D633" s="9"/>
      <c r="E633" s="9"/>
      <c r="G633" s="9"/>
      <c r="I633" s="9"/>
      <c r="M633" s="9"/>
      <c r="N633" s="9"/>
      <c r="O633" s="9"/>
      <c r="Q633" s="9"/>
      <c r="S633" s="9"/>
      <c r="U633" s="9"/>
      <c r="W633" s="9"/>
      <c r="AA633" s="9"/>
      <c r="AB633" s="9"/>
      <c r="AC633" s="9"/>
      <c r="AE633" s="9"/>
    </row>
    <row r="634" spans="1:31" x14ac:dyDescent="0.2">
      <c r="A634" s="9"/>
      <c r="B634" s="9"/>
      <c r="C634" s="9"/>
      <c r="D634" s="9"/>
      <c r="E634" s="9"/>
      <c r="G634" s="9"/>
      <c r="I634" s="9"/>
      <c r="M634" s="9"/>
      <c r="N634" s="9"/>
      <c r="O634" s="9"/>
      <c r="Q634" s="9"/>
      <c r="S634" s="9"/>
      <c r="U634" s="9"/>
      <c r="W634" s="9"/>
      <c r="AA634" s="9"/>
      <c r="AB634" s="9"/>
      <c r="AC634" s="9"/>
      <c r="AE634" s="9"/>
    </row>
    <row r="635" spans="1:31" x14ac:dyDescent="0.2">
      <c r="A635" s="9"/>
      <c r="B635" s="9"/>
      <c r="C635" s="9"/>
      <c r="D635" s="9"/>
      <c r="E635" s="9"/>
      <c r="G635" s="9"/>
      <c r="I635" s="9"/>
      <c r="M635" s="9"/>
      <c r="N635" s="9"/>
      <c r="O635" s="9"/>
      <c r="Q635" s="9"/>
      <c r="S635" s="9"/>
      <c r="U635" s="9"/>
      <c r="W635" s="9"/>
      <c r="AA635" s="9"/>
      <c r="AB635" s="9"/>
      <c r="AC635" s="9"/>
      <c r="AE635" s="9"/>
    </row>
    <row r="636" spans="1:31" x14ac:dyDescent="0.2">
      <c r="A636" s="9"/>
      <c r="B636" s="9"/>
      <c r="C636" s="9"/>
      <c r="D636" s="9"/>
      <c r="E636" s="9"/>
      <c r="G636" s="9"/>
      <c r="I636" s="9"/>
      <c r="M636" s="9"/>
      <c r="N636" s="9"/>
      <c r="O636" s="9"/>
      <c r="Q636" s="9"/>
      <c r="S636" s="9"/>
      <c r="U636" s="9"/>
      <c r="W636" s="9"/>
      <c r="AA636" s="9"/>
      <c r="AB636" s="9"/>
      <c r="AC636" s="9"/>
      <c r="AE636" s="9"/>
    </row>
    <row r="637" spans="1:31" x14ac:dyDescent="0.2">
      <c r="A637" s="9"/>
      <c r="B637" s="9"/>
      <c r="C637" s="9"/>
      <c r="D637" s="9"/>
      <c r="E637" s="9"/>
      <c r="G637" s="9"/>
      <c r="I637" s="9"/>
      <c r="M637" s="9"/>
      <c r="N637" s="9"/>
      <c r="O637" s="9"/>
      <c r="Q637" s="9"/>
      <c r="S637" s="9"/>
      <c r="U637" s="9"/>
      <c r="W637" s="9"/>
      <c r="AA637" s="9"/>
      <c r="AB637" s="9"/>
      <c r="AC637" s="9"/>
      <c r="AE637" s="9"/>
    </row>
    <row r="638" spans="1:31" x14ac:dyDescent="0.2">
      <c r="A638" s="9"/>
      <c r="B638" s="9"/>
      <c r="C638" s="9"/>
      <c r="D638" s="9"/>
      <c r="E638" s="9"/>
      <c r="G638" s="9"/>
      <c r="I638" s="9"/>
      <c r="M638" s="9"/>
      <c r="N638" s="9"/>
      <c r="O638" s="9"/>
      <c r="Q638" s="9"/>
      <c r="S638" s="9"/>
      <c r="U638" s="9"/>
      <c r="W638" s="9"/>
      <c r="AA638" s="9"/>
      <c r="AB638" s="9"/>
      <c r="AC638" s="9"/>
      <c r="AE638" s="9"/>
    </row>
    <row r="639" spans="1:31" x14ac:dyDescent="0.2">
      <c r="A639" s="9"/>
      <c r="B639" s="9"/>
      <c r="C639" s="9"/>
      <c r="D639" s="9"/>
      <c r="E639" s="9"/>
      <c r="G639" s="9"/>
      <c r="I639" s="9"/>
      <c r="M639" s="9"/>
      <c r="N639" s="9"/>
      <c r="O639" s="9"/>
      <c r="Q639" s="9"/>
      <c r="S639" s="9"/>
      <c r="U639" s="9"/>
      <c r="W639" s="9"/>
      <c r="AA639" s="9"/>
      <c r="AB639" s="9"/>
      <c r="AC639" s="9"/>
      <c r="AE639" s="9"/>
    </row>
    <row r="640" spans="1:31" x14ac:dyDescent="0.2">
      <c r="A640" s="9"/>
      <c r="B640" s="9"/>
      <c r="C640" s="9"/>
      <c r="D640" s="9"/>
      <c r="E640" s="9"/>
      <c r="G640" s="9"/>
      <c r="I640" s="9"/>
      <c r="M640" s="9"/>
      <c r="N640" s="9"/>
      <c r="O640" s="9"/>
      <c r="Q640" s="9"/>
      <c r="S640" s="9"/>
      <c r="U640" s="9"/>
      <c r="W640" s="9"/>
      <c r="AA640" s="9"/>
      <c r="AB640" s="9"/>
      <c r="AC640" s="9"/>
      <c r="AE640" s="9"/>
    </row>
    <row r="641" spans="1:31" x14ac:dyDescent="0.2">
      <c r="A641" s="9"/>
      <c r="B641" s="9"/>
      <c r="C641" s="9"/>
      <c r="D641" s="9"/>
      <c r="E641" s="9"/>
      <c r="G641" s="9"/>
      <c r="I641" s="9"/>
      <c r="M641" s="9"/>
      <c r="N641" s="9"/>
      <c r="O641" s="9"/>
      <c r="Q641" s="9"/>
      <c r="S641" s="9"/>
      <c r="U641" s="9"/>
      <c r="W641" s="9"/>
      <c r="AA641" s="9"/>
      <c r="AB641" s="9"/>
      <c r="AC641" s="9"/>
      <c r="AE641" s="9"/>
    </row>
    <row r="642" spans="1:31" x14ac:dyDescent="0.2">
      <c r="A642" s="9"/>
      <c r="B642" s="9"/>
      <c r="C642" s="9"/>
      <c r="D642" s="9"/>
      <c r="E642" s="9"/>
      <c r="G642" s="9"/>
      <c r="I642" s="9"/>
      <c r="M642" s="9"/>
      <c r="N642" s="9"/>
      <c r="O642" s="9"/>
      <c r="Q642" s="9"/>
      <c r="S642" s="9"/>
      <c r="U642" s="9"/>
      <c r="W642" s="9"/>
      <c r="AA642" s="9"/>
      <c r="AB642" s="9"/>
      <c r="AC642" s="9"/>
      <c r="AE642" s="9"/>
    </row>
    <row r="643" spans="1:31" x14ac:dyDescent="0.2">
      <c r="A643" s="9"/>
      <c r="B643" s="9"/>
      <c r="C643" s="9"/>
      <c r="D643" s="9"/>
      <c r="E643" s="9"/>
      <c r="G643" s="9"/>
      <c r="I643" s="9"/>
      <c r="M643" s="9"/>
      <c r="N643" s="9"/>
      <c r="O643" s="9"/>
      <c r="Q643" s="9"/>
      <c r="S643" s="9"/>
      <c r="U643" s="9"/>
      <c r="W643" s="9"/>
      <c r="AA643" s="9"/>
      <c r="AB643" s="9"/>
      <c r="AC643" s="9"/>
      <c r="AE643" s="9"/>
    </row>
    <row r="644" spans="1:31" x14ac:dyDescent="0.2">
      <c r="A644" s="9"/>
      <c r="B644" s="9"/>
      <c r="C644" s="9"/>
      <c r="D644" s="9"/>
      <c r="E644" s="9"/>
      <c r="G644" s="9"/>
      <c r="I644" s="9"/>
      <c r="M644" s="9"/>
      <c r="N644" s="9"/>
      <c r="O644" s="9"/>
      <c r="Q644" s="9"/>
      <c r="S644" s="9"/>
      <c r="U644" s="9"/>
      <c r="W644" s="9"/>
      <c r="AA644" s="9"/>
      <c r="AB644" s="9"/>
      <c r="AC644" s="9"/>
      <c r="AE644" s="9"/>
    </row>
    <row r="645" spans="1:31" x14ac:dyDescent="0.2">
      <c r="A645" s="9"/>
      <c r="B645" s="9"/>
      <c r="C645" s="9"/>
      <c r="D645" s="9"/>
      <c r="E645" s="9"/>
      <c r="G645" s="9"/>
      <c r="I645" s="9"/>
      <c r="M645" s="9"/>
      <c r="N645" s="9"/>
      <c r="O645" s="9"/>
      <c r="Q645" s="9"/>
      <c r="S645" s="9"/>
      <c r="U645" s="9"/>
      <c r="W645" s="9"/>
      <c r="AA645" s="9"/>
      <c r="AB645" s="9"/>
      <c r="AC645" s="9"/>
      <c r="AE645" s="9"/>
    </row>
    <row r="646" spans="1:31" x14ac:dyDescent="0.2">
      <c r="A646" s="9"/>
      <c r="B646" s="9"/>
      <c r="C646" s="9"/>
      <c r="D646" s="9"/>
      <c r="E646" s="9"/>
      <c r="G646" s="9"/>
      <c r="I646" s="9"/>
      <c r="M646" s="9"/>
      <c r="N646" s="9"/>
      <c r="O646" s="9"/>
      <c r="Q646" s="9"/>
      <c r="S646" s="9"/>
      <c r="U646" s="9"/>
      <c r="W646" s="9"/>
      <c r="AA646" s="9"/>
      <c r="AB646" s="9"/>
      <c r="AC646" s="9"/>
      <c r="AE646" s="9"/>
    </row>
    <row r="647" spans="1:31" x14ac:dyDescent="0.2">
      <c r="A647" s="9"/>
      <c r="B647" s="9"/>
      <c r="C647" s="9"/>
      <c r="D647" s="9"/>
      <c r="E647" s="9"/>
      <c r="G647" s="9"/>
      <c r="I647" s="9"/>
      <c r="M647" s="9"/>
      <c r="N647" s="9"/>
      <c r="O647" s="9"/>
      <c r="Q647" s="9"/>
      <c r="S647" s="9"/>
      <c r="U647" s="9"/>
      <c r="W647" s="9"/>
      <c r="AA647" s="9"/>
      <c r="AB647" s="9"/>
      <c r="AC647" s="9"/>
      <c r="AE647" s="9"/>
    </row>
    <row r="648" spans="1:31" x14ac:dyDescent="0.2">
      <c r="A648" s="9"/>
      <c r="B648" s="9"/>
      <c r="C648" s="9"/>
      <c r="D648" s="9"/>
      <c r="E648" s="9"/>
      <c r="G648" s="9"/>
      <c r="I648" s="9"/>
      <c r="M648" s="9"/>
      <c r="N648" s="9"/>
      <c r="O648" s="9"/>
      <c r="Q648" s="9"/>
      <c r="S648" s="9"/>
      <c r="U648" s="9"/>
      <c r="W648" s="9"/>
      <c r="AA648" s="9"/>
      <c r="AB648" s="9"/>
      <c r="AC648" s="9"/>
      <c r="AE648" s="9"/>
    </row>
    <row r="649" spans="1:31" x14ac:dyDescent="0.2">
      <c r="A649" s="9"/>
      <c r="B649" s="9"/>
      <c r="C649" s="9"/>
      <c r="D649" s="9"/>
      <c r="E649" s="9"/>
      <c r="G649" s="9"/>
      <c r="I649" s="9"/>
      <c r="M649" s="9"/>
      <c r="N649" s="9"/>
      <c r="O649" s="9"/>
      <c r="Q649" s="9"/>
      <c r="S649" s="9"/>
      <c r="U649" s="9"/>
      <c r="W649" s="9"/>
      <c r="AA649" s="9"/>
      <c r="AB649" s="9"/>
      <c r="AC649" s="9"/>
      <c r="AE649" s="9"/>
    </row>
    <row r="650" spans="1:31" x14ac:dyDescent="0.2">
      <c r="A650" s="9"/>
      <c r="B650" s="9"/>
      <c r="C650" s="9"/>
      <c r="D650" s="9"/>
      <c r="E650" s="9"/>
      <c r="G650" s="9"/>
      <c r="I650" s="9"/>
      <c r="M650" s="9"/>
      <c r="N650" s="9"/>
      <c r="O650" s="9"/>
      <c r="Q650" s="9"/>
      <c r="S650" s="9"/>
      <c r="U650" s="9"/>
      <c r="W650" s="9"/>
      <c r="AA650" s="9"/>
      <c r="AB650" s="9"/>
      <c r="AC650" s="9"/>
      <c r="AE650" s="9"/>
    </row>
    <row r="651" spans="1:31" x14ac:dyDescent="0.2">
      <c r="A651" s="9"/>
      <c r="B651" s="9"/>
      <c r="C651" s="9"/>
      <c r="D651" s="9"/>
      <c r="E651" s="9"/>
      <c r="G651" s="9"/>
      <c r="I651" s="9"/>
      <c r="M651" s="9"/>
      <c r="N651" s="9"/>
      <c r="O651" s="9"/>
      <c r="Q651" s="9"/>
      <c r="S651" s="9"/>
      <c r="U651" s="9"/>
      <c r="W651" s="9"/>
      <c r="AA651" s="9"/>
      <c r="AB651" s="9"/>
      <c r="AC651" s="9"/>
      <c r="AE651" s="9"/>
    </row>
    <row r="652" spans="1:31" x14ac:dyDescent="0.2">
      <c r="A652" s="9"/>
      <c r="B652" s="9"/>
      <c r="C652" s="9"/>
      <c r="D652" s="9"/>
      <c r="E652" s="9"/>
      <c r="G652" s="9"/>
      <c r="I652" s="9"/>
      <c r="M652" s="9"/>
      <c r="N652" s="9"/>
      <c r="O652" s="9"/>
      <c r="Q652" s="9"/>
      <c r="S652" s="9"/>
      <c r="U652" s="9"/>
      <c r="W652" s="9"/>
      <c r="AA652" s="9"/>
      <c r="AB652" s="9"/>
      <c r="AC652" s="9"/>
      <c r="AE652" s="9"/>
    </row>
    <row r="653" spans="1:31" x14ac:dyDescent="0.2">
      <c r="A653" s="9"/>
      <c r="B653" s="9"/>
      <c r="C653" s="9"/>
      <c r="D653" s="9"/>
      <c r="E653" s="9"/>
      <c r="G653" s="9"/>
      <c r="I653" s="9"/>
      <c r="M653" s="9"/>
      <c r="N653" s="9"/>
      <c r="O653" s="9"/>
      <c r="Q653" s="9"/>
      <c r="S653" s="9"/>
      <c r="U653" s="9"/>
      <c r="W653" s="9"/>
      <c r="AA653" s="9"/>
      <c r="AB653" s="9"/>
      <c r="AC653" s="9"/>
      <c r="AE653" s="9"/>
    </row>
    <row r="654" spans="1:31" x14ac:dyDescent="0.2">
      <c r="A654" s="9"/>
      <c r="B654" s="9"/>
      <c r="C654" s="9"/>
      <c r="D654" s="9"/>
      <c r="E654" s="9"/>
      <c r="G654" s="9"/>
      <c r="I654" s="9"/>
      <c r="M654" s="9"/>
      <c r="N654" s="9"/>
      <c r="O654" s="9"/>
      <c r="Q654" s="9"/>
      <c r="S654" s="9"/>
      <c r="U654" s="9"/>
      <c r="W654" s="9"/>
      <c r="AA654" s="9"/>
      <c r="AB654" s="9"/>
      <c r="AC654" s="9"/>
      <c r="AE654" s="9"/>
    </row>
    <row r="655" spans="1:31" x14ac:dyDescent="0.2">
      <c r="A655" s="9"/>
      <c r="B655" s="9"/>
      <c r="C655" s="9"/>
      <c r="D655" s="9"/>
      <c r="E655" s="9"/>
      <c r="G655" s="9"/>
      <c r="I655" s="9"/>
      <c r="M655" s="9"/>
      <c r="N655" s="9"/>
      <c r="O655" s="9"/>
      <c r="Q655" s="9"/>
      <c r="S655" s="9"/>
      <c r="U655" s="9"/>
      <c r="W655" s="9"/>
      <c r="AA655" s="9"/>
      <c r="AB655" s="9"/>
      <c r="AC655" s="9"/>
      <c r="AE655" s="9"/>
    </row>
    <row r="656" spans="1:31" x14ac:dyDescent="0.2">
      <c r="A656" s="9"/>
      <c r="B656" s="9"/>
      <c r="C656" s="9"/>
      <c r="D656" s="9"/>
      <c r="E656" s="9"/>
      <c r="G656" s="9"/>
      <c r="I656" s="9"/>
      <c r="M656" s="9"/>
      <c r="N656" s="9"/>
      <c r="O656" s="9"/>
      <c r="Q656" s="9"/>
      <c r="S656" s="9"/>
      <c r="U656" s="9"/>
      <c r="W656" s="9"/>
      <c r="AA656" s="9"/>
      <c r="AB656" s="9"/>
      <c r="AC656" s="9"/>
      <c r="AE656" s="9"/>
    </row>
    <row r="657" spans="1:31" x14ac:dyDescent="0.2">
      <c r="A657" s="9"/>
      <c r="B657" s="9"/>
      <c r="C657" s="9"/>
      <c r="D657" s="9"/>
      <c r="E657" s="9"/>
      <c r="G657" s="9"/>
      <c r="I657" s="9"/>
      <c r="M657" s="9"/>
      <c r="N657" s="9"/>
      <c r="O657" s="9"/>
      <c r="Q657" s="9"/>
      <c r="S657" s="9"/>
      <c r="U657" s="9"/>
      <c r="W657" s="9"/>
      <c r="AA657" s="9"/>
      <c r="AB657" s="9"/>
      <c r="AC657" s="9"/>
      <c r="AE657" s="9"/>
    </row>
    <row r="658" spans="1:31" x14ac:dyDescent="0.2">
      <c r="A658" s="9"/>
      <c r="B658" s="9"/>
      <c r="C658" s="9"/>
      <c r="D658" s="9"/>
      <c r="E658" s="9"/>
      <c r="G658" s="9"/>
      <c r="I658" s="9"/>
      <c r="M658" s="9"/>
      <c r="N658" s="9"/>
      <c r="O658" s="9"/>
      <c r="Q658" s="9"/>
      <c r="S658" s="9"/>
      <c r="U658" s="9"/>
      <c r="W658" s="9"/>
      <c r="AA658" s="9"/>
      <c r="AB658" s="9"/>
      <c r="AC658" s="9"/>
      <c r="AE658" s="9"/>
    </row>
    <row r="659" spans="1:31" x14ac:dyDescent="0.2">
      <c r="A659" s="9"/>
      <c r="B659" s="9"/>
      <c r="C659" s="9"/>
      <c r="D659" s="9"/>
      <c r="E659" s="9"/>
      <c r="G659" s="9"/>
      <c r="I659" s="9"/>
      <c r="M659" s="9"/>
      <c r="N659" s="9"/>
      <c r="O659" s="9"/>
      <c r="Q659" s="9"/>
      <c r="S659" s="9"/>
      <c r="U659" s="9"/>
      <c r="W659" s="9"/>
      <c r="AA659" s="9"/>
      <c r="AB659" s="9"/>
      <c r="AC659" s="9"/>
      <c r="AE659" s="9"/>
    </row>
    <row r="660" spans="1:31" x14ac:dyDescent="0.2">
      <c r="A660" s="9"/>
      <c r="B660" s="9"/>
      <c r="C660" s="9"/>
      <c r="D660" s="9"/>
      <c r="E660" s="9"/>
      <c r="G660" s="9"/>
      <c r="I660" s="9"/>
      <c r="M660" s="9"/>
      <c r="N660" s="9"/>
      <c r="O660" s="9"/>
      <c r="Q660" s="9"/>
      <c r="S660" s="9"/>
      <c r="U660" s="9"/>
      <c r="W660" s="9"/>
      <c r="AA660" s="9"/>
      <c r="AB660" s="9"/>
      <c r="AC660" s="9"/>
      <c r="AE660" s="9"/>
    </row>
    <row r="661" spans="1:31" x14ac:dyDescent="0.2">
      <c r="A661" s="9"/>
      <c r="B661" s="9"/>
      <c r="C661" s="9"/>
      <c r="D661" s="9"/>
      <c r="E661" s="9"/>
      <c r="G661" s="9"/>
      <c r="I661" s="9"/>
      <c r="M661" s="9"/>
      <c r="N661" s="9"/>
      <c r="O661" s="9"/>
      <c r="Q661" s="9"/>
      <c r="S661" s="9"/>
      <c r="U661" s="9"/>
      <c r="W661" s="9"/>
      <c r="AA661" s="9"/>
      <c r="AB661" s="9"/>
      <c r="AC661" s="9"/>
      <c r="AE661" s="9"/>
    </row>
    <row r="662" spans="1:31" x14ac:dyDescent="0.2">
      <c r="A662" s="9"/>
      <c r="B662" s="9"/>
      <c r="C662" s="9"/>
      <c r="D662" s="9"/>
      <c r="E662" s="9"/>
      <c r="G662" s="9"/>
      <c r="I662" s="9"/>
      <c r="M662" s="9"/>
      <c r="N662" s="9"/>
      <c r="O662" s="9"/>
      <c r="Q662" s="9"/>
      <c r="S662" s="9"/>
      <c r="U662" s="9"/>
      <c r="W662" s="9"/>
      <c r="AA662" s="9"/>
      <c r="AB662" s="9"/>
      <c r="AC662" s="9"/>
      <c r="AE662" s="9"/>
    </row>
    <row r="663" spans="1:31" x14ac:dyDescent="0.2">
      <c r="A663" s="9"/>
      <c r="B663" s="9"/>
      <c r="C663" s="9"/>
      <c r="D663" s="9"/>
      <c r="E663" s="9"/>
      <c r="G663" s="9"/>
      <c r="I663" s="9"/>
      <c r="M663" s="9"/>
      <c r="N663" s="9"/>
      <c r="O663" s="9"/>
      <c r="Q663" s="9"/>
      <c r="S663" s="9"/>
      <c r="U663" s="9"/>
      <c r="W663" s="9"/>
      <c r="AA663" s="9"/>
      <c r="AB663" s="9"/>
      <c r="AC663" s="9"/>
      <c r="AE663" s="9"/>
    </row>
    <row r="664" spans="1:31" x14ac:dyDescent="0.2">
      <c r="A664" s="9"/>
      <c r="B664" s="9"/>
      <c r="C664" s="9"/>
      <c r="D664" s="9"/>
      <c r="E664" s="9"/>
      <c r="G664" s="9"/>
      <c r="I664" s="9"/>
      <c r="M664" s="9"/>
      <c r="N664" s="9"/>
      <c r="O664" s="9"/>
      <c r="Q664" s="9"/>
      <c r="S664" s="9"/>
      <c r="U664" s="9"/>
      <c r="W664" s="9"/>
      <c r="AA664" s="9"/>
      <c r="AB664" s="9"/>
      <c r="AC664" s="9"/>
      <c r="AE664" s="9"/>
    </row>
    <row r="665" spans="1:31" x14ac:dyDescent="0.2">
      <c r="A665" s="9"/>
      <c r="B665" s="9"/>
      <c r="C665" s="9"/>
      <c r="D665" s="9"/>
      <c r="E665" s="9"/>
      <c r="G665" s="9"/>
      <c r="I665" s="9"/>
      <c r="M665" s="9"/>
      <c r="N665" s="9"/>
      <c r="O665" s="9"/>
      <c r="Q665" s="9"/>
      <c r="S665" s="9"/>
      <c r="U665" s="9"/>
      <c r="W665" s="9"/>
      <c r="AA665" s="9"/>
      <c r="AB665" s="9"/>
      <c r="AC665" s="9"/>
      <c r="AE665" s="9"/>
    </row>
    <row r="666" spans="1:31" x14ac:dyDescent="0.2">
      <c r="A666" s="9"/>
      <c r="B666" s="9"/>
      <c r="C666" s="9"/>
      <c r="D666" s="9"/>
      <c r="E666" s="9"/>
      <c r="G666" s="9"/>
      <c r="I666" s="9"/>
      <c r="M666" s="9"/>
      <c r="N666" s="9"/>
      <c r="O666" s="9"/>
      <c r="Q666" s="9"/>
      <c r="S666" s="9"/>
      <c r="U666" s="9"/>
      <c r="W666" s="9"/>
      <c r="AA666" s="9"/>
      <c r="AB666" s="9"/>
      <c r="AC666" s="9"/>
      <c r="AE666" s="9"/>
    </row>
    <row r="667" spans="1:31" x14ac:dyDescent="0.2">
      <c r="A667" s="9"/>
      <c r="B667" s="9"/>
      <c r="C667" s="9"/>
      <c r="D667" s="9"/>
      <c r="E667" s="9"/>
      <c r="G667" s="9"/>
      <c r="I667" s="9"/>
      <c r="M667" s="9"/>
      <c r="N667" s="9"/>
      <c r="O667" s="9"/>
      <c r="Q667" s="9"/>
      <c r="S667" s="9"/>
      <c r="U667" s="9"/>
      <c r="W667" s="9"/>
      <c r="AA667" s="9"/>
      <c r="AB667" s="9"/>
      <c r="AC667" s="9"/>
      <c r="AE667" s="9"/>
    </row>
    <row r="668" spans="1:31" x14ac:dyDescent="0.2">
      <c r="A668" s="9"/>
      <c r="B668" s="9"/>
      <c r="C668" s="9"/>
      <c r="D668" s="9"/>
      <c r="E668" s="9"/>
      <c r="G668" s="9"/>
      <c r="I668" s="9"/>
      <c r="M668" s="9"/>
      <c r="N668" s="9"/>
      <c r="O668" s="9"/>
      <c r="Q668" s="9"/>
      <c r="S668" s="9"/>
      <c r="U668" s="9"/>
      <c r="W668" s="9"/>
      <c r="AA668" s="9"/>
      <c r="AB668" s="9"/>
      <c r="AC668" s="9"/>
      <c r="AE668" s="9"/>
    </row>
  </sheetData>
  <sortState ref="A7:AG504">
    <sortCondition ref="A7:A504"/>
    <sortCondition ref="E7:E504"/>
    <sortCondition ref="B7:B504"/>
  </sortState>
  <mergeCells count="1">
    <mergeCell ref="H4:I4"/>
  </mergeCells>
  <conditionalFormatting sqref="I7:I8 K7:K8 S7:S8 W7:W8 Y7:Y8 AG7:AG8 AG10:AG22 Y10:Y22 W10:W22 S10:S22 K10:K22 I10:I22 S133:S236 AG133:AG236 Y261 W261 K261 I261 AG261 S261 I245 K245 W245 Y245 AG238:AG245 S238:S245 I311:I342 K311:K342 W311:W342 Y311:Y342 I350:I413 K350:K413 S311:S413 W350:W413 Y350:Y413 AG311:AG413 I433:I442 K433:K442 S433:S442 W433:W442 Y433:Y442 AG433:AG442 AG525:AG606 Y525:Y606 W525:W606 S525:S606 K525:K606 I525:I606">
    <cfRule type="expression" dxfId="494" priority="439">
      <formula>AND(H7=0,(I7&gt;0))</formula>
    </cfRule>
    <cfRule type="expression" dxfId="493" priority="440">
      <formula>((I7-H7)/H7)&gt;0.05</formula>
    </cfRule>
  </conditionalFormatting>
  <conditionalFormatting sqref="O7:Q8 AC7:AE8 AC10:AE22 O10:Q22 AC261:AE261 O261:Q261 AC245:AE245 O245 O311:Q342 AC311:AE342 O350:Q413 AC350:AE413 O433:Q442 AC433:AE442 AC525:AE606 O525:Q606">
    <cfRule type="expression" dxfId="492" priority="437">
      <formula>AND(L7=0,(O7&gt;0))</formula>
    </cfRule>
    <cfRule type="expression" dxfId="491" priority="438">
      <formula>((O7-L7)/L7)&gt;0.05</formula>
    </cfRule>
  </conditionalFormatting>
  <conditionalFormatting sqref="I33:I46 I23:I31">
    <cfRule type="expression" dxfId="490" priority="435">
      <formula>AND(H23=0,(I23&gt;0))</formula>
    </cfRule>
    <cfRule type="expression" dxfId="489" priority="436">
      <formula>((I23-H23)/H23)&gt;0.05</formula>
    </cfRule>
  </conditionalFormatting>
  <conditionalFormatting sqref="K33:K46 K23:K31">
    <cfRule type="expression" dxfId="488" priority="433">
      <formula>AND(J23=0,(K23&gt;0))</formula>
    </cfRule>
    <cfRule type="expression" dxfId="487" priority="434">
      <formula>((K23-J23)/J23)&gt;0.05</formula>
    </cfRule>
  </conditionalFormatting>
  <conditionalFormatting sqref="S33:S46 S23:S31">
    <cfRule type="expression" dxfId="486" priority="431">
      <formula>AND(R23=0,(S23&gt;0))</formula>
    </cfRule>
    <cfRule type="expression" dxfId="485" priority="432">
      <formula>((S23-R23)/R23)&gt;0.05</formula>
    </cfRule>
  </conditionalFormatting>
  <conditionalFormatting sqref="W33:W46 W23:W31">
    <cfRule type="expression" dxfId="484" priority="429">
      <formula>AND(V23=0,(W23&gt;0))</formula>
    </cfRule>
    <cfRule type="expression" dxfId="483" priority="430">
      <formula>((W23-V23)/V23)&gt;0.05</formula>
    </cfRule>
  </conditionalFormatting>
  <conditionalFormatting sqref="Y33:Y46 Y23:Y31">
    <cfRule type="expression" dxfId="482" priority="427">
      <formula>AND(X23=0,(Y23&gt;0))</formula>
    </cfRule>
    <cfRule type="expression" dxfId="481" priority="428">
      <formula>((Y23-X23)/X23)&gt;0.05</formula>
    </cfRule>
  </conditionalFormatting>
  <conditionalFormatting sqref="AG33:AG46 AG23:AG31">
    <cfRule type="expression" dxfId="480" priority="425">
      <formula>AND(AF23=0,(AG23&gt;0))</formula>
    </cfRule>
    <cfRule type="expression" dxfId="479" priority="426">
      <formula>((AG23-AF23)/AF23)&gt;0.05</formula>
    </cfRule>
  </conditionalFormatting>
  <conditionalFormatting sqref="O33:O46 O23:O31">
    <cfRule type="expression" dxfId="478" priority="423">
      <formula>AND(L23=0,(O23&gt;0))</formula>
    </cfRule>
    <cfRule type="expression" dxfId="477" priority="424">
      <formula>((O23-L23)/L23)&gt;0.05</formula>
    </cfRule>
  </conditionalFormatting>
  <conditionalFormatting sqref="P33:P46 P23:P31">
    <cfRule type="expression" dxfId="476" priority="421">
      <formula>AND(M23=0,(P23&gt;0))</formula>
    </cfRule>
    <cfRule type="expression" dxfId="475" priority="422">
      <formula>((P23-M23)/M23)&gt;0.05</formula>
    </cfRule>
  </conditionalFormatting>
  <conditionalFormatting sqref="Q33:Q46 Q23:Q31">
    <cfRule type="expression" dxfId="474" priority="419">
      <formula>AND(N23=0,(Q23&gt;0))</formula>
    </cfRule>
    <cfRule type="expression" dxfId="473" priority="420">
      <formula>((Q23-N23)/N23)&gt;0.05</formula>
    </cfRule>
  </conditionalFormatting>
  <conditionalFormatting sqref="AC33:AC46 AC23:AC31">
    <cfRule type="expression" dxfId="472" priority="417">
      <formula>AND(Z23=0,(AC23&gt;0))</formula>
    </cfRule>
    <cfRule type="expression" dxfId="471" priority="418">
      <formula>((AC23-Z23)/Z23)&gt;0.05</formula>
    </cfRule>
  </conditionalFormatting>
  <conditionalFormatting sqref="AD33:AD46 AD23:AD31">
    <cfRule type="expression" dxfId="470" priority="415">
      <formula>AND(AA23=0,(AD23&gt;0))</formula>
    </cfRule>
    <cfRule type="expression" dxfId="469" priority="416">
      <formula>((AD23-AA23)/AA23)&gt;0.05</formula>
    </cfRule>
  </conditionalFormatting>
  <conditionalFormatting sqref="AE33:AE46 AE23:AE31">
    <cfRule type="expression" dxfId="468" priority="413">
      <formula>AND(AB23=0,(AE23&gt;0))</formula>
    </cfRule>
    <cfRule type="expression" dxfId="467" priority="414">
      <formula>((AE23-AB23)/AB23)&gt;0.05</formula>
    </cfRule>
  </conditionalFormatting>
  <conditionalFormatting sqref="I32">
    <cfRule type="expression" dxfId="466" priority="411">
      <formula>AND(H32=0,(I32&gt;0))</formula>
    </cfRule>
    <cfRule type="expression" dxfId="465" priority="412">
      <formula>((I32-H32)/H32)&gt;0.05</formula>
    </cfRule>
  </conditionalFormatting>
  <conditionalFormatting sqref="K32">
    <cfRule type="expression" dxfId="464" priority="409">
      <formula>AND(J32=0,(K32&gt;0))</formula>
    </cfRule>
    <cfRule type="expression" dxfId="463" priority="410">
      <formula>((K32-J32)/J32)&gt;0.05</formula>
    </cfRule>
  </conditionalFormatting>
  <conditionalFormatting sqref="S32">
    <cfRule type="expression" dxfId="462" priority="407">
      <formula>AND(R32=0,(S32&gt;0))</formula>
    </cfRule>
    <cfRule type="expression" dxfId="461" priority="408">
      <formula>((S32-R32)/R32)&gt;0.05</formula>
    </cfRule>
  </conditionalFormatting>
  <conditionalFormatting sqref="W32">
    <cfRule type="expression" dxfId="460" priority="405">
      <formula>AND(V32=0,(W32&gt;0))</formula>
    </cfRule>
    <cfRule type="expression" dxfId="459" priority="406">
      <formula>((W32-V32)/V32)&gt;0.05</formula>
    </cfRule>
  </conditionalFormatting>
  <conditionalFormatting sqref="Y32">
    <cfRule type="expression" dxfId="458" priority="403">
      <formula>AND(X32=0,(Y32&gt;0))</formula>
    </cfRule>
    <cfRule type="expression" dxfId="457" priority="404">
      <formula>((Y32-X32)/X32)&gt;0.05</formula>
    </cfRule>
  </conditionalFormatting>
  <conditionalFormatting sqref="AG32">
    <cfRule type="expression" dxfId="456" priority="401">
      <formula>AND(AF32=0,(AG32&gt;0))</formula>
    </cfRule>
    <cfRule type="expression" dxfId="455" priority="402">
      <formula>((AG32-AF32)/AF32)&gt;0.05</formula>
    </cfRule>
  </conditionalFormatting>
  <conditionalFormatting sqref="O32">
    <cfRule type="expression" dxfId="454" priority="399">
      <formula>AND(L32=0,(O32&gt;0))</formula>
    </cfRule>
    <cfRule type="expression" dxfId="453" priority="400">
      <formula>((O32-L32)/L32)&gt;0.05</formula>
    </cfRule>
  </conditionalFormatting>
  <conditionalFormatting sqref="P32">
    <cfRule type="expression" dxfId="452" priority="397">
      <formula>AND(M32=0,(P32&gt;0))</formula>
    </cfRule>
    <cfRule type="expression" dxfId="451" priority="398">
      <formula>((P32-M32)/M32)&gt;0.05</formula>
    </cfRule>
  </conditionalFormatting>
  <conditionalFormatting sqref="Q32">
    <cfRule type="expression" dxfId="450" priority="395">
      <formula>AND(N32=0,(Q32&gt;0))</formula>
    </cfRule>
    <cfRule type="expression" dxfId="449" priority="396">
      <formula>((Q32-N32)/N32)&gt;0.05</formula>
    </cfRule>
  </conditionalFormatting>
  <conditionalFormatting sqref="AC32">
    <cfRule type="expression" dxfId="448" priority="393">
      <formula>AND(Z32=0,(AC32&gt;0))</formula>
    </cfRule>
    <cfRule type="expression" dxfId="447" priority="394">
      <formula>((AC32-Z32)/Z32)&gt;0.05</formula>
    </cfRule>
  </conditionalFormatting>
  <conditionalFormatting sqref="AD32">
    <cfRule type="expression" dxfId="446" priority="391">
      <formula>AND(AA32=0,(AD32&gt;0))</formula>
    </cfRule>
    <cfRule type="expression" dxfId="445" priority="392">
      <formula>((AD32-AA32)/AA32)&gt;0.05</formula>
    </cfRule>
  </conditionalFormatting>
  <conditionalFormatting sqref="AE32">
    <cfRule type="expression" dxfId="444" priority="389">
      <formula>AND(AB32=0,(AE32&gt;0))</formula>
    </cfRule>
    <cfRule type="expression" dxfId="443" priority="390">
      <formula>((AE32-AB32)/AB32)&gt;0.05</formula>
    </cfRule>
  </conditionalFormatting>
  <conditionalFormatting sqref="I47">
    <cfRule type="expression" dxfId="442" priority="387">
      <formula>AND(H47=0,(I47&gt;0))</formula>
    </cfRule>
    <cfRule type="expression" dxfId="441" priority="388">
      <formula>((I47-H47)/H47)&gt;0.05</formula>
    </cfRule>
  </conditionalFormatting>
  <conditionalFormatting sqref="K47">
    <cfRule type="expression" dxfId="440" priority="385">
      <formula>AND(J47=0,(K47&gt;0))</formula>
    </cfRule>
    <cfRule type="expression" dxfId="439" priority="386">
      <formula>((K47-J47)/J47)&gt;0.05</formula>
    </cfRule>
  </conditionalFormatting>
  <conditionalFormatting sqref="S47">
    <cfRule type="expression" dxfId="438" priority="383">
      <formula>AND(R47=0,(S47&gt;0))</formula>
    </cfRule>
    <cfRule type="expression" dxfId="437" priority="384">
      <formula>((S47-R47)/R47)&gt;0.05</formula>
    </cfRule>
  </conditionalFormatting>
  <conditionalFormatting sqref="W47">
    <cfRule type="expression" dxfId="436" priority="381">
      <formula>AND(V47=0,(W47&gt;0))</formula>
    </cfRule>
    <cfRule type="expression" dxfId="435" priority="382">
      <formula>((W47-V47)/V47)&gt;0.05</formula>
    </cfRule>
  </conditionalFormatting>
  <conditionalFormatting sqref="Y47">
    <cfRule type="expression" dxfId="434" priority="379">
      <formula>AND(X47=0,(Y47&gt;0))</formula>
    </cfRule>
    <cfRule type="expression" dxfId="433" priority="380">
      <formula>((Y47-X47)/X47)&gt;0.05</formula>
    </cfRule>
  </conditionalFormatting>
  <conditionalFormatting sqref="AG47">
    <cfRule type="expression" dxfId="432" priority="377">
      <formula>AND(AF47=0,(AG47&gt;0))</formula>
    </cfRule>
    <cfRule type="expression" dxfId="431" priority="378">
      <formula>((AG47-AF47)/AF47)&gt;0.05</formula>
    </cfRule>
  </conditionalFormatting>
  <conditionalFormatting sqref="O47">
    <cfRule type="expression" dxfId="430" priority="375">
      <formula>AND(L47=0,(O47&gt;0))</formula>
    </cfRule>
    <cfRule type="expression" dxfId="429" priority="376">
      <formula>((O47-L47)/L47)&gt;0.05</formula>
    </cfRule>
  </conditionalFormatting>
  <conditionalFormatting sqref="P47">
    <cfRule type="expression" dxfId="428" priority="373">
      <formula>AND(M47=0,(P47&gt;0))</formula>
    </cfRule>
    <cfRule type="expression" dxfId="427" priority="374">
      <formula>((P47-M47)/M47)&gt;0.05</formula>
    </cfRule>
  </conditionalFormatting>
  <conditionalFormatting sqref="Q47">
    <cfRule type="expression" dxfId="426" priority="371">
      <formula>AND(N47=0,(Q47&gt;0))</formula>
    </cfRule>
    <cfRule type="expression" dxfId="425" priority="372">
      <formula>((Q47-N47)/N47)&gt;0.05</formula>
    </cfRule>
  </conditionalFormatting>
  <conditionalFormatting sqref="AC47">
    <cfRule type="expression" dxfId="424" priority="369">
      <formula>AND(Z47=0,(AC47&gt;0))</formula>
    </cfRule>
    <cfRule type="expression" dxfId="423" priority="370">
      <formula>((AC47-Z47)/Z47)&gt;0.05</formula>
    </cfRule>
  </conditionalFormatting>
  <conditionalFormatting sqref="AD47">
    <cfRule type="expression" dxfId="422" priority="367">
      <formula>AND(AA47=0,(AD47&gt;0))</formula>
    </cfRule>
    <cfRule type="expression" dxfId="421" priority="368">
      <formula>((AD47-AA47)/AA47)&gt;0.05</formula>
    </cfRule>
  </conditionalFormatting>
  <conditionalFormatting sqref="AE47">
    <cfRule type="expression" dxfId="420" priority="365">
      <formula>AND(AB47=0,(AE47&gt;0))</formula>
    </cfRule>
    <cfRule type="expression" dxfId="419" priority="366">
      <formula>((AE47-AB47)/AB47)&gt;0.05</formula>
    </cfRule>
  </conditionalFormatting>
  <conditionalFormatting sqref="I58:I62 I48:I56 I64:I71">
    <cfRule type="expression" dxfId="418" priority="357">
      <formula>AND(H48=0,(I48&gt;0))</formula>
    </cfRule>
    <cfRule type="expression" dxfId="417" priority="358">
      <formula>((I48-H48)/H48)&gt;0.05</formula>
    </cfRule>
  </conditionalFormatting>
  <conditionalFormatting sqref="K58:K62 K48:K56 K64:K71">
    <cfRule type="expression" dxfId="416" priority="355">
      <formula>AND(J48=0,(K48&gt;0))</formula>
    </cfRule>
    <cfRule type="expression" dxfId="415" priority="356">
      <formula>((K48-J48)/J48)&gt;0.05</formula>
    </cfRule>
  </conditionalFormatting>
  <conditionalFormatting sqref="S58:S71 S48:S56">
    <cfRule type="expression" dxfId="414" priority="353">
      <formula>AND(R48=0,(S48&gt;0))</formula>
    </cfRule>
    <cfRule type="expression" dxfId="413" priority="354">
      <formula>((S48-R48)/R48)&gt;0.05</formula>
    </cfRule>
  </conditionalFormatting>
  <conditionalFormatting sqref="W58:W71 W48:W56">
    <cfRule type="expression" dxfId="412" priority="351">
      <formula>AND(V48=0,(W48&gt;0))</formula>
    </cfRule>
    <cfRule type="expression" dxfId="411" priority="352">
      <formula>((W48-V48)/V48)&gt;0.05</formula>
    </cfRule>
  </conditionalFormatting>
  <conditionalFormatting sqref="Y58:Y71 Y48:Y56">
    <cfRule type="expression" dxfId="410" priority="349">
      <formula>AND(X48=0,(Y48&gt;0))</formula>
    </cfRule>
    <cfRule type="expression" dxfId="409" priority="350">
      <formula>((Y48-X48)/X48)&gt;0.05</formula>
    </cfRule>
  </conditionalFormatting>
  <conditionalFormatting sqref="AG58:AG71 AG48:AG56">
    <cfRule type="expression" dxfId="408" priority="347">
      <formula>AND(AF48=0,(AG48&gt;0))</formula>
    </cfRule>
    <cfRule type="expression" dxfId="407" priority="348">
      <formula>((AG48-AF48)/AF48)&gt;0.05</formula>
    </cfRule>
  </conditionalFormatting>
  <conditionalFormatting sqref="O58:O62 O48:O56 O64:O71">
    <cfRule type="expression" dxfId="406" priority="345">
      <formula>AND(L48=0,(O48&gt;0))</formula>
    </cfRule>
    <cfRule type="expression" dxfId="405" priority="346">
      <formula>((O48-L48)/L48)&gt;0.05</formula>
    </cfRule>
  </conditionalFormatting>
  <conditionalFormatting sqref="P58:P71 P48:P56">
    <cfRule type="expression" dxfId="404" priority="343">
      <formula>AND(M48=0,(P48&gt;0))</formula>
    </cfRule>
    <cfRule type="expression" dxfId="403" priority="344">
      <formula>((P48-M48)/M48)&gt;0.05</formula>
    </cfRule>
  </conditionalFormatting>
  <conditionalFormatting sqref="Q58:Q71 Q48:Q56">
    <cfRule type="expression" dxfId="402" priority="341">
      <formula>AND(N48=0,(Q48&gt;0))</formula>
    </cfRule>
    <cfRule type="expression" dxfId="401" priority="342">
      <formula>((Q48-N48)/N48)&gt;0.05</formula>
    </cfRule>
  </conditionalFormatting>
  <conditionalFormatting sqref="AC58:AC71 AC48:AC56">
    <cfRule type="expression" dxfId="400" priority="339">
      <formula>AND(Z48=0,(AC48&gt;0))</formula>
    </cfRule>
    <cfRule type="expression" dxfId="399" priority="340">
      <formula>((AC48-Z48)/Z48)&gt;0.05</formula>
    </cfRule>
  </conditionalFormatting>
  <conditionalFormatting sqref="AD58:AD71 AD48:AD56">
    <cfRule type="expression" dxfId="398" priority="337">
      <formula>AND(AA48=0,(AD48&gt;0))</formula>
    </cfRule>
    <cfRule type="expression" dxfId="397" priority="338">
      <formula>((AD48-AA48)/AA48)&gt;0.05</formula>
    </cfRule>
  </conditionalFormatting>
  <conditionalFormatting sqref="AE58:AE71 AE48:AE56">
    <cfRule type="expression" dxfId="396" priority="335">
      <formula>AND(AB48=0,(AE48&gt;0))</formula>
    </cfRule>
    <cfRule type="expression" dxfId="395" priority="336">
      <formula>((AE48-AB48)/AB48)&gt;0.05</formula>
    </cfRule>
  </conditionalFormatting>
  <conditionalFormatting sqref="I57">
    <cfRule type="expression" dxfId="394" priority="333">
      <formula>AND(H57=0,(I57&gt;0))</formula>
    </cfRule>
    <cfRule type="expression" dxfId="393" priority="334">
      <formula>((I57-H57)/H57)&gt;0.05</formula>
    </cfRule>
  </conditionalFormatting>
  <conditionalFormatting sqref="K57">
    <cfRule type="expression" dxfId="392" priority="331">
      <formula>AND(J57=0,(K57&gt;0))</formula>
    </cfRule>
    <cfRule type="expression" dxfId="391" priority="332">
      <formula>((K57-J57)/J57)&gt;0.05</formula>
    </cfRule>
  </conditionalFormatting>
  <conditionalFormatting sqref="S57">
    <cfRule type="expression" dxfId="390" priority="329">
      <formula>AND(R57=0,(S57&gt;0))</formula>
    </cfRule>
    <cfRule type="expression" dxfId="389" priority="330">
      <formula>((S57-R57)/R57)&gt;0.05</formula>
    </cfRule>
  </conditionalFormatting>
  <conditionalFormatting sqref="W57">
    <cfRule type="expression" dxfId="388" priority="327">
      <formula>AND(V57=0,(W57&gt;0))</formula>
    </cfRule>
    <cfRule type="expression" dxfId="387" priority="328">
      <formula>((W57-V57)/V57)&gt;0.05</formula>
    </cfRule>
  </conditionalFormatting>
  <conditionalFormatting sqref="Y57">
    <cfRule type="expression" dxfId="386" priority="325">
      <formula>AND(X57=0,(Y57&gt;0))</formula>
    </cfRule>
    <cfRule type="expression" dxfId="385" priority="326">
      <formula>((Y57-X57)/X57)&gt;0.05</formula>
    </cfRule>
  </conditionalFormatting>
  <conditionalFormatting sqref="AG57">
    <cfRule type="expression" dxfId="384" priority="323">
      <formula>AND(AF57=0,(AG57&gt;0))</formula>
    </cfRule>
    <cfRule type="expression" dxfId="383" priority="324">
      <formula>((AG57-AF57)/AF57)&gt;0.05</formula>
    </cfRule>
  </conditionalFormatting>
  <conditionalFormatting sqref="O57">
    <cfRule type="expression" dxfId="382" priority="321">
      <formula>AND(L57=0,(O57&gt;0))</formula>
    </cfRule>
    <cfRule type="expression" dxfId="381" priority="322">
      <formula>((O57-L57)/L57)&gt;0.05</formula>
    </cfRule>
  </conditionalFormatting>
  <conditionalFormatting sqref="P57">
    <cfRule type="expression" dxfId="380" priority="319">
      <formula>AND(M57=0,(P57&gt;0))</formula>
    </cfRule>
    <cfRule type="expression" dxfId="379" priority="320">
      <formula>((P57-M57)/M57)&gt;0.05</formula>
    </cfRule>
  </conditionalFormatting>
  <conditionalFormatting sqref="Q57">
    <cfRule type="expression" dxfId="378" priority="317">
      <formula>AND(N57=0,(Q57&gt;0))</formula>
    </cfRule>
    <cfRule type="expression" dxfId="377" priority="318">
      <formula>((Q57-N57)/N57)&gt;0.05</formula>
    </cfRule>
  </conditionalFormatting>
  <conditionalFormatting sqref="AC57">
    <cfRule type="expression" dxfId="376" priority="315">
      <formula>AND(Z57=0,(AC57&gt;0))</formula>
    </cfRule>
    <cfRule type="expression" dxfId="375" priority="316">
      <formula>((AC57-Z57)/Z57)&gt;0.05</formula>
    </cfRule>
  </conditionalFormatting>
  <conditionalFormatting sqref="AD57">
    <cfRule type="expression" dxfId="374" priority="313">
      <formula>AND(AA57=0,(AD57&gt;0))</formula>
    </cfRule>
    <cfRule type="expression" dxfId="373" priority="314">
      <formula>((AD57-AA57)/AA57)&gt;0.05</formula>
    </cfRule>
  </conditionalFormatting>
  <conditionalFormatting sqref="AE57">
    <cfRule type="expression" dxfId="372" priority="311">
      <formula>AND(AB57=0,(AE57&gt;0))</formula>
    </cfRule>
    <cfRule type="expression" dxfId="371" priority="312">
      <formula>((AE57-AB57)/AB57)&gt;0.05</formula>
    </cfRule>
  </conditionalFormatting>
  <conditionalFormatting sqref="I72">
    <cfRule type="expression" dxfId="370" priority="309">
      <formula>AND(H72=0,(I72&gt;0))</formula>
    </cfRule>
    <cfRule type="expression" dxfId="369" priority="310">
      <formula>((I72-H72)/H72)&gt;0.05</formula>
    </cfRule>
  </conditionalFormatting>
  <conditionalFormatting sqref="K72">
    <cfRule type="expression" dxfId="368" priority="307">
      <formula>AND(J72=0,(K72&gt;0))</formula>
    </cfRule>
    <cfRule type="expression" dxfId="367" priority="308">
      <formula>((K72-J72)/J72)&gt;0.05</formula>
    </cfRule>
  </conditionalFormatting>
  <conditionalFormatting sqref="S72">
    <cfRule type="expression" dxfId="366" priority="305">
      <formula>AND(R72=0,(S72&gt;0))</formula>
    </cfRule>
    <cfRule type="expression" dxfId="365" priority="306">
      <formula>((S72-R72)/R72)&gt;0.05</formula>
    </cfRule>
  </conditionalFormatting>
  <conditionalFormatting sqref="W72">
    <cfRule type="expression" dxfId="364" priority="303">
      <formula>AND(V72=0,(W72&gt;0))</formula>
    </cfRule>
    <cfRule type="expression" dxfId="363" priority="304">
      <formula>((W72-V72)/V72)&gt;0.05</formula>
    </cfRule>
  </conditionalFormatting>
  <conditionalFormatting sqref="Y72">
    <cfRule type="expression" dxfId="362" priority="301">
      <formula>AND(X72=0,(Y72&gt;0))</formula>
    </cfRule>
    <cfRule type="expression" dxfId="361" priority="302">
      <formula>((Y72-X72)/X72)&gt;0.05</formula>
    </cfRule>
  </conditionalFormatting>
  <conditionalFormatting sqref="AG72">
    <cfRule type="expression" dxfId="360" priority="299">
      <formula>AND(AF72=0,(AG72&gt;0))</formula>
    </cfRule>
    <cfRule type="expression" dxfId="359" priority="300">
      <formula>((AG72-AF72)/AF72)&gt;0.05</formula>
    </cfRule>
  </conditionalFormatting>
  <conditionalFormatting sqref="O72">
    <cfRule type="expression" dxfId="358" priority="297">
      <formula>AND(L72=0,(O72&gt;0))</formula>
    </cfRule>
    <cfRule type="expression" dxfId="357" priority="298">
      <formula>((O72-L72)/L72)&gt;0.05</formula>
    </cfRule>
  </conditionalFormatting>
  <conditionalFormatting sqref="P72">
    <cfRule type="expression" dxfId="356" priority="295">
      <formula>AND(M72=0,(P72&gt;0))</formula>
    </cfRule>
    <cfRule type="expression" dxfId="355" priority="296">
      <formula>((P72-M72)/M72)&gt;0.05</formula>
    </cfRule>
  </conditionalFormatting>
  <conditionalFormatting sqref="Q72">
    <cfRule type="expression" dxfId="354" priority="293">
      <formula>AND(N72=0,(Q72&gt;0))</formula>
    </cfRule>
    <cfRule type="expression" dxfId="353" priority="294">
      <formula>((Q72-N72)/N72)&gt;0.05</formula>
    </cfRule>
  </conditionalFormatting>
  <conditionalFormatting sqref="AC72">
    <cfRule type="expression" dxfId="352" priority="291">
      <formula>AND(Z72=0,(AC72&gt;0))</formula>
    </cfRule>
    <cfRule type="expression" dxfId="351" priority="292">
      <formula>((AC72-Z72)/Z72)&gt;0.05</formula>
    </cfRule>
  </conditionalFormatting>
  <conditionalFormatting sqref="AD72">
    <cfRule type="expression" dxfId="350" priority="289">
      <formula>AND(AA72=0,(AD72&gt;0))</formula>
    </cfRule>
    <cfRule type="expression" dxfId="349" priority="290">
      <formula>((AD72-AA72)/AA72)&gt;0.05</formula>
    </cfRule>
  </conditionalFormatting>
  <conditionalFormatting sqref="AE72">
    <cfRule type="expression" dxfId="348" priority="287">
      <formula>AND(AB72=0,(AE72&gt;0))</formula>
    </cfRule>
    <cfRule type="expression" dxfId="347" priority="288">
      <formula>((AE72-AB72)/AB72)&gt;0.05</formula>
    </cfRule>
  </conditionalFormatting>
  <conditionalFormatting sqref="I73:I76 I78:I81">
    <cfRule type="expression" dxfId="346" priority="285">
      <formula>AND(H73=0,(I73&gt;0))</formula>
    </cfRule>
    <cfRule type="expression" dxfId="345" priority="286">
      <formula>((I73-H73)/H73)&gt;0.05</formula>
    </cfRule>
  </conditionalFormatting>
  <conditionalFormatting sqref="K73:K76 K78:K81">
    <cfRule type="expression" dxfId="344" priority="283">
      <formula>AND(J73=0,(K73&gt;0))</formula>
    </cfRule>
    <cfRule type="expression" dxfId="343" priority="284">
      <formula>((K73-J73)/J73)&gt;0.05</formula>
    </cfRule>
  </conditionalFormatting>
  <conditionalFormatting sqref="S73:S81">
    <cfRule type="expression" dxfId="342" priority="281">
      <formula>AND(R73=0,(S73&gt;0))</formula>
    </cfRule>
    <cfRule type="expression" dxfId="341" priority="282">
      <formula>((S73-R73)/R73)&gt;0.05</formula>
    </cfRule>
  </conditionalFormatting>
  <conditionalFormatting sqref="W73:W81">
    <cfRule type="expression" dxfId="340" priority="279">
      <formula>AND(V73=0,(W73&gt;0))</formula>
    </cfRule>
    <cfRule type="expression" dxfId="339" priority="280">
      <formula>((W73-V73)/V73)&gt;0.05</formula>
    </cfRule>
  </conditionalFormatting>
  <conditionalFormatting sqref="Y73:Y81">
    <cfRule type="expression" dxfId="338" priority="277">
      <formula>AND(X73=0,(Y73&gt;0))</formula>
    </cfRule>
    <cfRule type="expression" dxfId="337" priority="278">
      <formula>((Y73-X73)/X73)&gt;0.05</formula>
    </cfRule>
  </conditionalFormatting>
  <conditionalFormatting sqref="AG73:AG81">
    <cfRule type="expression" dxfId="336" priority="275">
      <formula>AND(AF73=0,(AG73&gt;0))</formula>
    </cfRule>
    <cfRule type="expression" dxfId="335" priority="276">
      <formula>((AG73-AF73)/AF73)&gt;0.05</formula>
    </cfRule>
  </conditionalFormatting>
  <conditionalFormatting sqref="O73:O76 O78:O81">
    <cfRule type="expression" dxfId="334" priority="273">
      <formula>AND(L73=0,(O73&gt;0))</formula>
    </cfRule>
    <cfRule type="expression" dxfId="333" priority="274">
      <formula>((O73-L73)/L73)&gt;0.05</formula>
    </cfRule>
  </conditionalFormatting>
  <conditionalFormatting sqref="P73:P76 P78:P81">
    <cfRule type="expression" dxfId="332" priority="271">
      <formula>AND(M73=0,(P73&gt;0))</formula>
    </cfRule>
    <cfRule type="expression" dxfId="331" priority="272">
      <formula>((P73-M73)/M73)&gt;0.05</formula>
    </cfRule>
  </conditionalFormatting>
  <conditionalFormatting sqref="Q73:Q81">
    <cfRule type="expression" dxfId="330" priority="269">
      <formula>AND(N73=0,(Q73&gt;0))</formula>
    </cfRule>
    <cfRule type="expression" dxfId="329" priority="270">
      <formula>((Q73-N73)/N73)&gt;0.05</formula>
    </cfRule>
  </conditionalFormatting>
  <conditionalFormatting sqref="AC73:AC81">
    <cfRule type="expression" dxfId="328" priority="267">
      <formula>AND(Z73=0,(AC73&gt;0))</formula>
    </cfRule>
    <cfRule type="expression" dxfId="327" priority="268">
      <formula>((AC73-Z73)/Z73)&gt;0.05</formula>
    </cfRule>
  </conditionalFormatting>
  <conditionalFormatting sqref="AD73:AD81">
    <cfRule type="expression" dxfId="326" priority="265">
      <formula>AND(AA73=0,(AD73&gt;0))</formula>
    </cfRule>
    <cfRule type="expression" dxfId="325" priority="266">
      <formula>((AD73-AA73)/AA73)&gt;0.05</formula>
    </cfRule>
  </conditionalFormatting>
  <conditionalFormatting sqref="AE73:AE81">
    <cfRule type="expression" dxfId="324" priority="263">
      <formula>AND(AB73=0,(AE73&gt;0))</formula>
    </cfRule>
    <cfRule type="expression" dxfId="323" priority="264">
      <formula>((AE73-AB73)/AB73)&gt;0.05</formula>
    </cfRule>
  </conditionalFormatting>
  <conditionalFormatting sqref="I82">
    <cfRule type="expression" dxfId="322" priority="261">
      <formula>AND(H82=0,(I82&gt;0))</formula>
    </cfRule>
    <cfRule type="expression" dxfId="321" priority="262">
      <formula>((I82-H82)/H82)&gt;0.05</formula>
    </cfRule>
  </conditionalFormatting>
  <conditionalFormatting sqref="K82">
    <cfRule type="expression" dxfId="320" priority="259">
      <formula>AND(J82=0,(K82&gt;0))</formula>
    </cfRule>
    <cfRule type="expression" dxfId="319" priority="260">
      <formula>((K82-J82)/J82)&gt;0.05</formula>
    </cfRule>
  </conditionalFormatting>
  <conditionalFormatting sqref="S82">
    <cfRule type="expression" dxfId="318" priority="257">
      <formula>AND(R82=0,(S82&gt;0))</formula>
    </cfRule>
    <cfRule type="expression" dxfId="317" priority="258">
      <formula>((S82-R82)/R82)&gt;0.05</formula>
    </cfRule>
  </conditionalFormatting>
  <conditionalFormatting sqref="W82">
    <cfRule type="expression" dxfId="316" priority="255">
      <formula>AND(V82=0,(W82&gt;0))</formula>
    </cfRule>
    <cfRule type="expression" dxfId="315" priority="256">
      <formula>((W82-V82)/V82)&gt;0.05</formula>
    </cfRule>
  </conditionalFormatting>
  <conditionalFormatting sqref="Y82">
    <cfRule type="expression" dxfId="314" priority="253">
      <formula>AND(X82=0,(Y82&gt;0))</formula>
    </cfRule>
    <cfRule type="expression" dxfId="313" priority="254">
      <formula>((Y82-X82)/X82)&gt;0.05</formula>
    </cfRule>
  </conditionalFormatting>
  <conditionalFormatting sqref="AG82">
    <cfRule type="expression" dxfId="312" priority="251">
      <formula>AND(AF82=0,(AG82&gt;0))</formula>
    </cfRule>
    <cfRule type="expression" dxfId="311" priority="252">
      <formula>((AG82-AF82)/AF82)&gt;0.05</formula>
    </cfRule>
  </conditionalFormatting>
  <conditionalFormatting sqref="O82">
    <cfRule type="expression" dxfId="310" priority="249">
      <formula>AND(L82=0,(O82&gt;0))</formula>
    </cfRule>
    <cfRule type="expression" dxfId="309" priority="250">
      <formula>((O82-L82)/L82)&gt;0.05</formula>
    </cfRule>
  </conditionalFormatting>
  <conditionalFormatting sqref="P82">
    <cfRule type="expression" dxfId="308" priority="247">
      <formula>AND(M82=0,(P82&gt;0))</formula>
    </cfRule>
    <cfRule type="expression" dxfId="307" priority="248">
      <formula>((P82-M82)/M82)&gt;0.05</formula>
    </cfRule>
  </conditionalFormatting>
  <conditionalFormatting sqref="Q82">
    <cfRule type="expression" dxfId="306" priority="245">
      <formula>AND(N82=0,(Q82&gt;0))</formula>
    </cfRule>
    <cfRule type="expression" dxfId="305" priority="246">
      <formula>((Q82-N82)/N82)&gt;0.05</formula>
    </cfRule>
  </conditionalFormatting>
  <conditionalFormatting sqref="AC82">
    <cfRule type="expression" dxfId="304" priority="243">
      <formula>AND(Z82=0,(AC82&gt;0))</formula>
    </cfRule>
    <cfRule type="expression" dxfId="303" priority="244">
      <formula>((AC82-Z82)/Z82)&gt;0.05</formula>
    </cfRule>
  </conditionalFormatting>
  <conditionalFormatting sqref="AD82">
    <cfRule type="expression" dxfId="302" priority="241">
      <formula>AND(AA82=0,(AD82&gt;0))</formula>
    </cfRule>
    <cfRule type="expression" dxfId="301" priority="242">
      <formula>((AD82-AA82)/AA82)&gt;0.05</formula>
    </cfRule>
  </conditionalFormatting>
  <conditionalFormatting sqref="AE82">
    <cfRule type="expression" dxfId="300" priority="239">
      <formula>AND(AB82=0,(AE82&gt;0))</formula>
    </cfRule>
    <cfRule type="expression" dxfId="299" priority="240">
      <formula>((AE82-AB82)/AB82)&gt;0.05</formula>
    </cfRule>
  </conditionalFormatting>
  <conditionalFormatting sqref="I83:I95 K83:K95 S83:S95 W83:W95 Y83:Y95 AG83:AG95 AG124:AG132 Y124:Y132 W124:W132 S124:S132 K124:K132 I124:I132">
    <cfRule type="expression" dxfId="298" priority="213">
      <formula>AND(H83=0,(I83&gt;0))</formula>
    </cfRule>
    <cfRule type="expression" dxfId="297" priority="214">
      <formula>((I83-H83)/H83)&gt;0.05</formula>
    </cfRule>
  </conditionalFormatting>
  <conditionalFormatting sqref="O83:Q95 AC83:AE95 AC124:AE132 O124:Q132">
    <cfRule type="expression" dxfId="296" priority="211">
      <formula>AND(L83=0,(O83&gt;0))</formula>
    </cfRule>
    <cfRule type="expression" dxfId="295" priority="212">
      <formula>((O83-L83)/L83)&gt;0.05</formula>
    </cfRule>
  </conditionalFormatting>
  <conditionalFormatting sqref="I238:I244 K238:K244 W168:W236 Y168:Y236 Y238:Y244 W238:W244">
    <cfRule type="expression" dxfId="294" priority="209">
      <formula>AND(H168=0,(I168&gt;0))</formula>
    </cfRule>
    <cfRule type="expression" dxfId="293" priority="210">
      <formula>((I168-H168)/H168)&gt;0.05</formula>
    </cfRule>
  </conditionalFormatting>
  <conditionalFormatting sqref="O238:Q244 AC168:AE236 Q245 AD166:AE167 AE161:AE165 AC238:AE244">
    <cfRule type="expression" dxfId="292" priority="207">
      <formula>AND(L161=0,(O161&gt;0))</formula>
    </cfRule>
    <cfRule type="expression" dxfId="291" priority="208">
      <formula>((O161-L161)/L161)&gt;0.05</formula>
    </cfRule>
  </conditionalFormatting>
  <conditionalFormatting sqref="I133:I236">
    <cfRule type="expression" dxfId="290" priority="205">
      <formula>AND(H133=0,(I133&gt;0))</formula>
    </cfRule>
    <cfRule type="expression" dxfId="289" priority="206">
      <formula>((I133-H133)/H133)&gt;0.05</formula>
    </cfRule>
  </conditionalFormatting>
  <conditionalFormatting sqref="K133:K236">
    <cfRule type="expression" dxfId="288" priority="201">
      <formula>AND(J133=0,(K133&gt;0))</formula>
    </cfRule>
    <cfRule type="expression" dxfId="287" priority="202">
      <formula>((K133-J133)/J133)&gt;0.05</formula>
    </cfRule>
  </conditionalFormatting>
  <conditionalFormatting sqref="O133:O236">
    <cfRule type="expression" dxfId="286" priority="197">
      <formula>AND(L133=0,(O133&gt;0))</formula>
    </cfRule>
    <cfRule type="expression" dxfId="285" priority="198">
      <formula>((O133-L133)/L133)&gt;0.05</formula>
    </cfRule>
  </conditionalFormatting>
  <conditionalFormatting sqref="P133:P236">
    <cfRule type="expression" dxfId="284" priority="193">
      <formula>AND(M133=0,(P133&gt;0))</formula>
    </cfRule>
    <cfRule type="expression" dxfId="283" priority="194">
      <formula>((P133-M133)/M133)&gt;0.05</formula>
    </cfRule>
  </conditionalFormatting>
  <conditionalFormatting sqref="P245">
    <cfRule type="expression" dxfId="282" priority="191">
      <formula>AND(M245=0,(P245&gt;0))</formula>
    </cfRule>
    <cfRule type="expression" dxfId="281" priority="192">
      <formula>((P245-M245)/M245)&gt;0.05</formula>
    </cfRule>
  </conditionalFormatting>
  <conditionalFormatting sqref="Q133:Q236">
    <cfRule type="expression" dxfId="280" priority="189">
      <formula>AND(N133=0,(Q133&gt;0))</formula>
    </cfRule>
    <cfRule type="expression" dxfId="279" priority="190">
      <formula>((Q133-N133)/N133)&gt;0.05</formula>
    </cfRule>
  </conditionalFormatting>
  <conditionalFormatting sqref="W133:W167">
    <cfRule type="expression" dxfId="278" priority="187">
      <formula>AND(V133=0,(W133&gt;0))</formula>
    </cfRule>
    <cfRule type="expression" dxfId="277" priority="188">
      <formula>((W133-V133)/V133)&gt;0.05</formula>
    </cfRule>
  </conditionalFormatting>
  <conditionalFormatting sqref="Y133:Y167">
    <cfRule type="expression" dxfId="276" priority="183">
      <formula>AND(X133=0,(Y133&gt;0))</formula>
    </cfRule>
    <cfRule type="expression" dxfId="275" priority="184">
      <formula>((Y133-X133)/X133)&gt;0.05</formula>
    </cfRule>
  </conditionalFormatting>
  <conditionalFormatting sqref="AC133:AC167">
    <cfRule type="expression" dxfId="274" priority="179">
      <formula>AND(Z133=0,(AC133&gt;0))</formula>
    </cfRule>
    <cfRule type="expression" dxfId="273" priority="180">
      <formula>((AC133-Z133)/Z133)&gt;0.05</formula>
    </cfRule>
  </conditionalFormatting>
  <conditionalFormatting sqref="AD133:AD165">
    <cfRule type="expression" dxfId="272" priority="173">
      <formula>AND(AA133=0,(AD133&gt;0))</formula>
    </cfRule>
    <cfRule type="expression" dxfId="271" priority="174">
      <formula>((AD133-AA133)/AA133)&gt;0.05</formula>
    </cfRule>
  </conditionalFormatting>
  <conditionalFormatting sqref="AE133:AE160">
    <cfRule type="expression" dxfId="270" priority="171">
      <formula>AND(AB133=0,(AE133&gt;0))</formula>
    </cfRule>
    <cfRule type="expression" dxfId="269" priority="172">
      <formula>((AE133-AB133)/AB133)&gt;0.05</formula>
    </cfRule>
  </conditionalFormatting>
  <conditionalFormatting sqref="I262:I270 K262:K270 S262:S270 W262:W270 Y262:Y270 AG262:AG270">
    <cfRule type="expression" dxfId="268" priority="169">
      <formula>AND(H262=0,(I262&gt;0))</formula>
    </cfRule>
    <cfRule type="expression" dxfId="267" priority="170">
      <formula>((I262-H262)/H262)&gt;0.05</formula>
    </cfRule>
  </conditionalFormatting>
  <conditionalFormatting sqref="O262:Q270 AC262:AE270">
    <cfRule type="expression" dxfId="266" priority="167">
      <formula>AND(L262=0,(O262&gt;0))</formula>
    </cfRule>
    <cfRule type="expression" dxfId="265" priority="168">
      <formula>((O262-L262)/L262)&gt;0.05</formula>
    </cfRule>
  </conditionalFormatting>
  <conditionalFormatting sqref="I271:I276 K271:K276 S271:S309 W271:W276 Y271:Y276 AG271:AG309 I278:I309 K278:K309 W278:W309 Y278:Y309">
    <cfRule type="expression" dxfId="264" priority="165">
      <formula>AND(H271=0,(I271&gt;0))</formula>
    </cfRule>
    <cfRule type="expression" dxfId="263" priority="166">
      <formula>((I271-H271)/H271)&gt;0.05</formula>
    </cfRule>
  </conditionalFormatting>
  <conditionalFormatting sqref="O271:Q276 AC271:AE276 O278:Q309 P277 AC278:AE309 AD277">
    <cfRule type="expression" dxfId="262" priority="163">
      <formula>AND(L271=0,(O271&gt;0))</formula>
    </cfRule>
    <cfRule type="expression" dxfId="261" priority="164">
      <formula>((O271-L271)/L271)&gt;0.05</formula>
    </cfRule>
  </conditionalFormatting>
  <conditionalFormatting sqref="I277">
    <cfRule type="expression" dxfId="260" priority="161">
      <formula>AND(H277=0,(I277&gt;0))</formula>
    </cfRule>
    <cfRule type="expression" dxfId="259" priority="162">
      <formula>((I277-H277)/H277)&gt;0.05</formula>
    </cfRule>
  </conditionalFormatting>
  <conditionalFormatting sqref="K277">
    <cfRule type="expression" dxfId="258" priority="159">
      <formula>AND(J277=0,(K277&gt;0))</formula>
    </cfRule>
    <cfRule type="expression" dxfId="257" priority="160">
      <formula>((K277-J277)/J277)&gt;0.05</formula>
    </cfRule>
  </conditionalFormatting>
  <conditionalFormatting sqref="O277">
    <cfRule type="expression" dxfId="256" priority="157">
      <formula>AND(L277=0,(O277&gt;0))</formula>
    </cfRule>
    <cfRule type="expression" dxfId="255" priority="158">
      <formula>((O277-L277)/L277)&gt;0.05</formula>
    </cfRule>
  </conditionalFormatting>
  <conditionalFormatting sqref="Q277">
    <cfRule type="expression" dxfId="254" priority="155">
      <formula>AND(N277=0,(Q277&gt;0))</formula>
    </cfRule>
    <cfRule type="expression" dxfId="253" priority="156">
      <formula>((Q277-N277)/N277)&gt;0.05</formula>
    </cfRule>
  </conditionalFormatting>
  <conditionalFormatting sqref="W277">
    <cfRule type="expression" dxfId="252" priority="153">
      <formula>AND(V277=0,(W277&gt;0))</formula>
    </cfRule>
    <cfRule type="expression" dxfId="251" priority="154">
      <formula>((W277-V277)/V277)&gt;0.05</formula>
    </cfRule>
  </conditionalFormatting>
  <conditionalFormatting sqref="Y277">
    <cfRule type="expression" dxfId="250" priority="151">
      <formula>AND(X277=0,(Y277&gt;0))</formula>
    </cfRule>
    <cfRule type="expression" dxfId="249" priority="152">
      <formula>((Y277-X277)/X277)&gt;0.05</formula>
    </cfRule>
  </conditionalFormatting>
  <conditionalFormatting sqref="AC277">
    <cfRule type="expression" dxfId="248" priority="149">
      <formula>AND(Z277=0,(AC277&gt;0))</formula>
    </cfRule>
    <cfRule type="expression" dxfId="247" priority="150">
      <formula>((AC277-Z277)/Z277)&gt;0.05</formula>
    </cfRule>
  </conditionalFormatting>
  <conditionalFormatting sqref="AE277">
    <cfRule type="expression" dxfId="246" priority="147">
      <formula>AND(AB277=0,(AE277&gt;0))</formula>
    </cfRule>
    <cfRule type="expression" dxfId="245" priority="148">
      <formula>((AE277-AB277)/AB277)&gt;0.05</formula>
    </cfRule>
  </conditionalFormatting>
  <conditionalFormatting sqref="S310 AG310 I310 K310 W310 Y310">
    <cfRule type="expression" dxfId="244" priority="145">
      <formula>AND(H310=0,(I310&gt;0))</formula>
    </cfRule>
    <cfRule type="expression" dxfId="243" priority="146">
      <formula>((I310-H310)/H310)&gt;0.05</formula>
    </cfRule>
  </conditionalFormatting>
  <conditionalFormatting sqref="O310:Q310 AC310:AE310">
    <cfRule type="expression" dxfId="242" priority="143">
      <formula>AND(L310=0,(O310&gt;0))</formula>
    </cfRule>
    <cfRule type="expression" dxfId="241" priority="144">
      <formula>((O310-L310)/L310)&gt;0.05</formula>
    </cfRule>
  </conditionalFormatting>
  <conditionalFormatting sqref="I343:I348 K343:K348 W343:W348 Y343:Y348">
    <cfRule type="expression" dxfId="240" priority="121">
      <formula>AND(H343=0,(I343&gt;0))</formula>
    </cfRule>
    <cfRule type="expression" dxfId="239" priority="122">
      <formula>((I343-H343)/H343)&gt;0.05</formula>
    </cfRule>
  </conditionalFormatting>
  <conditionalFormatting sqref="O343:Q348 AC343:AE348 P349 AD349">
    <cfRule type="expression" dxfId="238" priority="119">
      <formula>AND(L343=0,(O343&gt;0))</formula>
    </cfRule>
    <cfRule type="expression" dxfId="237" priority="120">
      <formula>((O343-L343)/L343)&gt;0.05</formula>
    </cfRule>
  </conditionalFormatting>
  <conditionalFormatting sqref="I349">
    <cfRule type="expression" dxfId="236" priority="117">
      <formula>AND(H349=0,(I349&gt;0))</formula>
    </cfRule>
    <cfRule type="expression" dxfId="235" priority="118">
      <formula>((I349-H349)/H349)&gt;0.05</formula>
    </cfRule>
  </conditionalFormatting>
  <conditionalFormatting sqref="K349">
    <cfRule type="expression" dxfId="234" priority="115">
      <formula>AND(J349=0,(K349&gt;0))</formula>
    </cfRule>
    <cfRule type="expression" dxfId="233" priority="116">
      <formula>((K349-J349)/J349)&gt;0.05</formula>
    </cfRule>
  </conditionalFormatting>
  <conditionalFormatting sqref="O349">
    <cfRule type="expression" dxfId="232" priority="113">
      <formula>AND(L349=0,(O349&gt;0))</formula>
    </cfRule>
    <cfRule type="expression" dxfId="231" priority="114">
      <formula>((O349-L349)/L349)&gt;0.05</formula>
    </cfRule>
  </conditionalFormatting>
  <conditionalFormatting sqref="Q349">
    <cfRule type="expression" dxfId="230" priority="111">
      <formula>AND(N349=0,(Q349&gt;0))</formula>
    </cfRule>
    <cfRule type="expression" dxfId="229" priority="112">
      <formula>((Q349-N349)/N349)&gt;0.05</formula>
    </cfRule>
  </conditionalFormatting>
  <conditionalFormatting sqref="W349">
    <cfRule type="expression" dxfId="228" priority="109">
      <formula>AND(V349=0,(W349&gt;0))</formula>
    </cfRule>
    <cfRule type="expression" dxfId="227" priority="110">
      <formula>((W349-V349)/V349)&gt;0.05</formula>
    </cfRule>
  </conditionalFormatting>
  <conditionalFormatting sqref="Y349">
    <cfRule type="expression" dxfId="226" priority="107">
      <formula>AND(X349=0,(Y349&gt;0))</formula>
    </cfRule>
    <cfRule type="expression" dxfId="225" priority="108">
      <formula>((Y349-X349)/X349)&gt;0.05</formula>
    </cfRule>
  </conditionalFormatting>
  <conditionalFormatting sqref="AC349">
    <cfRule type="expression" dxfId="224" priority="105">
      <formula>AND(Z349=0,(AC349&gt;0))</formula>
    </cfRule>
    <cfRule type="expression" dxfId="223" priority="106">
      <formula>((AC349-Z349)/Z349)&gt;0.05</formula>
    </cfRule>
  </conditionalFormatting>
  <conditionalFormatting sqref="AE349">
    <cfRule type="expression" dxfId="222" priority="103">
      <formula>AND(AB349=0,(AE349&gt;0))</formula>
    </cfRule>
    <cfRule type="expression" dxfId="221" priority="104">
      <formula>((AE349-AB349)/AB349)&gt;0.05</formula>
    </cfRule>
  </conditionalFormatting>
  <conditionalFormatting sqref="S414 AG414 I414 K414 W414 Y414">
    <cfRule type="expression" dxfId="220" priority="101">
      <formula>AND(H414=0,(I414&gt;0))</formula>
    </cfRule>
    <cfRule type="expression" dxfId="219" priority="102">
      <formula>((I414-H414)/H414)&gt;0.05</formula>
    </cfRule>
  </conditionalFormatting>
  <conditionalFormatting sqref="O414:Q414 AC414:AE414">
    <cfRule type="expression" dxfId="218" priority="99">
      <formula>AND(L414=0,(O414&gt;0))</formula>
    </cfRule>
    <cfRule type="expression" dxfId="217" priority="100">
      <formula>((O414-L414)/L414)&gt;0.05</formula>
    </cfRule>
  </conditionalFormatting>
  <conditionalFormatting sqref="I415:I432 K415:K432 S415:S432 W415:W432 Y415:Y432 AG415:AG432">
    <cfRule type="expression" dxfId="216" priority="97">
      <formula>AND(H415=0,(I415&gt;0))</formula>
    </cfRule>
    <cfRule type="expression" dxfId="215" priority="98">
      <formula>((I415-H415)/H415)&gt;0.05</formula>
    </cfRule>
  </conditionalFormatting>
  <conditionalFormatting sqref="O415:Q432 AC415:AE432">
    <cfRule type="expression" dxfId="214" priority="95">
      <formula>AND(L415=0,(O415&gt;0))</formula>
    </cfRule>
    <cfRule type="expression" dxfId="213" priority="96">
      <formula>((O415-L415)/L415)&gt;0.05</formula>
    </cfRule>
  </conditionalFormatting>
  <conditionalFormatting sqref="I443:I448 K443:K448 S443:S481 W443:W448 Y443:Y448 AG443:AG481 I450:I481 K450:K481 W450:W481 Y450:Y481">
    <cfRule type="expression" dxfId="212" priority="85">
      <formula>AND(H443=0,(I443&gt;0))</formula>
    </cfRule>
    <cfRule type="expression" dxfId="211" priority="86">
      <formula>((I443-H443)/H443)&gt;0.05</formula>
    </cfRule>
  </conditionalFormatting>
  <conditionalFormatting sqref="O443:Q448 AC443:AE448 O450:Q481 P449 AC450:AE481 AD449">
    <cfRule type="expression" dxfId="210" priority="83">
      <formula>AND(L443=0,(O443&gt;0))</formula>
    </cfRule>
    <cfRule type="expression" dxfId="209" priority="84">
      <formula>((O443-L443)/L443)&gt;0.05</formula>
    </cfRule>
  </conditionalFormatting>
  <conditionalFormatting sqref="I449">
    <cfRule type="expression" dxfId="208" priority="81">
      <formula>AND(H449=0,(I449&gt;0))</formula>
    </cfRule>
    <cfRule type="expression" dxfId="207" priority="82">
      <formula>((I449-H449)/H449)&gt;0.05</formula>
    </cfRule>
  </conditionalFormatting>
  <conditionalFormatting sqref="K449">
    <cfRule type="expression" dxfId="206" priority="79">
      <formula>AND(J449=0,(K449&gt;0))</formula>
    </cfRule>
    <cfRule type="expression" dxfId="205" priority="80">
      <formula>((K449-J449)/J449)&gt;0.05</formula>
    </cfRule>
  </conditionalFormatting>
  <conditionalFormatting sqref="O449">
    <cfRule type="expression" dxfId="204" priority="77">
      <formula>AND(L449=0,(O449&gt;0))</formula>
    </cfRule>
    <cfRule type="expression" dxfId="203" priority="78">
      <formula>((O449-L449)/L449)&gt;0.05</formula>
    </cfRule>
  </conditionalFormatting>
  <conditionalFormatting sqref="Q449">
    <cfRule type="expression" dxfId="202" priority="75">
      <formula>AND(N449=0,(Q449&gt;0))</formula>
    </cfRule>
    <cfRule type="expression" dxfId="201" priority="76">
      <formula>((Q449-N449)/N449)&gt;0.05</formula>
    </cfRule>
  </conditionalFormatting>
  <conditionalFormatting sqref="W449">
    <cfRule type="expression" dxfId="200" priority="73">
      <formula>AND(V449=0,(W449&gt;0))</formula>
    </cfRule>
    <cfRule type="expression" dxfId="199" priority="74">
      <formula>((W449-V449)/V449)&gt;0.05</formula>
    </cfRule>
  </conditionalFormatting>
  <conditionalFormatting sqref="Y449">
    <cfRule type="expression" dxfId="198" priority="71">
      <formula>AND(X449=0,(Y449&gt;0))</formula>
    </cfRule>
    <cfRule type="expression" dxfId="197" priority="72">
      <formula>((Y449-X449)/X449)&gt;0.05</formula>
    </cfRule>
  </conditionalFormatting>
  <conditionalFormatting sqref="AC449">
    <cfRule type="expression" dxfId="196" priority="69">
      <formula>AND(Z449=0,(AC449&gt;0))</formula>
    </cfRule>
    <cfRule type="expression" dxfId="195" priority="70">
      <formula>((AC449-Z449)/Z449)&gt;0.05</formula>
    </cfRule>
  </conditionalFormatting>
  <conditionalFormatting sqref="AE449">
    <cfRule type="expression" dxfId="194" priority="67">
      <formula>AND(AB449=0,(AE449&gt;0))</formula>
    </cfRule>
    <cfRule type="expression" dxfId="193" priority="68">
      <formula>((AE449-AB449)/AB449)&gt;0.05</formula>
    </cfRule>
  </conditionalFormatting>
  <conditionalFormatting sqref="S482 AG482 I482 K482 W482 Y482">
    <cfRule type="expression" dxfId="192" priority="65">
      <formula>AND(H482=0,(I482&gt;0))</formula>
    </cfRule>
    <cfRule type="expression" dxfId="191" priority="66">
      <formula>((I482-H482)/H482)&gt;0.05</formula>
    </cfRule>
  </conditionalFormatting>
  <conditionalFormatting sqref="O482:Q482 AC482:AE482">
    <cfRule type="expression" dxfId="190" priority="63">
      <formula>AND(L482=0,(O482&gt;0))</formula>
    </cfRule>
    <cfRule type="expression" dxfId="189" priority="64">
      <formula>((O482-L482)/L482)&gt;0.05</formula>
    </cfRule>
  </conditionalFormatting>
  <conditionalFormatting sqref="I483:I492 K483:K492 S483:S492 W483:W492 Y483:Y492 AG483:AG492">
    <cfRule type="expression" dxfId="188" priority="61">
      <formula>AND(H483=0,(I483&gt;0))</formula>
    </cfRule>
    <cfRule type="expression" dxfId="187" priority="62">
      <formula>((I483-H483)/H483)&gt;0.05</formula>
    </cfRule>
  </conditionalFormatting>
  <conditionalFormatting sqref="O483:Q492 AC483:AE492">
    <cfRule type="expression" dxfId="186" priority="59">
      <formula>AND(L483=0,(O483&gt;0))</formula>
    </cfRule>
    <cfRule type="expression" dxfId="185" priority="60">
      <formula>((O483-L483)/L483)&gt;0.05</formula>
    </cfRule>
  </conditionalFormatting>
  <conditionalFormatting sqref="I493:I519 K493:K519 S493:S519 W493:W519 Y493:Y519 AG493:AG519">
    <cfRule type="expression" dxfId="184" priority="53">
      <formula>AND(H493=0,(I493&gt;0))</formula>
    </cfRule>
    <cfRule type="expression" dxfId="183" priority="54">
      <formula>((I493-H493)/H493)&gt;0.05</formula>
    </cfRule>
  </conditionalFormatting>
  <conditionalFormatting sqref="O493:Q519 AC493:AE519">
    <cfRule type="expression" dxfId="182" priority="51">
      <formula>AND(L493=0,(O493&gt;0))</formula>
    </cfRule>
    <cfRule type="expression" dxfId="181" priority="52">
      <formula>((O493-L493)/L493)&gt;0.05</formula>
    </cfRule>
  </conditionalFormatting>
  <conditionalFormatting sqref="H520:H524">
    <cfRule type="expression" dxfId="180" priority="49">
      <formula>H520&gt;(G520+(G520*0.1))</formula>
    </cfRule>
    <cfRule type="expression" dxfId="179" priority="50">
      <formula>H520&lt;(G520-(G520*0.1))</formula>
    </cfRule>
  </conditionalFormatting>
  <conditionalFormatting sqref="I520:I524 K520:K524 S520:S524 W520:W524 Y520:Y524 AG520:AG524">
    <cfRule type="expression" dxfId="178" priority="47">
      <formula>AND(H520=0,(I520&gt;0))</formula>
    </cfRule>
    <cfRule type="expression" dxfId="177" priority="48">
      <formula>((I520-H520)/H520)&gt;0.05</formula>
    </cfRule>
  </conditionalFormatting>
  <conditionalFormatting sqref="O520:Q524 AC520:AE524">
    <cfRule type="expression" dxfId="176" priority="45">
      <formula>AND(L520=0,(O520&gt;0))</formula>
    </cfRule>
    <cfRule type="expression" dxfId="175" priority="46">
      <formula>((O520-L520)/L520)&gt;0.05</formula>
    </cfRule>
  </conditionalFormatting>
  <conditionalFormatting sqref="AG9 Y9 W9 S9 K9 I9">
    <cfRule type="expression" dxfId="174" priority="35">
      <formula>AND(H9=0,(I9&gt;0))</formula>
    </cfRule>
    <cfRule type="expression" dxfId="173" priority="36">
      <formula>((I9-H9)/H9)&gt;0.05</formula>
    </cfRule>
  </conditionalFormatting>
  <conditionalFormatting sqref="AC9:AE9 O9:Q9">
    <cfRule type="expression" dxfId="172" priority="33">
      <formula>AND(L9=0,(O9&gt;0))</formula>
    </cfRule>
    <cfRule type="expression" dxfId="171" priority="34">
      <formula>((O9-L9)/L9)&gt;0.05</formula>
    </cfRule>
  </conditionalFormatting>
  <conditionalFormatting sqref="I246:I260 K246:K260 S246:S260 W246:W260 Y246:Y260 AG246:AG260">
    <cfRule type="expression" dxfId="170" priority="23">
      <formula>AND(H246=0,(I246&gt;0))</formula>
    </cfRule>
    <cfRule type="expression" dxfId="169" priority="24">
      <formula>((I246-H246)/H246)&gt;0.05</formula>
    </cfRule>
  </conditionalFormatting>
  <conditionalFormatting sqref="O246:Q260 AC246:AE260">
    <cfRule type="expression" dxfId="168" priority="21">
      <formula>AND(L246=0,(O246&gt;0))</formula>
    </cfRule>
    <cfRule type="expression" dxfId="167" priority="22">
      <formula>((O246-L246)/L246)&gt;0.05</formula>
    </cfRule>
  </conditionalFormatting>
  <conditionalFormatting sqref="I63">
    <cfRule type="expression" dxfId="166" priority="19">
      <formula>AND(H63=0,(I63&gt;0))</formula>
    </cfRule>
    <cfRule type="expression" dxfId="165" priority="20">
      <formula>((I63-H63)/H63)&gt;0.05</formula>
    </cfRule>
  </conditionalFormatting>
  <conditionalFormatting sqref="I77">
    <cfRule type="expression" dxfId="164" priority="17">
      <formula>AND(H77=0,(I77&gt;0))</formula>
    </cfRule>
    <cfRule type="expression" dxfId="163" priority="18">
      <formula>((I77-H77)/H77)&gt;0.05</formula>
    </cfRule>
  </conditionalFormatting>
  <conditionalFormatting sqref="K63">
    <cfRule type="expression" dxfId="162" priority="15">
      <formula>AND(J63=0,(K63&gt;0))</formula>
    </cfRule>
    <cfRule type="expression" dxfId="161" priority="16">
      <formula>((K63-J63)/J63)&gt;0.05</formula>
    </cfRule>
  </conditionalFormatting>
  <conditionalFormatting sqref="K77">
    <cfRule type="expression" dxfId="160" priority="13">
      <formula>AND(J77=0,(K77&gt;0))</formula>
    </cfRule>
    <cfRule type="expression" dxfId="159" priority="14">
      <formula>((K77-J77)/J77)&gt;0.05</formula>
    </cfRule>
  </conditionalFormatting>
  <conditionalFormatting sqref="O63">
    <cfRule type="expression" dxfId="158" priority="11">
      <formula>AND(L63=0,(O63&gt;0))</formula>
    </cfRule>
    <cfRule type="expression" dxfId="157" priority="12">
      <formula>((O63-L63)/L63)&gt;0.05</formula>
    </cfRule>
  </conditionalFormatting>
  <conditionalFormatting sqref="O77:P77">
    <cfRule type="expression" dxfId="156" priority="9">
      <formula>AND(L77=0,(O77&gt;0))</formula>
    </cfRule>
    <cfRule type="expression" dxfId="155" priority="10">
      <formula>((O77-L77)/L77)&gt;0.05</formula>
    </cfRule>
  </conditionalFormatting>
  <conditionalFormatting sqref="I96:I123 K96:K123 S96:S123 W96:W123 Y96:Y123 AG96:AG123">
    <cfRule type="expression" dxfId="154" priority="7">
      <formula>AND(H96=0,(I96&gt;0))</formula>
    </cfRule>
    <cfRule type="expression" dxfId="153" priority="8">
      <formula>((I96-H96)/H96)&gt;0.05</formula>
    </cfRule>
  </conditionalFormatting>
  <conditionalFormatting sqref="O96:Q123 AC96:AE123">
    <cfRule type="expression" dxfId="152" priority="5">
      <formula>AND(L96=0,(O96&gt;0))</formula>
    </cfRule>
    <cfRule type="expression" dxfId="151" priority="6">
      <formula>((O96-L96)/L96)&gt;0.05</formula>
    </cfRule>
  </conditionalFormatting>
  <conditionalFormatting sqref="I237 K237 S237 W237 Y237 AG237">
    <cfRule type="expression" dxfId="150" priority="3">
      <formula>AND(H237=0,(I237&gt;0))</formula>
    </cfRule>
    <cfRule type="expression" dxfId="149" priority="4">
      <formula>((I237-H237)/H237)&gt;0.05</formula>
    </cfRule>
  </conditionalFormatting>
  <conditionalFormatting sqref="O237:Q237 AC237:AE237">
    <cfRule type="expression" dxfId="148" priority="1">
      <formula>AND(L237=0,(O237&gt;0))</formula>
    </cfRule>
    <cfRule type="expression" dxfId="147" priority="2">
      <formula>((O237-L237)/L237)&gt;0.05</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W725"/>
  <sheetViews>
    <sheetView workbookViewId="0"/>
  </sheetViews>
  <sheetFormatPr defaultRowHeight="15" x14ac:dyDescent="0.25"/>
  <cols>
    <col min="1" max="1" width="6" style="148" customWidth="1"/>
    <col min="2" max="2" width="21.7109375" style="148" customWidth="1"/>
    <col min="3" max="3" width="12.85546875" style="148" customWidth="1"/>
    <col min="4" max="9" width="12.85546875" style="156" customWidth="1"/>
    <col min="10" max="10" width="16" style="156" customWidth="1"/>
    <col min="11" max="14" width="11.140625" style="156" customWidth="1"/>
    <col min="15" max="15" width="14.28515625" style="156" customWidth="1"/>
    <col min="16" max="17" width="11.28515625" style="156" customWidth="1"/>
    <col min="18" max="18" width="14.5703125" style="156" customWidth="1"/>
    <col min="19" max="19" width="11.42578125" style="156" customWidth="1"/>
    <col min="20" max="22" width="9.140625" style="148" customWidth="1"/>
    <col min="23" max="16384" width="9.140625" style="148"/>
  </cols>
  <sheetData>
    <row r="3" spans="1:22" x14ac:dyDescent="0.25">
      <c r="A3" s="268"/>
      <c r="B3" s="158"/>
      <c r="C3" s="268"/>
      <c r="D3" s="293"/>
      <c r="E3" s="293"/>
      <c r="F3" s="159"/>
      <c r="G3" s="159"/>
      <c r="H3" s="159"/>
      <c r="I3" s="159"/>
      <c r="J3" s="269"/>
      <c r="K3" s="269"/>
      <c r="L3" s="269"/>
      <c r="M3" s="269"/>
      <c r="N3" s="269"/>
      <c r="O3" s="269"/>
      <c r="P3" s="269"/>
      <c r="Q3" s="269"/>
      <c r="R3" s="269"/>
      <c r="S3" s="529"/>
      <c r="T3" s="15"/>
      <c r="U3" s="15"/>
      <c r="V3" s="15"/>
    </row>
    <row r="4" spans="1:22" x14ac:dyDescent="0.25">
      <c r="A4" s="160"/>
      <c r="B4" s="161"/>
      <c r="C4" s="160"/>
      <c r="D4" s="162"/>
      <c r="E4" s="161"/>
      <c r="F4" s="161"/>
      <c r="G4" s="161"/>
      <c r="H4" s="161"/>
      <c r="I4" s="161"/>
      <c r="J4" s="268"/>
      <c r="K4" s="538"/>
      <c r="L4" s="162"/>
      <c r="M4" s="161"/>
      <c r="N4" s="161"/>
      <c r="O4" s="268"/>
      <c r="P4" s="268"/>
      <c r="Q4" s="271"/>
      <c r="R4" s="268"/>
      <c r="S4" s="527"/>
      <c r="T4" s="15"/>
      <c r="U4" s="15"/>
      <c r="V4" s="15"/>
    </row>
    <row r="5" spans="1:22" x14ac:dyDescent="0.25">
      <c r="A5" s="268"/>
      <c r="B5" s="268"/>
      <c r="C5" s="268"/>
      <c r="D5" s="273"/>
      <c r="E5" s="273"/>
      <c r="F5" s="273"/>
      <c r="G5" s="273"/>
      <c r="H5" s="273"/>
      <c r="I5" s="273"/>
      <c r="J5" s="164"/>
      <c r="K5" s="163"/>
      <c r="L5" s="273"/>
      <c r="M5" s="273"/>
      <c r="N5" s="273"/>
      <c r="O5" s="164"/>
      <c r="P5" s="535"/>
      <c r="R5" s="164"/>
      <c r="S5" s="528"/>
      <c r="T5" s="15"/>
      <c r="U5" s="15"/>
      <c r="V5" s="15"/>
    </row>
    <row r="6" spans="1:22" x14ac:dyDescent="0.25">
      <c r="A6" s="523"/>
      <c r="B6" s="268"/>
      <c r="C6" s="524"/>
      <c r="D6" s="525"/>
      <c r="E6" s="525"/>
      <c r="F6" s="525"/>
      <c r="G6" s="525"/>
      <c r="H6" s="525"/>
      <c r="I6" s="525"/>
      <c r="J6" s="536"/>
      <c r="K6" s="536"/>
      <c r="L6" s="525"/>
      <c r="M6" s="525"/>
      <c r="N6" s="525"/>
      <c r="O6" s="536"/>
      <c r="P6" s="165"/>
      <c r="Q6" s="525"/>
      <c r="R6" s="536"/>
      <c r="S6" s="536"/>
      <c r="T6" s="15"/>
      <c r="U6" s="15"/>
      <c r="V6" s="15"/>
    </row>
    <row r="7" spans="1:22" x14ac:dyDescent="0.25">
      <c r="A7" s="166"/>
      <c r="B7" s="167"/>
      <c r="C7" s="168"/>
      <c r="D7" s="169"/>
      <c r="E7" s="169"/>
      <c r="F7" s="169"/>
      <c r="G7" s="169"/>
      <c r="H7" s="169"/>
      <c r="I7" s="169"/>
      <c r="J7" s="170"/>
      <c r="K7" s="170"/>
      <c r="L7" s="169"/>
      <c r="M7" s="169"/>
      <c r="N7" s="169"/>
      <c r="O7" s="170"/>
      <c r="P7" s="170"/>
      <c r="Q7" s="169"/>
      <c r="R7" s="170"/>
      <c r="S7" s="170"/>
      <c r="T7" s="15"/>
      <c r="U7" s="15"/>
      <c r="V7" s="15"/>
    </row>
    <row r="8" spans="1:22" x14ac:dyDescent="0.25">
      <c r="A8" s="166"/>
      <c r="B8" s="207"/>
      <c r="C8" s="208"/>
      <c r="D8" s="209"/>
      <c r="E8" s="209"/>
      <c r="F8" s="209"/>
      <c r="G8" s="209"/>
      <c r="H8" s="530"/>
      <c r="I8" s="209"/>
      <c r="J8" s="210"/>
      <c r="K8" s="210"/>
      <c r="L8" s="530"/>
      <c r="M8" s="209"/>
      <c r="N8" s="209"/>
      <c r="O8" s="210"/>
      <c r="P8" s="210"/>
      <c r="Q8" s="530"/>
      <c r="R8" s="210"/>
      <c r="S8" s="210"/>
      <c r="T8" s="15"/>
      <c r="U8" s="15"/>
      <c r="V8" s="15"/>
    </row>
    <row r="9" spans="1:22" x14ac:dyDescent="0.25">
      <c r="A9" s="166"/>
      <c r="B9" s="268"/>
      <c r="C9" s="524"/>
      <c r="D9" s="525"/>
      <c r="E9" s="525"/>
      <c r="F9" s="525"/>
      <c r="G9" s="525"/>
      <c r="H9" s="525"/>
      <c r="I9" s="525"/>
      <c r="J9" s="536"/>
      <c r="K9" s="536"/>
      <c r="L9" s="525"/>
      <c r="M9" s="525"/>
      <c r="N9" s="525"/>
      <c r="O9" s="536"/>
      <c r="P9" s="165"/>
      <c r="Q9" s="525"/>
      <c r="R9" s="536"/>
      <c r="S9" s="536"/>
      <c r="T9" s="15"/>
      <c r="U9" s="15"/>
      <c r="V9" s="15"/>
    </row>
    <row r="10" spans="1:22" x14ac:dyDescent="0.25">
      <c r="A10" s="166"/>
      <c r="B10" s="167"/>
      <c r="C10" s="168"/>
      <c r="D10" s="169"/>
      <c r="E10" s="169"/>
      <c r="F10" s="169"/>
      <c r="G10" s="169"/>
      <c r="H10" s="169"/>
      <c r="I10" s="169"/>
      <c r="J10" s="170"/>
      <c r="K10" s="170"/>
      <c r="L10" s="169"/>
      <c r="M10" s="169"/>
      <c r="N10" s="169"/>
      <c r="O10" s="170"/>
      <c r="P10" s="170"/>
      <c r="Q10" s="169"/>
      <c r="R10" s="170"/>
      <c r="S10" s="170"/>
      <c r="T10" s="15"/>
      <c r="U10" s="15"/>
      <c r="V10" s="15"/>
    </row>
    <row r="11" spans="1:22" x14ac:dyDescent="0.25">
      <c r="A11" s="166"/>
      <c r="B11" s="207"/>
      <c r="C11" s="208"/>
      <c r="D11" s="209"/>
      <c r="E11" s="209"/>
      <c r="F11" s="209"/>
      <c r="G11" s="209"/>
      <c r="H11" s="209"/>
      <c r="I11" s="209"/>
      <c r="J11" s="210"/>
      <c r="K11" s="210"/>
      <c r="L11" s="530"/>
      <c r="M11" s="209"/>
      <c r="N11" s="209"/>
      <c r="O11" s="210"/>
      <c r="P11" s="210"/>
      <c r="Q11" s="530"/>
      <c r="R11" s="210"/>
      <c r="S11" s="210"/>
      <c r="T11" s="15"/>
      <c r="U11" s="15"/>
      <c r="V11" s="15"/>
    </row>
    <row r="12" spans="1:22" x14ac:dyDescent="0.25">
      <c r="A12" s="166"/>
      <c r="B12" s="268"/>
      <c r="C12" s="524"/>
      <c r="D12" s="525"/>
      <c r="E12" s="525"/>
      <c r="F12" s="525"/>
      <c r="G12" s="525"/>
      <c r="H12" s="525"/>
      <c r="I12" s="525"/>
      <c r="J12" s="536"/>
      <c r="K12" s="536"/>
      <c r="L12" s="525"/>
      <c r="M12" s="525"/>
      <c r="N12" s="525"/>
      <c r="O12" s="536"/>
      <c r="P12" s="165"/>
      <c r="Q12" s="525"/>
      <c r="R12" s="536"/>
      <c r="S12" s="536"/>
      <c r="T12" s="15"/>
      <c r="U12" s="15"/>
      <c r="V12" s="15"/>
    </row>
    <row r="13" spans="1:22" x14ac:dyDescent="0.25">
      <c r="A13" s="166"/>
      <c r="B13" s="167"/>
      <c r="C13" s="168"/>
      <c r="D13" s="169"/>
      <c r="E13" s="169"/>
      <c r="F13" s="169"/>
      <c r="G13" s="169"/>
      <c r="H13" s="169"/>
      <c r="I13" s="169"/>
      <c r="J13" s="170"/>
      <c r="K13" s="170"/>
      <c r="L13" s="169"/>
      <c r="M13" s="169"/>
      <c r="N13" s="169"/>
      <c r="O13" s="170"/>
      <c r="P13" s="170"/>
      <c r="Q13" s="169"/>
      <c r="R13" s="170"/>
      <c r="S13" s="170"/>
      <c r="T13" s="15"/>
      <c r="U13" s="15"/>
      <c r="V13" s="15"/>
    </row>
    <row r="14" spans="1:22" s="171" customFormat="1" x14ac:dyDescent="0.25">
      <c r="A14" s="166"/>
      <c r="B14" s="207"/>
      <c r="C14" s="208"/>
      <c r="D14" s="209"/>
      <c r="E14" s="209"/>
      <c r="F14" s="209"/>
      <c r="G14" s="209"/>
      <c r="H14" s="530"/>
      <c r="I14" s="209"/>
      <c r="J14" s="210"/>
      <c r="K14" s="210"/>
      <c r="L14" s="209"/>
      <c r="M14" s="209"/>
      <c r="N14" s="209"/>
      <c r="O14" s="210"/>
      <c r="P14" s="210"/>
      <c r="Q14" s="209"/>
      <c r="R14" s="210"/>
      <c r="S14" s="210"/>
      <c r="T14" s="15"/>
      <c r="U14" s="15"/>
      <c r="V14" s="15"/>
    </row>
    <row r="15" spans="1:22" x14ac:dyDescent="0.25">
      <c r="A15" s="166"/>
      <c r="B15" s="268"/>
      <c r="C15" s="524"/>
      <c r="D15" s="525"/>
      <c r="E15" s="525"/>
      <c r="F15" s="525"/>
      <c r="G15" s="525"/>
      <c r="H15" s="525"/>
      <c r="I15" s="525"/>
      <c r="J15" s="536"/>
      <c r="K15" s="536"/>
      <c r="L15" s="525"/>
      <c r="M15" s="525"/>
      <c r="N15" s="525"/>
      <c r="O15" s="536"/>
      <c r="P15" s="165"/>
      <c r="Q15" s="525"/>
      <c r="R15" s="536"/>
      <c r="S15" s="536"/>
      <c r="T15" s="15"/>
      <c r="U15" s="15"/>
      <c r="V15" s="15"/>
    </row>
    <row r="16" spans="1:22" x14ac:dyDescent="0.25">
      <c r="A16" s="166"/>
      <c r="B16" s="167"/>
      <c r="C16" s="168"/>
      <c r="D16" s="169"/>
      <c r="E16" s="169"/>
      <c r="F16" s="169"/>
      <c r="G16" s="169"/>
      <c r="H16" s="169"/>
      <c r="I16" s="169"/>
      <c r="J16" s="170"/>
      <c r="K16" s="170"/>
      <c r="L16" s="169"/>
      <c r="M16" s="169"/>
      <c r="N16" s="169"/>
      <c r="O16" s="170"/>
      <c r="P16" s="170"/>
      <c r="Q16" s="169"/>
      <c r="R16" s="170"/>
      <c r="S16" s="170"/>
      <c r="T16" s="15"/>
      <c r="U16" s="15"/>
      <c r="V16" s="15"/>
    </row>
    <row r="17" spans="1:22" x14ac:dyDescent="0.25">
      <c r="A17" s="166"/>
      <c r="B17" s="207"/>
      <c r="C17" s="208"/>
      <c r="D17" s="209"/>
      <c r="E17" s="209"/>
      <c r="F17" s="209"/>
      <c r="G17" s="209"/>
      <c r="H17" s="209"/>
      <c r="I17" s="209"/>
      <c r="J17" s="210"/>
      <c r="K17" s="210"/>
      <c r="L17" s="209"/>
      <c r="M17" s="209"/>
      <c r="N17" s="209"/>
      <c r="O17" s="210"/>
      <c r="P17" s="210"/>
      <c r="Q17" s="209"/>
      <c r="R17" s="210"/>
      <c r="S17" s="210"/>
      <c r="T17" s="15"/>
      <c r="U17" s="15"/>
      <c r="V17" s="15"/>
    </row>
    <row r="18" spans="1:22" x14ac:dyDescent="0.25">
      <c r="A18" s="166"/>
      <c r="B18" s="268"/>
      <c r="C18" s="524"/>
      <c r="D18" s="525"/>
      <c r="E18" s="525"/>
      <c r="F18" s="525"/>
      <c r="G18" s="525"/>
      <c r="H18" s="525"/>
      <c r="I18" s="525"/>
      <c r="J18" s="536"/>
      <c r="K18" s="536"/>
      <c r="L18" s="525"/>
      <c r="M18" s="525"/>
      <c r="N18" s="525"/>
      <c r="O18" s="536"/>
      <c r="P18" s="165"/>
      <c r="Q18" s="525"/>
      <c r="R18" s="536"/>
      <c r="S18" s="536"/>
      <c r="T18" s="15"/>
      <c r="U18" s="15"/>
      <c r="V18" s="15"/>
    </row>
    <row r="19" spans="1:22" x14ac:dyDescent="0.25">
      <c r="A19" s="166"/>
      <c r="B19" s="167"/>
      <c r="C19" s="168"/>
      <c r="D19" s="169"/>
      <c r="E19" s="169"/>
      <c r="F19" s="169"/>
      <c r="G19" s="169"/>
      <c r="H19" s="169"/>
      <c r="I19" s="169"/>
      <c r="J19" s="170"/>
      <c r="K19" s="170"/>
      <c r="L19" s="169"/>
      <c r="M19" s="169"/>
      <c r="N19" s="169"/>
      <c r="O19" s="170"/>
      <c r="P19" s="170"/>
      <c r="Q19" s="169"/>
      <c r="R19" s="170"/>
      <c r="S19" s="170"/>
      <c r="T19" s="15"/>
      <c r="U19" s="15"/>
      <c r="V19" s="15"/>
    </row>
    <row r="20" spans="1:22" x14ac:dyDescent="0.25">
      <c r="A20" s="166"/>
      <c r="B20" s="207"/>
      <c r="C20" s="208"/>
      <c r="D20" s="209"/>
      <c r="E20" s="209"/>
      <c r="F20" s="209"/>
      <c r="G20" s="209"/>
      <c r="H20" s="209"/>
      <c r="I20" s="209"/>
      <c r="J20" s="210"/>
      <c r="K20" s="210"/>
      <c r="L20" s="209"/>
      <c r="M20" s="209"/>
      <c r="N20" s="209"/>
      <c r="O20" s="210"/>
      <c r="P20" s="210"/>
      <c r="Q20" s="209"/>
      <c r="R20" s="210"/>
      <c r="S20" s="210"/>
      <c r="T20" s="15"/>
      <c r="U20" s="15"/>
      <c r="V20" s="15"/>
    </row>
    <row r="21" spans="1:22" x14ac:dyDescent="0.25">
      <c r="A21" s="166"/>
      <c r="B21" s="268"/>
      <c r="C21" s="524"/>
      <c r="D21" s="525"/>
      <c r="E21" s="525"/>
      <c r="F21" s="525"/>
      <c r="G21" s="525"/>
      <c r="H21" s="525"/>
      <c r="I21" s="525"/>
      <c r="J21" s="536"/>
      <c r="K21" s="536"/>
      <c r="L21" s="525"/>
      <c r="M21" s="525"/>
      <c r="N21" s="525"/>
      <c r="O21" s="536"/>
      <c r="P21" s="165"/>
      <c r="Q21" s="525"/>
      <c r="R21" s="536"/>
      <c r="S21" s="536"/>
      <c r="T21" s="15"/>
      <c r="U21" s="15"/>
      <c r="V21" s="15"/>
    </row>
    <row r="22" spans="1:22" x14ac:dyDescent="0.25">
      <c r="A22" s="166"/>
      <c r="B22" s="167"/>
      <c r="C22" s="168"/>
      <c r="D22" s="169"/>
      <c r="E22" s="169"/>
      <c r="F22" s="169"/>
      <c r="G22" s="169"/>
      <c r="H22" s="169"/>
      <c r="I22" s="169"/>
      <c r="J22" s="170"/>
      <c r="K22" s="170"/>
      <c r="L22" s="169"/>
      <c r="M22" s="169"/>
      <c r="N22" s="169"/>
      <c r="O22" s="170"/>
      <c r="P22" s="170"/>
      <c r="Q22" s="169"/>
      <c r="R22" s="170"/>
      <c r="S22" s="170"/>
      <c r="T22" s="15"/>
      <c r="U22" s="15"/>
      <c r="V22" s="15"/>
    </row>
    <row r="23" spans="1:22" ht="15.75" thickBot="1" x14ac:dyDescent="0.3">
      <c r="A23" s="166"/>
      <c r="B23" s="531"/>
      <c r="C23" s="532"/>
      <c r="D23" s="533"/>
      <c r="E23" s="533"/>
      <c r="F23" s="533"/>
      <c r="G23" s="533"/>
      <c r="H23" s="533"/>
      <c r="I23" s="533"/>
      <c r="J23" s="537"/>
      <c r="K23" s="537"/>
      <c r="L23" s="533"/>
      <c r="M23" s="533"/>
      <c r="N23" s="533"/>
      <c r="O23" s="537"/>
      <c r="P23" s="537"/>
      <c r="Q23" s="533"/>
      <c r="R23" s="537"/>
      <c r="S23" s="537"/>
      <c r="T23" s="15"/>
      <c r="U23" s="15"/>
      <c r="V23" s="15"/>
    </row>
    <row r="24" spans="1:22" ht="15.75" thickTop="1" x14ac:dyDescent="0.25">
      <c r="A24" s="166"/>
      <c r="B24" s="167"/>
      <c r="C24" s="168"/>
      <c r="D24" s="169"/>
      <c r="E24" s="169"/>
      <c r="F24" s="169"/>
      <c r="G24" s="169"/>
      <c r="H24" s="169"/>
      <c r="I24" s="169"/>
      <c r="J24" s="170"/>
      <c r="K24" s="170"/>
      <c r="L24" s="169"/>
      <c r="M24" s="169"/>
      <c r="N24" s="169"/>
      <c r="O24" s="170"/>
      <c r="P24" s="170"/>
      <c r="Q24" s="169"/>
      <c r="R24" s="170"/>
      <c r="S24" s="170"/>
      <c r="T24" s="15"/>
      <c r="U24" s="15"/>
      <c r="V24" s="15"/>
    </row>
    <row r="25" spans="1:22" x14ac:dyDescent="0.25">
      <c r="A25" s="166"/>
      <c r="B25" s="167"/>
      <c r="C25" s="168"/>
      <c r="D25" s="169"/>
      <c r="E25" s="169"/>
      <c r="F25" s="169"/>
      <c r="G25" s="169"/>
      <c r="H25" s="169"/>
      <c r="I25" s="169"/>
      <c r="J25" s="170"/>
      <c r="K25" s="170"/>
      <c r="L25" s="169"/>
      <c r="M25" s="169"/>
      <c r="N25" s="169"/>
      <c r="O25" s="170"/>
      <c r="P25" s="170"/>
      <c r="Q25" s="169"/>
      <c r="R25" s="170"/>
      <c r="S25" s="170"/>
      <c r="T25" s="15"/>
      <c r="U25" s="15"/>
      <c r="V25" s="15"/>
    </row>
    <row r="26" spans="1:22" x14ac:dyDescent="0.25">
      <c r="A26" s="166"/>
      <c r="B26" s="207"/>
      <c r="C26" s="208"/>
      <c r="D26" s="209"/>
      <c r="E26" s="530"/>
      <c r="F26" s="209"/>
      <c r="G26" s="209"/>
      <c r="H26" s="209"/>
      <c r="I26" s="209"/>
      <c r="J26" s="210"/>
      <c r="K26" s="210"/>
      <c r="L26" s="209"/>
      <c r="M26" s="209"/>
      <c r="N26" s="209"/>
      <c r="O26" s="210"/>
      <c r="P26" s="210"/>
      <c r="Q26" s="209"/>
      <c r="R26" s="210"/>
      <c r="S26" s="210"/>
      <c r="T26" s="15"/>
      <c r="U26" s="15"/>
      <c r="V26" s="15"/>
    </row>
    <row r="27" spans="1:22" x14ac:dyDescent="0.25">
      <c r="A27" s="166"/>
      <c r="B27" s="268"/>
      <c r="C27" s="524"/>
      <c r="D27" s="525"/>
      <c r="E27" s="525"/>
      <c r="F27" s="525"/>
      <c r="G27" s="525"/>
      <c r="H27" s="525"/>
      <c r="I27" s="525"/>
      <c r="J27" s="536"/>
      <c r="K27" s="536"/>
      <c r="L27" s="525"/>
      <c r="M27" s="525"/>
      <c r="N27" s="525"/>
      <c r="O27" s="536"/>
      <c r="P27" s="165"/>
      <c r="Q27" s="525"/>
      <c r="R27" s="536"/>
      <c r="S27" s="536"/>
      <c r="T27" s="15"/>
      <c r="U27" s="15"/>
      <c r="V27" s="15"/>
    </row>
    <row r="28" spans="1:22" x14ac:dyDescent="0.25">
      <c r="A28" s="166"/>
      <c r="B28" s="167"/>
      <c r="C28" s="168"/>
      <c r="D28" s="169"/>
      <c r="E28" s="169"/>
      <c r="F28" s="169"/>
      <c r="G28" s="169"/>
      <c r="H28" s="169"/>
      <c r="I28" s="169"/>
      <c r="J28" s="170"/>
      <c r="K28" s="170"/>
      <c r="L28" s="169"/>
      <c r="M28" s="169"/>
      <c r="N28" s="169"/>
      <c r="O28" s="170"/>
      <c r="P28" s="170"/>
      <c r="Q28" s="169"/>
      <c r="R28" s="170"/>
      <c r="S28" s="170"/>
      <c r="T28" s="15"/>
      <c r="U28" s="15"/>
      <c r="V28" s="15"/>
    </row>
    <row r="29" spans="1:22" x14ac:dyDescent="0.25">
      <c r="A29" s="166"/>
      <c r="B29" s="207"/>
      <c r="C29" s="208"/>
      <c r="D29" s="209"/>
      <c r="E29" s="209"/>
      <c r="F29" s="209"/>
      <c r="G29" s="209"/>
      <c r="H29" s="209"/>
      <c r="I29" s="209"/>
      <c r="J29" s="210"/>
      <c r="K29" s="210"/>
      <c r="L29" s="209"/>
      <c r="M29" s="209"/>
      <c r="N29" s="209"/>
      <c r="O29" s="210"/>
      <c r="P29" s="210"/>
      <c r="Q29" s="209"/>
      <c r="R29" s="210"/>
      <c r="S29" s="210"/>
      <c r="T29" s="15"/>
      <c r="U29" s="15"/>
      <c r="V29" s="15"/>
    </row>
    <row r="30" spans="1:22" x14ac:dyDescent="0.25">
      <c r="A30" s="166"/>
      <c r="B30" s="268"/>
      <c r="C30" s="524"/>
      <c r="D30" s="525"/>
      <c r="E30" s="525"/>
      <c r="F30" s="525"/>
      <c r="G30" s="525"/>
      <c r="H30" s="525"/>
      <c r="I30" s="525"/>
      <c r="J30" s="536"/>
      <c r="K30" s="536"/>
      <c r="L30" s="525"/>
      <c r="M30" s="525"/>
      <c r="N30" s="525"/>
      <c r="O30" s="536"/>
      <c r="P30" s="165"/>
      <c r="Q30" s="525"/>
      <c r="R30" s="536"/>
      <c r="S30" s="536"/>
      <c r="T30" s="15"/>
      <c r="U30" s="15"/>
      <c r="V30" s="15"/>
    </row>
    <row r="31" spans="1:22" x14ac:dyDescent="0.25">
      <c r="A31" s="166"/>
      <c r="B31" s="167"/>
      <c r="C31" s="168"/>
      <c r="D31" s="169"/>
      <c r="E31" s="169"/>
      <c r="F31" s="169"/>
      <c r="G31" s="169"/>
      <c r="H31" s="169"/>
      <c r="I31" s="169"/>
      <c r="J31" s="170"/>
      <c r="K31" s="170"/>
      <c r="L31" s="169"/>
      <c r="M31" s="169"/>
      <c r="N31" s="169"/>
      <c r="O31" s="170"/>
      <c r="P31" s="170"/>
      <c r="Q31" s="169"/>
      <c r="R31" s="170"/>
      <c r="S31" s="170"/>
      <c r="T31" s="15"/>
      <c r="U31" s="15"/>
      <c r="V31" s="15"/>
    </row>
    <row r="32" spans="1:22" x14ac:dyDescent="0.25">
      <c r="A32" s="166"/>
      <c r="B32" s="207"/>
      <c r="C32" s="208"/>
      <c r="D32" s="209"/>
      <c r="E32" s="530"/>
      <c r="F32" s="209"/>
      <c r="G32" s="209"/>
      <c r="H32" s="209"/>
      <c r="I32" s="209"/>
      <c r="J32" s="210"/>
      <c r="K32" s="210"/>
      <c r="L32" s="209"/>
      <c r="M32" s="209"/>
      <c r="N32" s="209"/>
      <c r="O32" s="210"/>
      <c r="P32" s="210"/>
      <c r="Q32" s="209"/>
      <c r="R32" s="210"/>
      <c r="S32" s="210"/>
      <c r="T32" s="15"/>
      <c r="U32" s="15"/>
      <c r="V32" s="15"/>
    </row>
    <row r="33" spans="1:22" x14ac:dyDescent="0.25">
      <c r="A33" s="166"/>
      <c r="B33" s="268"/>
      <c r="C33" s="524"/>
      <c r="D33" s="525"/>
      <c r="E33" s="525"/>
      <c r="F33" s="525"/>
      <c r="G33" s="525"/>
      <c r="H33" s="525"/>
      <c r="I33" s="525"/>
      <c r="J33" s="536"/>
      <c r="K33" s="536"/>
      <c r="L33" s="525"/>
      <c r="M33" s="525"/>
      <c r="N33" s="525"/>
      <c r="O33" s="536"/>
      <c r="P33" s="165"/>
      <c r="Q33" s="525"/>
      <c r="R33" s="536"/>
      <c r="S33" s="536"/>
      <c r="T33" s="15"/>
      <c r="U33" s="15"/>
      <c r="V33" s="15"/>
    </row>
    <row r="34" spans="1:22" x14ac:dyDescent="0.25">
      <c r="A34" s="166"/>
      <c r="B34" s="167"/>
      <c r="C34" s="168"/>
      <c r="D34" s="169"/>
      <c r="E34" s="169"/>
      <c r="F34" s="169"/>
      <c r="G34" s="169"/>
      <c r="H34" s="169"/>
      <c r="I34" s="169"/>
      <c r="J34" s="170"/>
      <c r="K34" s="170"/>
      <c r="L34" s="169"/>
      <c r="M34" s="169"/>
      <c r="N34" s="169"/>
      <c r="O34" s="170"/>
      <c r="P34" s="170"/>
      <c r="Q34" s="169"/>
      <c r="R34" s="170"/>
      <c r="S34" s="170"/>
      <c r="T34" s="15"/>
      <c r="U34" s="15"/>
      <c r="V34" s="15"/>
    </row>
    <row r="35" spans="1:22" x14ac:dyDescent="0.25">
      <c r="A35" s="166"/>
      <c r="B35" s="207"/>
      <c r="C35" s="208"/>
      <c r="D35" s="209"/>
      <c r="E35" s="209"/>
      <c r="F35" s="209"/>
      <c r="G35" s="209"/>
      <c r="H35" s="209"/>
      <c r="I35" s="209"/>
      <c r="J35" s="210"/>
      <c r="K35" s="210"/>
      <c r="L35" s="209"/>
      <c r="M35" s="209"/>
      <c r="N35" s="209"/>
      <c r="O35" s="210"/>
      <c r="P35" s="210"/>
      <c r="Q35" s="209"/>
      <c r="R35" s="210"/>
      <c r="S35" s="210"/>
      <c r="T35" s="15"/>
      <c r="U35" s="15"/>
      <c r="V35" s="15"/>
    </row>
    <row r="36" spans="1:22" x14ac:dyDescent="0.25">
      <c r="A36" s="166"/>
      <c r="B36" s="268"/>
      <c r="C36" s="524"/>
      <c r="D36" s="525"/>
      <c r="E36" s="525"/>
      <c r="F36" s="525"/>
      <c r="G36" s="525"/>
      <c r="H36" s="525"/>
      <c r="I36" s="525"/>
      <c r="J36" s="536"/>
      <c r="K36" s="536"/>
      <c r="L36" s="525"/>
      <c r="M36" s="525"/>
      <c r="N36" s="525"/>
      <c r="O36" s="536"/>
      <c r="P36" s="165"/>
      <c r="Q36" s="525"/>
      <c r="R36" s="536"/>
      <c r="S36" s="536"/>
      <c r="T36" s="15"/>
      <c r="U36" s="15"/>
      <c r="V36" s="15"/>
    </row>
    <row r="37" spans="1:22" x14ac:dyDescent="0.25">
      <c r="A37" s="166"/>
      <c r="B37" s="167"/>
      <c r="C37" s="168"/>
      <c r="D37" s="169"/>
      <c r="E37" s="169"/>
      <c r="F37" s="169"/>
      <c r="G37" s="169"/>
      <c r="H37" s="169"/>
      <c r="I37" s="169"/>
      <c r="J37" s="170"/>
      <c r="K37" s="170"/>
      <c r="L37" s="169"/>
      <c r="M37" s="169"/>
      <c r="N37" s="169"/>
      <c r="O37" s="170"/>
      <c r="P37" s="170"/>
      <c r="Q37" s="169"/>
      <c r="R37" s="170"/>
      <c r="S37" s="170"/>
      <c r="T37" s="15"/>
      <c r="U37" s="15"/>
      <c r="V37" s="15"/>
    </row>
    <row r="38" spans="1:22" x14ac:dyDescent="0.25">
      <c r="A38" s="166"/>
      <c r="B38" s="207"/>
      <c r="C38" s="208"/>
      <c r="D38" s="209"/>
      <c r="E38" s="209"/>
      <c r="F38" s="209"/>
      <c r="G38" s="209"/>
      <c r="H38" s="209"/>
      <c r="I38" s="209"/>
      <c r="J38" s="210"/>
      <c r="K38" s="210"/>
      <c r="L38" s="209"/>
      <c r="M38" s="209"/>
      <c r="N38" s="209"/>
      <c r="O38" s="210"/>
      <c r="P38" s="210"/>
      <c r="Q38" s="209"/>
      <c r="R38" s="210"/>
      <c r="S38" s="210"/>
      <c r="T38" s="15"/>
      <c r="U38" s="15"/>
      <c r="V38" s="15"/>
    </row>
    <row r="39" spans="1:22" x14ac:dyDescent="0.25">
      <c r="A39" s="166"/>
      <c r="B39" s="268"/>
      <c r="C39" s="524"/>
      <c r="D39" s="525"/>
      <c r="E39" s="525"/>
      <c r="F39" s="525"/>
      <c r="G39" s="525"/>
      <c r="H39" s="525"/>
      <c r="I39" s="525"/>
      <c r="J39" s="536"/>
      <c r="K39" s="536"/>
      <c r="L39" s="525"/>
      <c r="M39" s="525"/>
      <c r="N39" s="525"/>
      <c r="O39" s="536"/>
      <c r="P39" s="165"/>
      <c r="Q39" s="525"/>
      <c r="R39" s="536"/>
      <c r="S39" s="536"/>
      <c r="T39" s="15"/>
      <c r="U39" s="15"/>
      <c r="V39" s="15"/>
    </row>
    <row r="40" spans="1:22" x14ac:dyDescent="0.25">
      <c r="A40" s="166"/>
      <c r="B40" s="167"/>
      <c r="C40" s="168"/>
      <c r="D40" s="169"/>
      <c r="E40" s="169"/>
      <c r="F40" s="169"/>
      <c r="G40" s="169"/>
      <c r="H40" s="169"/>
      <c r="I40" s="169"/>
      <c r="J40" s="170"/>
      <c r="K40" s="170"/>
      <c r="L40" s="169"/>
      <c r="M40" s="169"/>
      <c r="N40" s="169"/>
      <c r="O40" s="170"/>
      <c r="P40" s="170"/>
      <c r="Q40" s="169"/>
      <c r="R40" s="170"/>
      <c r="S40" s="170"/>
      <c r="T40" s="15"/>
      <c r="U40" s="15"/>
      <c r="V40" s="15"/>
    </row>
    <row r="41" spans="1:22" ht="15.75" thickBot="1" x14ac:dyDescent="0.3">
      <c r="A41" s="540"/>
      <c r="B41" s="541"/>
      <c r="C41" s="542"/>
      <c r="D41" s="543"/>
      <c r="E41" s="543"/>
      <c r="F41" s="543"/>
      <c r="G41" s="543"/>
      <c r="H41" s="543"/>
      <c r="I41" s="543"/>
      <c r="J41" s="544"/>
      <c r="K41" s="544"/>
      <c r="L41" s="543"/>
      <c r="M41" s="543"/>
      <c r="N41" s="543"/>
      <c r="O41" s="544"/>
      <c r="P41" s="544"/>
      <c r="Q41" s="543"/>
      <c r="R41" s="544"/>
      <c r="S41" s="544"/>
      <c r="T41" s="15"/>
      <c r="U41" s="15"/>
      <c r="V41" s="15"/>
    </row>
    <row r="42" spans="1:22" x14ac:dyDescent="0.25">
      <c r="A42" s="526"/>
      <c r="B42" s="167"/>
      <c r="C42" s="168"/>
      <c r="D42" s="169"/>
      <c r="E42" s="169"/>
      <c r="F42" s="169"/>
      <c r="G42" s="169"/>
      <c r="H42" s="169"/>
      <c r="I42" s="169"/>
      <c r="J42" s="170"/>
      <c r="K42" s="170"/>
      <c r="L42" s="169"/>
      <c r="M42" s="169"/>
      <c r="N42" s="169"/>
      <c r="O42" s="170"/>
      <c r="P42" s="170"/>
      <c r="Q42" s="169"/>
      <c r="R42" s="170"/>
      <c r="S42" s="170"/>
      <c r="T42" s="15"/>
      <c r="U42" s="15"/>
      <c r="V42" s="15"/>
    </row>
    <row r="43" spans="1:22" x14ac:dyDescent="0.25">
      <c r="A43" s="166"/>
      <c r="B43" s="167"/>
      <c r="C43" s="168"/>
      <c r="D43" s="169"/>
      <c r="E43" s="169"/>
      <c r="F43" s="169"/>
      <c r="G43" s="169"/>
      <c r="H43" s="169"/>
      <c r="I43" s="169"/>
      <c r="J43" s="170"/>
      <c r="K43" s="170"/>
      <c r="L43" s="169"/>
      <c r="M43" s="169"/>
      <c r="N43" s="169"/>
      <c r="O43" s="170"/>
      <c r="P43" s="170"/>
      <c r="Q43" s="169"/>
      <c r="R43" s="170"/>
      <c r="S43" s="170"/>
      <c r="T43" s="15"/>
      <c r="U43" s="15"/>
      <c r="V43" s="15"/>
    </row>
    <row r="44" spans="1:22" x14ac:dyDescent="0.25">
      <c r="A44" s="166"/>
      <c r="B44" s="207"/>
      <c r="C44" s="208"/>
      <c r="D44" s="209"/>
      <c r="E44" s="209"/>
      <c r="F44" s="209"/>
      <c r="G44" s="209"/>
      <c r="H44" s="209"/>
      <c r="I44" s="209"/>
      <c r="J44" s="210"/>
      <c r="K44" s="210"/>
      <c r="L44" s="530"/>
      <c r="M44" s="209"/>
      <c r="N44" s="209"/>
      <c r="O44" s="210"/>
      <c r="P44" s="210"/>
      <c r="Q44" s="209"/>
      <c r="R44" s="210"/>
      <c r="S44" s="210"/>
      <c r="T44" s="15"/>
      <c r="U44" s="15"/>
      <c r="V44" s="15"/>
    </row>
    <row r="45" spans="1:22" x14ac:dyDescent="0.25">
      <c r="A45" s="166"/>
      <c r="B45" s="268"/>
      <c r="C45" s="524"/>
      <c r="D45" s="525"/>
      <c r="E45" s="525"/>
      <c r="F45" s="525"/>
      <c r="G45" s="525"/>
      <c r="H45" s="525"/>
      <c r="I45" s="525"/>
      <c r="J45" s="536"/>
      <c r="K45" s="536"/>
      <c r="L45" s="525"/>
      <c r="M45" s="525"/>
      <c r="N45" s="525"/>
      <c r="O45" s="536"/>
      <c r="P45" s="165"/>
      <c r="Q45" s="525"/>
      <c r="R45" s="536"/>
      <c r="S45" s="536"/>
      <c r="T45" s="15"/>
      <c r="U45" s="15"/>
      <c r="V45" s="15"/>
    </row>
    <row r="46" spans="1:22" x14ac:dyDescent="0.25">
      <c r="A46" s="166"/>
      <c r="B46" s="167"/>
      <c r="C46" s="168"/>
      <c r="D46" s="169"/>
      <c r="E46" s="169"/>
      <c r="F46" s="169"/>
      <c r="G46" s="169"/>
      <c r="H46" s="169"/>
      <c r="I46" s="169"/>
      <c r="J46" s="170"/>
      <c r="K46" s="170"/>
      <c r="L46" s="169"/>
      <c r="M46" s="169"/>
      <c r="N46" s="169"/>
      <c r="O46" s="170"/>
      <c r="P46" s="170"/>
      <c r="Q46" s="169"/>
      <c r="R46" s="170"/>
      <c r="S46" s="170"/>
      <c r="T46" s="15"/>
      <c r="U46" s="15"/>
      <c r="V46" s="15"/>
    </row>
    <row r="47" spans="1:22" x14ac:dyDescent="0.25">
      <c r="A47" s="166"/>
      <c r="B47" s="207"/>
      <c r="C47" s="208"/>
      <c r="D47" s="209"/>
      <c r="E47" s="209"/>
      <c r="F47" s="209"/>
      <c r="G47" s="209"/>
      <c r="H47" s="209"/>
      <c r="I47" s="209"/>
      <c r="J47" s="210"/>
      <c r="K47" s="210"/>
      <c r="L47" s="530"/>
      <c r="M47" s="209"/>
      <c r="N47" s="209"/>
      <c r="O47" s="210"/>
      <c r="P47" s="210"/>
      <c r="Q47" s="209"/>
      <c r="R47" s="210"/>
      <c r="S47" s="210"/>
      <c r="T47" s="15"/>
      <c r="U47" s="15"/>
      <c r="V47" s="15"/>
    </row>
    <row r="48" spans="1:22" x14ac:dyDescent="0.25">
      <c r="A48" s="166"/>
      <c r="B48" s="268"/>
      <c r="C48" s="524"/>
      <c r="D48" s="525"/>
      <c r="E48" s="525"/>
      <c r="F48" s="525"/>
      <c r="G48" s="525"/>
      <c r="H48" s="525"/>
      <c r="I48" s="525"/>
      <c r="J48" s="536"/>
      <c r="K48" s="536"/>
      <c r="L48" s="525"/>
      <c r="M48" s="525"/>
      <c r="N48" s="525"/>
      <c r="O48" s="536"/>
      <c r="P48" s="165"/>
      <c r="Q48" s="525"/>
      <c r="R48" s="536"/>
      <c r="S48" s="536"/>
      <c r="T48" s="15"/>
      <c r="U48" s="15"/>
      <c r="V48" s="15"/>
    </row>
    <row r="49" spans="1:22" x14ac:dyDescent="0.25">
      <c r="A49" s="166"/>
      <c r="B49" s="167"/>
      <c r="C49" s="168"/>
      <c r="D49" s="169"/>
      <c r="E49" s="169"/>
      <c r="F49" s="169"/>
      <c r="G49" s="169"/>
      <c r="H49" s="169"/>
      <c r="I49" s="169"/>
      <c r="J49" s="170"/>
      <c r="K49" s="170"/>
      <c r="L49" s="169"/>
      <c r="M49" s="169"/>
      <c r="N49" s="169"/>
      <c r="O49" s="170"/>
      <c r="P49" s="170"/>
      <c r="Q49" s="169"/>
      <c r="R49" s="170"/>
      <c r="S49" s="170"/>
      <c r="T49" s="15"/>
      <c r="U49" s="15"/>
      <c r="V49" s="15"/>
    </row>
    <row r="50" spans="1:22" x14ac:dyDescent="0.25">
      <c r="A50" s="166"/>
      <c r="B50" s="207"/>
      <c r="C50" s="208"/>
      <c r="D50" s="209"/>
      <c r="E50" s="209"/>
      <c r="F50" s="209"/>
      <c r="G50" s="209"/>
      <c r="H50" s="209"/>
      <c r="I50" s="209"/>
      <c r="J50" s="210"/>
      <c r="K50" s="210"/>
      <c r="L50" s="209"/>
      <c r="M50" s="209"/>
      <c r="N50" s="209"/>
      <c r="O50" s="210"/>
      <c r="P50" s="210"/>
      <c r="Q50" s="209"/>
      <c r="R50" s="210"/>
      <c r="S50" s="210"/>
      <c r="T50" s="15"/>
      <c r="U50" s="15"/>
      <c r="V50" s="15"/>
    </row>
    <row r="51" spans="1:22" x14ac:dyDescent="0.25">
      <c r="A51" s="166"/>
      <c r="B51" s="268"/>
      <c r="C51" s="524"/>
      <c r="D51" s="525"/>
      <c r="E51" s="525"/>
      <c r="F51" s="525"/>
      <c r="G51" s="525"/>
      <c r="H51" s="525"/>
      <c r="I51" s="525"/>
      <c r="J51" s="536"/>
      <c r="K51" s="536"/>
      <c r="L51" s="525"/>
      <c r="M51" s="525"/>
      <c r="N51" s="525"/>
      <c r="O51" s="536"/>
      <c r="P51" s="165"/>
      <c r="Q51" s="525"/>
      <c r="R51" s="536"/>
      <c r="S51" s="536"/>
      <c r="T51" s="15"/>
      <c r="U51" s="15"/>
      <c r="V51" s="15"/>
    </row>
    <row r="52" spans="1:22" x14ac:dyDescent="0.25">
      <c r="A52" s="166"/>
      <c r="B52" s="167"/>
      <c r="C52" s="168"/>
      <c r="D52" s="169"/>
      <c r="E52" s="169"/>
      <c r="F52" s="169"/>
      <c r="G52" s="169"/>
      <c r="H52" s="169"/>
      <c r="I52" s="169"/>
      <c r="J52" s="170"/>
      <c r="K52" s="170"/>
      <c r="L52" s="169"/>
      <c r="M52" s="169"/>
      <c r="N52" s="169"/>
      <c r="O52" s="170"/>
      <c r="P52" s="170"/>
      <c r="Q52" s="169"/>
      <c r="R52" s="170"/>
      <c r="S52" s="170"/>
      <c r="T52" s="15"/>
      <c r="U52" s="15"/>
      <c r="V52" s="15"/>
    </row>
    <row r="53" spans="1:22" x14ac:dyDescent="0.25">
      <c r="A53" s="166"/>
      <c r="B53" s="207"/>
      <c r="C53" s="208"/>
      <c r="D53" s="209"/>
      <c r="E53" s="209"/>
      <c r="F53" s="209"/>
      <c r="G53" s="209"/>
      <c r="H53" s="209"/>
      <c r="I53" s="209"/>
      <c r="J53" s="210"/>
      <c r="K53" s="210"/>
      <c r="L53" s="209"/>
      <c r="M53" s="209"/>
      <c r="N53" s="209"/>
      <c r="O53" s="210"/>
      <c r="P53" s="210"/>
      <c r="Q53" s="209"/>
      <c r="R53" s="210"/>
      <c r="S53" s="210"/>
      <c r="T53" s="15"/>
      <c r="U53" s="15"/>
      <c r="V53" s="15"/>
    </row>
    <row r="54" spans="1:22" x14ac:dyDescent="0.25">
      <c r="A54" s="166"/>
      <c r="B54" s="268"/>
      <c r="C54" s="524"/>
      <c r="D54" s="525"/>
      <c r="E54" s="525"/>
      <c r="F54" s="525"/>
      <c r="G54" s="525"/>
      <c r="H54" s="525"/>
      <c r="I54" s="525"/>
      <c r="J54" s="536"/>
      <c r="K54" s="536"/>
      <c r="L54" s="525"/>
      <c r="M54" s="525"/>
      <c r="N54" s="525"/>
      <c r="O54" s="536"/>
      <c r="P54" s="165"/>
      <c r="Q54" s="525"/>
      <c r="R54" s="536"/>
      <c r="S54" s="536"/>
      <c r="T54" s="15"/>
      <c r="U54" s="15"/>
      <c r="V54" s="15"/>
    </row>
    <row r="55" spans="1:22" x14ac:dyDescent="0.25">
      <c r="A55" s="166"/>
      <c r="B55" s="167"/>
      <c r="C55" s="168"/>
      <c r="D55" s="169"/>
      <c r="E55" s="169"/>
      <c r="F55" s="169"/>
      <c r="G55" s="169"/>
      <c r="H55" s="169"/>
      <c r="I55" s="169"/>
      <c r="J55" s="170"/>
      <c r="K55" s="170"/>
      <c r="L55" s="169"/>
      <c r="M55" s="169"/>
      <c r="N55" s="169"/>
      <c r="O55" s="170"/>
      <c r="P55" s="170"/>
      <c r="Q55" s="169"/>
      <c r="R55" s="170"/>
      <c r="S55" s="170"/>
      <c r="T55" s="15"/>
      <c r="U55" s="15"/>
      <c r="V55" s="15"/>
    </row>
    <row r="56" spans="1:22" x14ac:dyDescent="0.25">
      <c r="A56" s="166"/>
      <c r="B56" s="207"/>
      <c r="C56" s="208"/>
      <c r="D56" s="209"/>
      <c r="E56" s="209"/>
      <c r="F56" s="209"/>
      <c r="G56" s="209"/>
      <c r="H56" s="209"/>
      <c r="I56" s="209"/>
      <c r="J56" s="210"/>
      <c r="K56" s="210"/>
      <c r="L56" s="209"/>
      <c r="M56" s="209"/>
      <c r="N56" s="209"/>
      <c r="O56" s="210"/>
      <c r="P56" s="210"/>
      <c r="Q56" s="209"/>
      <c r="R56" s="210"/>
      <c r="S56" s="210"/>
      <c r="T56" s="15"/>
      <c r="U56" s="15"/>
      <c r="V56" s="15"/>
    </row>
    <row r="57" spans="1:22" x14ac:dyDescent="0.25">
      <c r="A57" s="166"/>
      <c r="B57" s="268"/>
      <c r="C57" s="524"/>
      <c r="D57" s="525"/>
      <c r="E57" s="525"/>
      <c r="F57" s="525"/>
      <c r="G57" s="525"/>
      <c r="H57" s="525"/>
      <c r="I57" s="525"/>
      <c r="J57" s="536"/>
      <c r="K57" s="536"/>
      <c r="L57" s="525"/>
      <c r="M57" s="525"/>
      <c r="N57" s="525"/>
      <c r="O57" s="536"/>
      <c r="P57" s="165"/>
      <c r="Q57" s="525"/>
      <c r="R57" s="536"/>
      <c r="S57" s="536"/>
      <c r="T57" s="15"/>
      <c r="U57" s="15"/>
      <c r="V57" s="15"/>
    </row>
    <row r="58" spans="1:22" x14ac:dyDescent="0.25">
      <c r="A58" s="166"/>
      <c r="B58" s="167"/>
      <c r="C58" s="168"/>
      <c r="D58" s="169"/>
      <c r="E58" s="169"/>
      <c r="F58" s="169"/>
      <c r="G58" s="169"/>
      <c r="H58" s="169"/>
      <c r="I58" s="169"/>
      <c r="J58" s="170"/>
      <c r="K58" s="170"/>
      <c r="L58" s="169"/>
      <c r="M58" s="169"/>
      <c r="N58" s="169"/>
      <c r="O58" s="170"/>
      <c r="P58" s="170"/>
      <c r="Q58" s="169"/>
      <c r="R58" s="170"/>
      <c r="S58" s="170"/>
      <c r="T58" s="15"/>
      <c r="U58" s="15"/>
      <c r="V58" s="15"/>
    </row>
    <row r="59" spans="1:22" ht="15.75" thickBot="1" x14ac:dyDescent="0.3">
      <c r="A59" s="166"/>
      <c r="B59" s="531"/>
      <c r="C59" s="532"/>
      <c r="D59" s="533"/>
      <c r="E59" s="533"/>
      <c r="F59" s="533"/>
      <c r="G59" s="533"/>
      <c r="H59" s="533"/>
      <c r="I59" s="533"/>
      <c r="J59" s="537"/>
      <c r="K59" s="537"/>
      <c r="L59" s="533"/>
      <c r="M59" s="533"/>
      <c r="N59" s="533"/>
      <c r="O59" s="537"/>
      <c r="P59" s="537"/>
      <c r="Q59" s="533"/>
      <c r="R59" s="537"/>
      <c r="S59" s="537"/>
      <c r="T59" s="15"/>
      <c r="U59" s="15"/>
      <c r="V59" s="15"/>
    </row>
    <row r="60" spans="1:22" ht="15.75" thickTop="1" x14ac:dyDescent="0.25">
      <c r="A60" s="166"/>
      <c r="B60" s="167"/>
      <c r="C60" s="168"/>
      <c r="D60" s="169"/>
      <c r="E60" s="169"/>
      <c r="F60" s="169"/>
      <c r="G60" s="169"/>
      <c r="H60" s="169"/>
      <c r="I60" s="169"/>
      <c r="J60" s="170"/>
      <c r="K60" s="170"/>
      <c r="L60" s="169"/>
      <c r="M60" s="169"/>
      <c r="N60" s="169"/>
      <c r="O60" s="170"/>
      <c r="P60" s="170"/>
      <c r="Q60" s="169"/>
      <c r="R60" s="170"/>
      <c r="S60" s="170"/>
      <c r="T60" s="15"/>
      <c r="U60" s="15"/>
      <c r="V60" s="15"/>
    </row>
    <row r="61" spans="1:22" x14ac:dyDescent="0.25">
      <c r="A61" s="166"/>
      <c r="B61" s="167"/>
      <c r="C61" s="168"/>
      <c r="D61" s="169"/>
      <c r="E61" s="169"/>
      <c r="F61" s="169"/>
      <c r="G61" s="169"/>
      <c r="H61" s="169"/>
      <c r="I61" s="169"/>
      <c r="J61" s="170"/>
      <c r="K61" s="170"/>
      <c r="L61" s="169"/>
      <c r="M61" s="169"/>
      <c r="N61" s="169"/>
      <c r="O61" s="170"/>
      <c r="P61" s="170"/>
      <c r="Q61" s="169"/>
      <c r="R61" s="170"/>
      <c r="S61" s="170"/>
      <c r="T61" s="15"/>
      <c r="U61" s="15"/>
      <c r="V61" s="15"/>
    </row>
    <row r="62" spans="1:22" x14ac:dyDescent="0.25">
      <c r="A62" s="166"/>
      <c r="B62" s="207"/>
      <c r="C62" s="208"/>
      <c r="D62" s="209"/>
      <c r="E62" s="209"/>
      <c r="F62" s="530"/>
      <c r="G62" s="530"/>
      <c r="H62" s="530"/>
      <c r="I62" s="209"/>
      <c r="J62" s="210"/>
      <c r="K62" s="210"/>
      <c r="L62" s="209"/>
      <c r="M62" s="209"/>
      <c r="N62" s="209"/>
      <c r="O62" s="210"/>
      <c r="P62" s="210"/>
      <c r="Q62" s="209"/>
      <c r="R62" s="210"/>
      <c r="S62" s="210"/>
      <c r="T62" s="15"/>
      <c r="U62" s="15"/>
      <c r="V62" s="15"/>
    </row>
    <row r="63" spans="1:22" x14ac:dyDescent="0.25">
      <c r="A63" s="166"/>
      <c r="B63" s="268"/>
      <c r="C63" s="524"/>
      <c r="D63" s="525"/>
      <c r="E63" s="525"/>
      <c r="F63" s="525"/>
      <c r="G63" s="525"/>
      <c r="H63" s="525"/>
      <c r="I63" s="525"/>
      <c r="J63" s="536"/>
      <c r="K63" s="536"/>
      <c r="L63" s="525"/>
      <c r="M63" s="525"/>
      <c r="N63" s="525"/>
      <c r="O63" s="536"/>
      <c r="P63" s="165"/>
      <c r="Q63" s="525"/>
      <c r="R63" s="536"/>
      <c r="S63" s="536"/>
      <c r="T63" s="15"/>
      <c r="U63" s="15"/>
      <c r="V63" s="15"/>
    </row>
    <row r="64" spans="1:22" x14ac:dyDescent="0.25">
      <c r="A64" s="166"/>
      <c r="B64" s="167"/>
      <c r="C64" s="168"/>
      <c r="D64" s="169"/>
      <c r="E64" s="169"/>
      <c r="F64" s="169"/>
      <c r="G64" s="169"/>
      <c r="H64" s="169"/>
      <c r="I64" s="169"/>
      <c r="J64" s="170"/>
      <c r="K64" s="170"/>
      <c r="L64" s="169"/>
      <c r="M64" s="169"/>
      <c r="N64" s="169"/>
      <c r="O64" s="170"/>
      <c r="P64" s="170"/>
      <c r="Q64" s="169"/>
      <c r="R64" s="170"/>
      <c r="S64" s="170"/>
      <c r="T64" s="15"/>
      <c r="U64" s="15"/>
      <c r="V64" s="15"/>
    </row>
    <row r="65" spans="1:23" x14ac:dyDescent="0.25">
      <c r="A65" s="166"/>
      <c r="B65" s="207"/>
      <c r="C65" s="208"/>
      <c r="D65" s="209"/>
      <c r="E65" s="209"/>
      <c r="F65" s="209"/>
      <c r="G65" s="209"/>
      <c r="H65" s="209"/>
      <c r="I65" s="209"/>
      <c r="J65" s="210"/>
      <c r="K65" s="210"/>
      <c r="L65" s="209"/>
      <c r="M65" s="209"/>
      <c r="N65" s="209"/>
      <c r="O65" s="210"/>
      <c r="P65" s="210"/>
      <c r="Q65" s="209"/>
      <c r="R65" s="210"/>
      <c r="S65" s="210"/>
      <c r="T65" s="15"/>
      <c r="U65" s="15"/>
      <c r="V65" s="15"/>
    </row>
    <row r="66" spans="1:23" x14ac:dyDescent="0.25">
      <c r="A66" s="166"/>
      <c r="B66" s="268"/>
      <c r="C66" s="524"/>
      <c r="D66" s="525"/>
      <c r="E66" s="525"/>
      <c r="F66" s="525"/>
      <c r="G66" s="525"/>
      <c r="H66" s="525"/>
      <c r="I66" s="525"/>
      <c r="J66" s="536"/>
      <c r="K66" s="536"/>
      <c r="L66" s="525"/>
      <c r="M66" s="525"/>
      <c r="N66" s="525"/>
      <c r="O66" s="536"/>
      <c r="P66" s="165"/>
      <c r="Q66" s="525"/>
      <c r="R66" s="536"/>
      <c r="S66" s="536"/>
      <c r="T66" s="15"/>
      <c r="U66" s="15"/>
      <c r="V66" s="15"/>
    </row>
    <row r="67" spans="1:23" x14ac:dyDescent="0.25">
      <c r="A67" s="166"/>
      <c r="B67" s="167"/>
      <c r="C67" s="168"/>
      <c r="D67" s="169"/>
      <c r="E67" s="169"/>
      <c r="F67" s="169"/>
      <c r="G67" s="169"/>
      <c r="H67" s="169"/>
      <c r="I67" s="169"/>
      <c r="J67" s="170"/>
      <c r="K67" s="170"/>
      <c r="L67" s="169"/>
      <c r="M67" s="169"/>
      <c r="N67" s="169"/>
      <c r="O67" s="170"/>
      <c r="P67" s="170"/>
      <c r="Q67" s="169"/>
      <c r="R67" s="170"/>
      <c r="S67" s="170"/>
      <c r="T67" s="15"/>
      <c r="U67" s="15"/>
      <c r="V67" s="15"/>
    </row>
    <row r="68" spans="1:23" x14ac:dyDescent="0.25">
      <c r="A68" s="166"/>
      <c r="B68" s="207"/>
      <c r="C68" s="208"/>
      <c r="D68" s="209"/>
      <c r="E68" s="209"/>
      <c r="F68" s="530"/>
      <c r="G68" s="530"/>
      <c r="H68" s="530"/>
      <c r="I68" s="209"/>
      <c r="J68" s="210"/>
      <c r="K68" s="210"/>
      <c r="L68" s="209"/>
      <c r="M68" s="209"/>
      <c r="N68" s="209"/>
      <c r="O68" s="210"/>
      <c r="P68" s="210"/>
      <c r="Q68" s="209"/>
      <c r="R68" s="210"/>
      <c r="S68" s="210"/>
      <c r="T68" s="15"/>
      <c r="U68" s="15"/>
      <c r="V68" s="15"/>
    </row>
    <row r="69" spans="1:23" x14ac:dyDescent="0.25">
      <c r="A69" s="166"/>
      <c r="B69" s="268"/>
      <c r="C69" s="524"/>
      <c r="D69" s="525"/>
      <c r="E69" s="525"/>
      <c r="F69" s="525"/>
      <c r="G69" s="525"/>
      <c r="H69" s="525"/>
      <c r="I69" s="525"/>
      <c r="J69" s="536"/>
      <c r="K69" s="536"/>
      <c r="L69" s="525"/>
      <c r="M69" s="525"/>
      <c r="N69" s="525"/>
      <c r="O69" s="536"/>
      <c r="P69" s="165"/>
      <c r="Q69" s="525"/>
      <c r="R69" s="536"/>
      <c r="S69" s="536"/>
      <c r="T69" s="15"/>
      <c r="U69" s="15"/>
      <c r="V69" s="15"/>
    </row>
    <row r="70" spans="1:23" x14ac:dyDescent="0.25">
      <c r="A70" s="166"/>
      <c r="B70" s="167"/>
      <c r="C70" s="168"/>
      <c r="D70" s="169"/>
      <c r="E70" s="169"/>
      <c r="F70" s="169"/>
      <c r="G70" s="169"/>
      <c r="H70" s="169"/>
      <c r="I70" s="169"/>
      <c r="J70" s="170"/>
      <c r="K70" s="170"/>
      <c r="L70" s="169"/>
      <c r="M70" s="169"/>
      <c r="N70" s="169"/>
      <c r="O70" s="170"/>
      <c r="P70" s="170"/>
      <c r="Q70" s="169"/>
      <c r="R70" s="170"/>
      <c r="S70" s="170"/>
      <c r="T70" s="15"/>
      <c r="U70" s="15"/>
      <c r="V70" s="15"/>
    </row>
    <row r="71" spans="1:23" x14ac:dyDescent="0.25">
      <c r="A71" s="166"/>
      <c r="B71" s="207"/>
      <c r="C71" s="208"/>
      <c r="D71" s="209"/>
      <c r="E71" s="209"/>
      <c r="F71" s="209"/>
      <c r="G71" s="209"/>
      <c r="H71" s="530"/>
      <c r="I71" s="209"/>
      <c r="J71" s="210"/>
      <c r="K71" s="210"/>
      <c r="L71" s="209"/>
      <c r="M71" s="209"/>
      <c r="N71" s="209"/>
      <c r="O71" s="210"/>
      <c r="P71" s="210"/>
      <c r="Q71" s="209"/>
      <c r="R71" s="210"/>
      <c r="S71" s="210"/>
      <c r="T71" s="15"/>
      <c r="U71" s="15"/>
      <c r="V71" s="15"/>
    </row>
    <row r="72" spans="1:23" x14ac:dyDescent="0.25">
      <c r="A72" s="166"/>
      <c r="B72" s="268"/>
      <c r="C72" s="524"/>
      <c r="D72" s="525"/>
      <c r="E72" s="525"/>
      <c r="F72" s="525"/>
      <c r="G72" s="525"/>
      <c r="H72" s="525"/>
      <c r="I72" s="525"/>
      <c r="J72" s="536"/>
      <c r="K72" s="536"/>
      <c r="L72" s="525"/>
      <c r="M72" s="525"/>
      <c r="N72" s="525"/>
      <c r="O72" s="536"/>
      <c r="P72" s="165"/>
      <c r="Q72" s="525"/>
      <c r="R72" s="536"/>
      <c r="S72" s="536"/>
      <c r="T72" s="15"/>
      <c r="U72" s="15"/>
      <c r="V72" s="15"/>
    </row>
    <row r="73" spans="1:23" x14ac:dyDescent="0.25">
      <c r="A73" s="166"/>
      <c r="B73" s="167"/>
      <c r="C73" s="168"/>
      <c r="D73" s="169"/>
      <c r="E73" s="169"/>
      <c r="F73" s="169"/>
      <c r="G73" s="169"/>
      <c r="H73" s="169"/>
      <c r="I73" s="169"/>
      <c r="J73" s="170"/>
      <c r="K73" s="170"/>
      <c r="L73" s="169"/>
      <c r="M73" s="169"/>
      <c r="N73" s="169"/>
      <c r="O73" s="170"/>
      <c r="P73" s="170"/>
      <c r="Q73" s="169"/>
      <c r="R73" s="170"/>
      <c r="S73" s="170"/>
      <c r="T73" s="15"/>
      <c r="U73" s="15"/>
      <c r="V73" s="15"/>
    </row>
    <row r="74" spans="1:23" x14ac:dyDescent="0.25">
      <c r="A74" s="166"/>
      <c r="B74" s="207"/>
      <c r="C74" s="208"/>
      <c r="D74" s="209"/>
      <c r="E74" s="209"/>
      <c r="F74" s="209"/>
      <c r="G74" s="209"/>
      <c r="H74" s="209"/>
      <c r="I74" s="209"/>
      <c r="J74" s="210"/>
      <c r="K74" s="210"/>
      <c r="L74" s="209"/>
      <c r="M74" s="209"/>
      <c r="N74" s="209"/>
      <c r="O74" s="210"/>
      <c r="P74" s="210"/>
      <c r="Q74" s="209"/>
      <c r="R74" s="210"/>
      <c r="S74" s="210"/>
      <c r="T74" s="15"/>
      <c r="U74" s="15"/>
      <c r="V74" s="15"/>
    </row>
    <row r="75" spans="1:23" x14ac:dyDescent="0.25">
      <c r="A75" s="166"/>
      <c r="B75" s="268"/>
      <c r="C75" s="524"/>
      <c r="D75" s="525"/>
      <c r="E75" s="525"/>
      <c r="F75" s="525"/>
      <c r="G75" s="525"/>
      <c r="H75" s="525"/>
      <c r="I75" s="525"/>
      <c r="J75" s="536"/>
      <c r="K75" s="536"/>
      <c r="L75" s="525"/>
      <c r="M75" s="525"/>
      <c r="N75" s="525"/>
      <c r="O75" s="536"/>
      <c r="P75" s="165"/>
      <c r="Q75" s="525"/>
      <c r="R75" s="536"/>
      <c r="S75" s="536"/>
      <c r="T75" s="15"/>
      <c r="U75" s="15"/>
      <c r="V75" s="15"/>
    </row>
    <row r="76" spans="1:23" x14ac:dyDescent="0.25">
      <c r="A76" s="166"/>
      <c r="B76" s="167"/>
      <c r="C76" s="168"/>
      <c r="D76" s="169"/>
      <c r="E76" s="169"/>
      <c r="F76" s="169"/>
      <c r="G76" s="169"/>
      <c r="H76" s="169"/>
      <c r="I76" s="169"/>
      <c r="J76" s="170"/>
      <c r="K76" s="170"/>
      <c r="L76" s="169"/>
      <c r="M76" s="169"/>
      <c r="N76" s="169"/>
      <c r="O76" s="170"/>
      <c r="P76" s="170"/>
      <c r="Q76" s="169"/>
      <c r="R76" s="170"/>
      <c r="S76" s="170"/>
      <c r="T76" s="15"/>
      <c r="U76" s="15"/>
      <c r="V76" s="15"/>
      <c r="W76" s="253"/>
    </row>
    <row r="77" spans="1:23" ht="15.75" thickBot="1" x14ac:dyDescent="0.3">
      <c r="A77" s="540"/>
      <c r="B77" s="541"/>
      <c r="C77" s="542"/>
      <c r="D77" s="543"/>
      <c r="E77" s="543"/>
      <c r="F77" s="543"/>
      <c r="G77" s="543"/>
      <c r="H77" s="543"/>
      <c r="I77" s="543"/>
      <c r="J77" s="544"/>
      <c r="K77" s="544"/>
      <c r="L77" s="543"/>
      <c r="M77" s="543"/>
      <c r="N77" s="543"/>
      <c r="O77" s="544"/>
      <c r="P77" s="544"/>
      <c r="Q77" s="543"/>
      <c r="R77" s="544"/>
      <c r="S77" s="544"/>
      <c r="T77" s="15"/>
      <c r="U77" s="15"/>
      <c r="V77" s="15"/>
    </row>
    <row r="78" spans="1:23" x14ac:dyDescent="0.25">
      <c r="A78" s="523"/>
      <c r="B78" s="268"/>
      <c r="C78" s="524"/>
      <c r="D78" s="525"/>
      <c r="E78" s="525"/>
      <c r="F78" s="525"/>
      <c r="G78" s="525"/>
      <c r="H78" s="525"/>
      <c r="I78" s="525"/>
      <c r="J78" s="536"/>
      <c r="K78" s="536"/>
      <c r="L78" s="525"/>
      <c r="M78" s="525"/>
      <c r="N78" s="525"/>
      <c r="O78" s="536"/>
      <c r="P78" s="165"/>
      <c r="Q78" s="525"/>
      <c r="R78" s="536"/>
      <c r="S78" s="536"/>
      <c r="T78" s="15"/>
      <c r="U78" s="15"/>
      <c r="V78" s="15"/>
    </row>
    <row r="79" spans="1:23" x14ac:dyDescent="0.25">
      <c r="A79" s="166"/>
      <c r="B79" s="167"/>
      <c r="C79" s="168"/>
      <c r="D79" s="169"/>
      <c r="E79" s="169"/>
      <c r="F79" s="169"/>
      <c r="G79" s="169"/>
      <c r="H79" s="169"/>
      <c r="I79" s="169"/>
      <c r="J79" s="170"/>
      <c r="K79" s="170"/>
      <c r="L79" s="169"/>
      <c r="M79" s="169"/>
      <c r="N79" s="169"/>
      <c r="O79" s="170"/>
      <c r="P79" s="170"/>
      <c r="Q79" s="169"/>
      <c r="R79" s="170"/>
      <c r="S79" s="170"/>
      <c r="T79" s="15"/>
      <c r="U79" s="15"/>
      <c r="V79" s="15"/>
    </row>
    <row r="80" spans="1:23" x14ac:dyDescent="0.25">
      <c r="A80" s="166"/>
      <c r="B80" s="207"/>
      <c r="C80" s="208"/>
      <c r="D80" s="209"/>
      <c r="E80" s="209"/>
      <c r="F80" s="209"/>
      <c r="G80" s="209"/>
      <c r="H80" s="209"/>
      <c r="I80" s="209"/>
      <c r="J80" s="210"/>
      <c r="K80" s="210"/>
      <c r="L80" s="209"/>
      <c r="M80" s="209"/>
      <c r="N80" s="209"/>
      <c r="O80" s="210"/>
      <c r="P80" s="210"/>
      <c r="Q80" s="209"/>
      <c r="R80" s="210"/>
      <c r="S80" s="210"/>
      <c r="T80" s="15"/>
      <c r="U80" s="15"/>
      <c r="V80" s="15"/>
    </row>
    <row r="81" spans="1:22" x14ac:dyDescent="0.25">
      <c r="A81" s="166"/>
      <c r="B81" s="268"/>
      <c r="C81" s="524"/>
      <c r="D81" s="525"/>
      <c r="E81" s="525"/>
      <c r="F81" s="525"/>
      <c r="G81" s="525"/>
      <c r="H81" s="525"/>
      <c r="I81" s="525"/>
      <c r="J81" s="536"/>
      <c r="K81" s="536"/>
      <c r="L81" s="525"/>
      <c r="M81" s="525"/>
      <c r="N81" s="525"/>
      <c r="O81" s="536"/>
      <c r="P81" s="165"/>
      <c r="Q81" s="525"/>
      <c r="R81" s="536"/>
      <c r="S81" s="536"/>
      <c r="T81" s="15"/>
      <c r="U81" s="15"/>
      <c r="V81" s="15"/>
    </row>
    <row r="82" spans="1:22" x14ac:dyDescent="0.25">
      <c r="A82" s="166"/>
      <c r="B82" s="167"/>
      <c r="C82" s="168"/>
      <c r="D82" s="169"/>
      <c r="E82" s="169"/>
      <c r="F82" s="169"/>
      <c r="G82" s="169"/>
      <c r="H82" s="169"/>
      <c r="I82" s="169"/>
      <c r="J82" s="170"/>
      <c r="K82" s="170"/>
      <c r="L82" s="169"/>
      <c r="M82" s="169"/>
      <c r="N82" s="169"/>
      <c r="O82" s="170"/>
      <c r="P82" s="170"/>
      <c r="Q82" s="169"/>
      <c r="R82" s="170"/>
      <c r="S82" s="170"/>
      <c r="T82" s="15"/>
      <c r="U82" s="15"/>
      <c r="V82" s="15"/>
    </row>
    <row r="83" spans="1:22" x14ac:dyDescent="0.25">
      <c r="A83" s="166"/>
      <c r="B83" s="207"/>
      <c r="C83" s="208"/>
      <c r="D83" s="209"/>
      <c r="E83" s="209"/>
      <c r="F83" s="209"/>
      <c r="G83" s="209"/>
      <c r="H83" s="209"/>
      <c r="I83" s="209"/>
      <c r="J83" s="210"/>
      <c r="K83" s="210"/>
      <c r="L83" s="209"/>
      <c r="M83" s="209"/>
      <c r="N83" s="209"/>
      <c r="O83" s="210"/>
      <c r="P83" s="210"/>
      <c r="Q83" s="209"/>
      <c r="R83" s="210"/>
      <c r="S83" s="210"/>
      <c r="T83" s="15"/>
      <c r="U83" s="15"/>
      <c r="V83" s="15"/>
    </row>
    <row r="84" spans="1:22" x14ac:dyDescent="0.25">
      <c r="A84" s="166"/>
      <c r="B84" s="268"/>
      <c r="C84" s="524"/>
      <c r="D84" s="525"/>
      <c r="E84" s="525"/>
      <c r="F84" s="525"/>
      <c r="G84" s="525"/>
      <c r="H84" s="525"/>
      <c r="I84" s="525"/>
      <c r="J84" s="536"/>
      <c r="K84" s="536"/>
      <c r="L84" s="525"/>
      <c r="M84" s="525"/>
      <c r="N84" s="525"/>
      <c r="O84" s="536"/>
      <c r="P84" s="165"/>
      <c r="Q84" s="525"/>
      <c r="R84" s="536"/>
      <c r="S84" s="536"/>
      <c r="T84" s="15"/>
      <c r="U84" s="15"/>
      <c r="V84" s="15"/>
    </row>
    <row r="85" spans="1:22" x14ac:dyDescent="0.25">
      <c r="A85" s="166"/>
      <c r="B85" s="167"/>
      <c r="C85" s="168"/>
      <c r="D85" s="169"/>
      <c r="E85" s="169"/>
      <c r="F85" s="169"/>
      <c r="G85" s="169"/>
      <c r="H85" s="169"/>
      <c r="I85" s="169"/>
      <c r="J85" s="170"/>
      <c r="K85" s="170"/>
      <c r="L85" s="169"/>
      <c r="M85" s="169"/>
      <c r="N85" s="169"/>
      <c r="O85" s="170"/>
      <c r="P85" s="170"/>
      <c r="Q85" s="169"/>
      <c r="R85" s="170"/>
      <c r="S85" s="170"/>
      <c r="T85" s="15"/>
      <c r="U85" s="15"/>
      <c r="V85" s="15"/>
    </row>
    <row r="86" spans="1:22" x14ac:dyDescent="0.25">
      <c r="A86" s="166"/>
      <c r="B86" s="207"/>
      <c r="C86" s="208"/>
      <c r="D86" s="209"/>
      <c r="E86" s="209"/>
      <c r="F86" s="209"/>
      <c r="G86" s="209"/>
      <c r="H86" s="209"/>
      <c r="I86" s="209"/>
      <c r="J86" s="210"/>
      <c r="K86" s="210"/>
      <c r="L86" s="209"/>
      <c r="M86" s="209"/>
      <c r="N86" s="209"/>
      <c r="O86" s="210"/>
      <c r="P86" s="210"/>
      <c r="Q86" s="209"/>
      <c r="R86" s="210"/>
      <c r="S86" s="210"/>
      <c r="T86" s="15"/>
      <c r="U86" s="15"/>
      <c r="V86" s="15"/>
    </row>
    <row r="87" spans="1:22" x14ac:dyDescent="0.25">
      <c r="A87" s="166"/>
      <c r="B87" s="268"/>
      <c r="C87" s="524"/>
      <c r="D87" s="525"/>
      <c r="E87" s="525"/>
      <c r="F87" s="525"/>
      <c r="G87" s="525"/>
      <c r="H87" s="525"/>
      <c r="I87" s="525"/>
      <c r="J87" s="536"/>
      <c r="K87" s="536"/>
      <c r="L87" s="525"/>
      <c r="M87" s="525"/>
      <c r="N87" s="525"/>
      <c r="O87" s="536"/>
      <c r="P87" s="165"/>
      <c r="Q87" s="525"/>
      <c r="R87" s="536"/>
      <c r="S87" s="536"/>
      <c r="T87" s="15"/>
      <c r="U87" s="15"/>
      <c r="V87" s="15"/>
    </row>
    <row r="88" spans="1:22" x14ac:dyDescent="0.25">
      <c r="A88" s="166"/>
      <c r="B88" s="167"/>
      <c r="C88" s="168"/>
      <c r="D88" s="169"/>
      <c r="E88" s="169"/>
      <c r="F88" s="169"/>
      <c r="G88" s="169"/>
      <c r="H88" s="169"/>
      <c r="I88" s="169"/>
      <c r="J88" s="170"/>
      <c r="K88" s="170"/>
      <c r="L88" s="169"/>
      <c r="M88" s="169"/>
      <c r="N88" s="169"/>
      <c r="O88" s="170"/>
      <c r="P88" s="170"/>
      <c r="Q88" s="169"/>
      <c r="R88" s="170"/>
      <c r="S88" s="170"/>
      <c r="T88" s="15"/>
      <c r="U88" s="15"/>
      <c r="V88" s="15"/>
    </row>
    <row r="89" spans="1:22" x14ac:dyDescent="0.25">
      <c r="A89" s="166"/>
      <c r="B89" s="207"/>
      <c r="C89" s="208"/>
      <c r="D89" s="209"/>
      <c r="E89" s="209"/>
      <c r="F89" s="209"/>
      <c r="G89" s="209"/>
      <c r="H89" s="209"/>
      <c r="I89" s="209"/>
      <c r="J89" s="210"/>
      <c r="K89" s="210"/>
      <c r="L89" s="209"/>
      <c r="M89" s="209"/>
      <c r="N89" s="209"/>
      <c r="O89" s="210"/>
      <c r="P89" s="210"/>
      <c r="Q89" s="209"/>
      <c r="R89" s="210"/>
      <c r="S89" s="210"/>
      <c r="T89" s="15"/>
      <c r="U89" s="15"/>
      <c r="V89" s="15"/>
    </row>
    <row r="90" spans="1:22" x14ac:dyDescent="0.25">
      <c r="A90" s="166"/>
      <c r="B90" s="268"/>
      <c r="C90" s="524"/>
      <c r="D90" s="525"/>
      <c r="E90" s="525"/>
      <c r="F90" s="525"/>
      <c r="G90" s="525"/>
      <c r="H90" s="525"/>
      <c r="I90" s="525"/>
      <c r="J90" s="536"/>
      <c r="K90" s="536"/>
      <c r="L90" s="525"/>
      <c r="M90" s="525"/>
      <c r="N90" s="525"/>
      <c r="O90" s="536"/>
      <c r="P90" s="165"/>
      <c r="Q90" s="525"/>
      <c r="R90" s="536"/>
      <c r="S90" s="536"/>
      <c r="T90" s="15"/>
      <c r="U90" s="15"/>
      <c r="V90" s="15"/>
    </row>
    <row r="91" spans="1:22" x14ac:dyDescent="0.25">
      <c r="A91" s="166"/>
      <c r="B91" s="167"/>
      <c r="C91" s="168"/>
      <c r="D91" s="169"/>
      <c r="E91" s="169"/>
      <c r="F91" s="169"/>
      <c r="G91" s="169"/>
      <c r="H91" s="169"/>
      <c r="I91" s="169"/>
      <c r="J91" s="170"/>
      <c r="K91" s="170"/>
      <c r="L91" s="169"/>
      <c r="M91" s="169"/>
      <c r="N91" s="169"/>
      <c r="O91" s="170"/>
      <c r="P91" s="170"/>
      <c r="Q91" s="169"/>
      <c r="R91" s="170"/>
      <c r="S91" s="170"/>
      <c r="T91" s="15"/>
      <c r="U91" s="15"/>
      <c r="V91" s="15"/>
    </row>
    <row r="92" spans="1:22" x14ac:dyDescent="0.25">
      <c r="A92" s="166"/>
      <c r="B92" s="207"/>
      <c r="C92" s="208"/>
      <c r="D92" s="209"/>
      <c r="E92" s="209"/>
      <c r="F92" s="209"/>
      <c r="G92" s="209"/>
      <c r="H92" s="209"/>
      <c r="I92" s="209"/>
      <c r="J92" s="210"/>
      <c r="K92" s="210"/>
      <c r="L92" s="209"/>
      <c r="M92" s="209"/>
      <c r="N92" s="209"/>
      <c r="O92" s="210"/>
      <c r="P92" s="210"/>
      <c r="Q92" s="209"/>
      <c r="R92" s="210"/>
      <c r="S92" s="210"/>
      <c r="T92" s="15"/>
      <c r="U92" s="15"/>
      <c r="V92" s="15"/>
    </row>
    <row r="93" spans="1:22" x14ac:dyDescent="0.25">
      <c r="A93" s="166"/>
      <c r="B93" s="268"/>
      <c r="C93" s="524"/>
      <c r="D93" s="525"/>
      <c r="E93" s="525"/>
      <c r="F93" s="525"/>
      <c r="G93" s="525"/>
      <c r="H93" s="525"/>
      <c r="I93" s="525"/>
      <c r="J93" s="536"/>
      <c r="K93" s="536"/>
      <c r="L93" s="525"/>
      <c r="M93" s="525"/>
      <c r="N93" s="525"/>
      <c r="O93" s="536"/>
      <c r="P93" s="165"/>
      <c r="Q93" s="525"/>
      <c r="R93" s="536"/>
      <c r="S93" s="536"/>
      <c r="T93" s="15"/>
      <c r="U93" s="15"/>
      <c r="V93" s="15"/>
    </row>
    <row r="94" spans="1:22" x14ac:dyDescent="0.25">
      <c r="A94" s="166"/>
      <c r="B94" s="167"/>
      <c r="C94" s="168"/>
      <c r="D94" s="169"/>
      <c r="E94" s="169"/>
      <c r="F94" s="169"/>
      <c r="G94" s="169"/>
      <c r="H94" s="169"/>
      <c r="I94" s="169"/>
      <c r="J94" s="170"/>
      <c r="K94" s="170"/>
      <c r="L94" s="169"/>
      <c r="M94" s="169"/>
      <c r="N94" s="169"/>
      <c r="O94" s="170"/>
      <c r="P94" s="170"/>
      <c r="Q94" s="169"/>
      <c r="R94" s="170"/>
      <c r="S94" s="170"/>
      <c r="T94" s="15"/>
      <c r="U94" s="15"/>
      <c r="V94" s="15"/>
    </row>
    <row r="95" spans="1:22" ht="15.75" thickBot="1" x14ac:dyDescent="0.3">
      <c r="A95" s="166"/>
      <c r="B95" s="531"/>
      <c r="C95" s="532"/>
      <c r="D95" s="533"/>
      <c r="E95" s="533"/>
      <c r="F95" s="533"/>
      <c r="G95" s="533"/>
      <c r="H95" s="533"/>
      <c r="I95" s="533"/>
      <c r="J95" s="537"/>
      <c r="K95" s="537"/>
      <c r="L95" s="533"/>
      <c r="M95" s="533"/>
      <c r="N95" s="533"/>
      <c r="O95" s="537"/>
      <c r="P95" s="537"/>
      <c r="Q95" s="533"/>
      <c r="R95" s="537"/>
      <c r="S95" s="537"/>
      <c r="T95" s="15"/>
      <c r="U95" s="15"/>
      <c r="V95" s="15"/>
    </row>
    <row r="96" spans="1:22" ht="15.75" thickTop="1" x14ac:dyDescent="0.25">
      <c r="A96" s="166"/>
      <c r="B96" s="167"/>
      <c r="C96" s="168"/>
      <c r="D96" s="169"/>
      <c r="E96" s="169"/>
      <c r="F96" s="169"/>
      <c r="G96" s="169"/>
      <c r="H96" s="169"/>
      <c r="I96" s="169"/>
      <c r="J96" s="170"/>
      <c r="K96" s="170"/>
      <c r="L96" s="169"/>
      <c r="M96" s="169"/>
      <c r="N96" s="169"/>
      <c r="O96" s="170"/>
      <c r="P96" s="170"/>
      <c r="Q96" s="169"/>
      <c r="R96" s="170"/>
      <c r="S96" s="170"/>
      <c r="T96" s="15"/>
      <c r="U96" s="15"/>
      <c r="V96" s="15"/>
    </row>
    <row r="97" spans="1:22" x14ac:dyDescent="0.25">
      <c r="A97" s="166"/>
      <c r="B97" s="167"/>
      <c r="C97" s="168"/>
      <c r="D97" s="169"/>
      <c r="E97" s="169"/>
      <c r="F97" s="169"/>
      <c r="G97" s="169"/>
      <c r="H97" s="169"/>
      <c r="I97" s="169"/>
      <c r="J97" s="170"/>
      <c r="K97" s="170"/>
      <c r="L97" s="169"/>
      <c r="M97" s="169"/>
      <c r="N97" s="169"/>
      <c r="O97" s="170"/>
      <c r="P97" s="170"/>
      <c r="Q97" s="169"/>
      <c r="R97" s="170"/>
      <c r="S97" s="170"/>
      <c r="T97" s="15"/>
      <c r="U97" s="15"/>
      <c r="V97" s="15"/>
    </row>
    <row r="98" spans="1:22" x14ac:dyDescent="0.25">
      <c r="A98" s="166"/>
      <c r="B98" s="207"/>
      <c r="C98" s="208"/>
      <c r="D98" s="209"/>
      <c r="E98" s="530"/>
      <c r="F98" s="209"/>
      <c r="G98" s="209"/>
      <c r="H98" s="209"/>
      <c r="I98" s="209"/>
      <c r="J98" s="210"/>
      <c r="K98" s="210"/>
      <c r="L98" s="209"/>
      <c r="M98" s="209"/>
      <c r="N98" s="209"/>
      <c r="O98" s="210"/>
      <c r="P98" s="210"/>
      <c r="Q98" s="209"/>
      <c r="R98" s="210"/>
      <c r="S98" s="210"/>
      <c r="T98" s="15"/>
      <c r="U98" s="15"/>
      <c r="V98" s="15"/>
    </row>
    <row r="99" spans="1:22" x14ac:dyDescent="0.25">
      <c r="A99" s="166"/>
      <c r="B99" s="268"/>
      <c r="C99" s="524"/>
      <c r="D99" s="525"/>
      <c r="E99" s="525"/>
      <c r="F99" s="525"/>
      <c r="G99" s="525"/>
      <c r="H99" s="525"/>
      <c r="I99" s="525"/>
      <c r="J99" s="536"/>
      <c r="K99" s="536"/>
      <c r="L99" s="525"/>
      <c r="M99" s="525"/>
      <c r="N99" s="525"/>
      <c r="O99" s="536"/>
      <c r="P99" s="165"/>
      <c r="Q99" s="525"/>
      <c r="R99" s="536"/>
      <c r="S99" s="536"/>
      <c r="T99" s="15"/>
      <c r="U99" s="15"/>
      <c r="V99" s="15"/>
    </row>
    <row r="100" spans="1:22" x14ac:dyDescent="0.25">
      <c r="A100" s="166"/>
      <c r="B100" s="167"/>
      <c r="C100" s="168"/>
      <c r="D100" s="169"/>
      <c r="E100" s="169"/>
      <c r="F100" s="169"/>
      <c r="G100" s="169"/>
      <c r="H100" s="169"/>
      <c r="I100" s="169"/>
      <c r="J100" s="170"/>
      <c r="K100" s="170"/>
      <c r="L100" s="169"/>
      <c r="M100" s="169"/>
      <c r="N100" s="169"/>
      <c r="O100" s="170"/>
      <c r="P100" s="170"/>
      <c r="Q100" s="169"/>
      <c r="R100" s="170"/>
      <c r="S100" s="170"/>
      <c r="T100" s="15"/>
      <c r="U100" s="15"/>
      <c r="V100" s="15"/>
    </row>
    <row r="101" spans="1:22" x14ac:dyDescent="0.25">
      <c r="A101" s="166"/>
      <c r="B101" s="207"/>
      <c r="C101" s="208"/>
      <c r="D101" s="209"/>
      <c r="E101" s="209"/>
      <c r="F101" s="209"/>
      <c r="G101" s="209"/>
      <c r="H101" s="209"/>
      <c r="I101" s="209"/>
      <c r="J101" s="210"/>
      <c r="K101" s="210"/>
      <c r="L101" s="209"/>
      <c r="M101" s="209"/>
      <c r="N101" s="209"/>
      <c r="O101" s="210"/>
      <c r="P101" s="210"/>
      <c r="Q101" s="209"/>
      <c r="R101" s="210"/>
      <c r="S101" s="210"/>
      <c r="T101" s="15"/>
      <c r="U101" s="15"/>
      <c r="V101" s="15"/>
    </row>
    <row r="102" spans="1:22" x14ac:dyDescent="0.25">
      <c r="A102" s="166"/>
      <c r="B102" s="268"/>
      <c r="C102" s="524"/>
      <c r="D102" s="525"/>
      <c r="E102" s="525"/>
      <c r="F102" s="525"/>
      <c r="G102" s="525"/>
      <c r="H102" s="525"/>
      <c r="I102" s="525"/>
      <c r="J102" s="536"/>
      <c r="K102" s="536"/>
      <c r="L102" s="525"/>
      <c r="M102" s="525"/>
      <c r="N102" s="525"/>
      <c r="O102" s="536"/>
      <c r="P102" s="165"/>
      <c r="Q102" s="525"/>
      <c r="R102" s="536"/>
      <c r="S102" s="536"/>
      <c r="T102" s="15"/>
      <c r="U102" s="15"/>
      <c r="V102" s="15"/>
    </row>
    <row r="103" spans="1:22" x14ac:dyDescent="0.25">
      <c r="A103" s="166"/>
      <c r="B103" s="167"/>
      <c r="C103" s="168"/>
      <c r="D103" s="169"/>
      <c r="E103" s="169"/>
      <c r="F103" s="169"/>
      <c r="G103" s="169"/>
      <c r="H103" s="169"/>
      <c r="I103" s="169"/>
      <c r="J103" s="170"/>
      <c r="K103" s="170"/>
      <c r="L103" s="169"/>
      <c r="M103" s="169"/>
      <c r="N103" s="169"/>
      <c r="O103" s="170"/>
      <c r="P103" s="170"/>
      <c r="Q103" s="169"/>
      <c r="R103" s="170"/>
      <c r="S103" s="170"/>
      <c r="T103" s="15"/>
      <c r="U103" s="15"/>
      <c r="V103" s="15"/>
    </row>
    <row r="104" spans="1:22" x14ac:dyDescent="0.25">
      <c r="A104" s="166"/>
      <c r="B104" s="207"/>
      <c r="C104" s="208"/>
      <c r="D104" s="209"/>
      <c r="E104" s="530"/>
      <c r="F104" s="209"/>
      <c r="G104" s="209"/>
      <c r="H104" s="209"/>
      <c r="I104" s="209"/>
      <c r="J104" s="210"/>
      <c r="K104" s="210"/>
      <c r="L104" s="209"/>
      <c r="M104" s="209"/>
      <c r="N104" s="209"/>
      <c r="O104" s="210"/>
      <c r="P104" s="210"/>
      <c r="Q104" s="209"/>
      <c r="R104" s="210"/>
      <c r="S104" s="210"/>
      <c r="T104" s="15"/>
      <c r="U104" s="15"/>
      <c r="V104" s="15"/>
    </row>
    <row r="105" spans="1:22" x14ac:dyDescent="0.25">
      <c r="A105" s="166"/>
      <c r="B105" s="268"/>
      <c r="C105" s="524"/>
      <c r="D105" s="525"/>
      <c r="E105" s="525"/>
      <c r="F105" s="525"/>
      <c r="G105" s="525"/>
      <c r="H105" s="525"/>
      <c r="I105" s="525"/>
      <c r="J105" s="536"/>
      <c r="K105" s="536"/>
      <c r="L105" s="525"/>
      <c r="M105" s="525"/>
      <c r="N105" s="525"/>
      <c r="O105" s="536"/>
      <c r="P105" s="165"/>
      <c r="Q105" s="525"/>
      <c r="R105" s="536"/>
      <c r="S105" s="536"/>
      <c r="T105" s="15"/>
      <c r="U105" s="15"/>
      <c r="V105" s="15"/>
    </row>
    <row r="106" spans="1:22" x14ac:dyDescent="0.25">
      <c r="A106" s="166"/>
      <c r="B106" s="167"/>
      <c r="C106" s="168"/>
      <c r="D106" s="169"/>
      <c r="E106" s="169"/>
      <c r="F106" s="169"/>
      <c r="G106" s="169"/>
      <c r="H106" s="169"/>
      <c r="I106" s="169"/>
      <c r="J106" s="170"/>
      <c r="K106" s="170"/>
      <c r="L106" s="169"/>
      <c r="M106" s="169"/>
      <c r="N106" s="169"/>
      <c r="O106" s="170"/>
      <c r="P106" s="170"/>
      <c r="Q106" s="169"/>
      <c r="R106" s="170"/>
      <c r="S106" s="170"/>
      <c r="T106" s="15"/>
      <c r="U106" s="15"/>
      <c r="V106" s="15"/>
    </row>
    <row r="107" spans="1:22" x14ac:dyDescent="0.25">
      <c r="A107" s="166"/>
      <c r="B107" s="207"/>
      <c r="C107" s="208"/>
      <c r="D107" s="209"/>
      <c r="E107" s="209"/>
      <c r="F107" s="209"/>
      <c r="G107" s="209"/>
      <c r="H107" s="209"/>
      <c r="I107" s="209"/>
      <c r="J107" s="210"/>
      <c r="K107" s="210"/>
      <c r="L107" s="209"/>
      <c r="M107" s="209"/>
      <c r="N107" s="209"/>
      <c r="O107" s="210"/>
      <c r="P107" s="210"/>
      <c r="Q107" s="209"/>
      <c r="R107" s="210"/>
      <c r="S107" s="210"/>
      <c r="T107" s="15"/>
      <c r="U107" s="15"/>
      <c r="V107" s="15"/>
    </row>
    <row r="108" spans="1:22" x14ac:dyDescent="0.25">
      <c r="A108" s="166"/>
      <c r="B108" s="268"/>
      <c r="C108" s="524"/>
      <c r="D108" s="525"/>
      <c r="E108" s="525"/>
      <c r="F108" s="525"/>
      <c r="G108" s="525"/>
      <c r="H108" s="525"/>
      <c r="I108" s="525"/>
      <c r="J108" s="536"/>
      <c r="K108" s="536"/>
      <c r="L108" s="525"/>
      <c r="M108" s="525"/>
      <c r="N108" s="525"/>
      <c r="O108" s="536"/>
      <c r="P108" s="165"/>
      <c r="Q108" s="525"/>
      <c r="R108" s="536"/>
      <c r="S108" s="536"/>
      <c r="T108" s="15"/>
      <c r="U108" s="15"/>
      <c r="V108" s="15"/>
    </row>
    <row r="109" spans="1:22" x14ac:dyDescent="0.25">
      <c r="A109" s="166"/>
      <c r="B109" s="167"/>
      <c r="C109" s="168"/>
      <c r="D109" s="169"/>
      <c r="E109" s="169"/>
      <c r="F109" s="169"/>
      <c r="G109" s="169"/>
      <c r="H109" s="169"/>
      <c r="I109" s="169"/>
      <c r="J109" s="170"/>
      <c r="K109" s="170"/>
      <c r="L109" s="169"/>
      <c r="M109" s="169"/>
      <c r="N109" s="169"/>
      <c r="O109" s="170"/>
      <c r="P109" s="170"/>
      <c r="Q109" s="169"/>
      <c r="R109" s="170"/>
      <c r="S109" s="170"/>
      <c r="T109" s="15"/>
      <c r="U109" s="15"/>
      <c r="V109" s="15"/>
    </row>
    <row r="110" spans="1:22" x14ac:dyDescent="0.25">
      <c r="A110" s="166"/>
      <c r="B110" s="207"/>
      <c r="C110" s="208"/>
      <c r="D110" s="209"/>
      <c r="E110" s="209"/>
      <c r="F110" s="209"/>
      <c r="G110" s="209"/>
      <c r="H110" s="209"/>
      <c r="I110" s="209"/>
      <c r="J110" s="210"/>
      <c r="K110" s="210"/>
      <c r="L110" s="209"/>
      <c r="M110" s="209"/>
      <c r="N110" s="209"/>
      <c r="O110" s="210"/>
      <c r="P110" s="210"/>
      <c r="Q110" s="209"/>
      <c r="R110" s="210"/>
      <c r="S110" s="210"/>
      <c r="T110" s="15"/>
      <c r="U110" s="15"/>
      <c r="V110" s="15"/>
    </row>
    <row r="111" spans="1:22" x14ac:dyDescent="0.25">
      <c r="A111" s="166"/>
      <c r="B111" s="268"/>
      <c r="C111" s="524"/>
      <c r="D111" s="525"/>
      <c r="E111" s="525"/>
      <c r="F111" s="525"/>
      <c r="G111" s="525"/>
      <c r="H111" s="525"/>
      <c r="I111" s="525"/>
      <c r="J111" s="536"/>
      <c r="K111" s="536"/>
      <c r="L111" s="525"/>
      <c r="M111" s="525"/>
      <c r="N111" s="525"/>
      <c r="O111" s="536"/>
      <c r="P111" s="165"/>
      <c r="Q111" s="525"/>
      <c r="R111" s="536"/>
      <c r="S111" s="536"/>
      <c r="T111" s="15"/>
      <c r="U111" s="15"/>
      <c r="V111" s="15"/>
    </row>
    <row r="112" spans="1:22" x14ac:dyDescent="0.25">
      <c r="A112" s="166"/>
      <c r="B112" s="167"/>
      <c r="C112" s="168"/>
      <c r="D112" s="169"/>
      <c r="E112" s="169"/>
      <c r="F112" s="169"/>
      <c r="G112" s="169"/>
      <c r="H112" s="169"/>
      <c r="I112" s="169"/>
      <c r="J112" s="170"/>
      <c r="K112" s="170"/>
      <c r="L112" s="169"/>
      <c r="M112" s="169"/>
      <c r="N112" s="169"/>
      <c r="O112" s="170"/>
      <c r="P112" s="170"/>
      <c r="Q112" s="169"/>
      <c r="R112" s="170"/>
      <c r="S112" s="170"/>
      <c r="T112" s="15"/>
      <c r="U112" s="15"/>
      <c r="V112" s="15"/>
    </row>
    <row r="113" spans="1:22" ht="15.75" thickBot="1" x14ac:dyDescent="0.3">
      <c r="A113" s="540"/>
      <c r="B113" s="541"/>
      <c r="C113" s="542"/>
      <c r="D113" s="543"/>
      <c r="E113" s="543"/>
      <c r="F113" s="543"/>
      <c r="G113" s="543"/>
      <c r="H113" s="543"/>
      <c r="I113" s="543"/>
      <c r="J113" s="544"/>
      <c r="K113" s="544"/>
      <c r="L113" s="543"/>
      <c r="M113" s="543"/>
      <c r="N113" s="543"/>
      <c r="O113" s="544"/>
      <c r="P113" s="544"/>
      <c r="Q113" s="543"/>
      <c r="R113" s="544"/>
      <c r="S113" s="544"/>
      <c r="T113" s="15"/>
      <c r="U113" s="15"/>
      <c r="V113" s="15"/>
    </row>
    <row r="114" spans="1:22" x14ac:dyDescent="0.25">
      <c r="A114" s="523"/>
      <c r="B114" s="268"/>
      <c r="C114" s="524"/>
      <c r="D114" s="525"/>
      <c r="E114" s="525"/>
      <c r="F114" s="525"/>
      <c r="G114" s="525"/>
      <c r="H114" s="525"/>
      <c r="I114" s="525"/>
      <c r="J114" s="536"/>
      <c r="K114" s="536"/>
      <c r="L114" s="525"/>
      <c r="M114" s="525"/>
      <c r="N114" s="525"/>
      <c r="O114" s="536"/>
      <c r="P114" s="165"/>
      <c r="Q114" s="525"/>
      <c r="R114" s="536"/>
      <c r="S114" s="536"/>
      <c r="T114" s="15"/>
      <c r="U114" s="15"/>
      <c r="V114" s="15"/>
    </row>
    <row r="115" spans="1:22" x14ac:dyDescent="0.25">
      <c r="A115" s="166"/>
      <c r="B115" s="167"/>
      <c r="C115" s="168"/>
      <c r="D115" s="169"/>
      <c r="E115" s="169"/>
      <c r="F115" s="169"/>
      <c r="G115" s="169"/>
      <c r="H115" s="169"/>
      <c r="I115" s="169"/>
      <c r="J115" s="170"/>
      <c r="K115" s="170"/>
      <c r="L115" s="169"/>
      <c r="M115" s="169"/>
      <c r="N115" s="169"/>
      <c r="O115" s="170"/>
      <c r="P115" s="170"/>
      <c r="Q115" s="169"/>
      <c r="R115" s="170"/>
      <c r="S115" s="170"/>
      <c r="T115" s="15"/>
      <c r="U115" s="15"/>
      <c r="V115" s="15"/>
    </row>
    <row r="116" spans="1:22" x14ac:dyDescent="0.25">
      <c r="A116" s="166"/>
      <c r="B116" s="207"/>
      <c r="C116" s="208"/>
      <c r="D116" s="209"/>
      <c r="E116" s="209"/>
      <c r="F116" s="209"/>
      <c r="G116" s="209"/>
      <c r="H116" s="209"/>
      <c r="I116" s="209"/>
      <c r="J116" s="210"/>
      <c r="K116" s="210"/>
      <c r="L116" s="209"/>
      <c r="M116" s="209"/>
      <c r="N116" s="530"/>
      <c r="O116" s="210"/>
      <c r="P116" s="210"/>
      <c r="Q116" s="209"/>
      <c r="R116" s="210"/>
      <c r="S116" s="210"/>
      <c r="T116" s="15"/>
      <c r="U116" s="15"/>
      <c r="V116" s="15"/>
    </row>
    <row r="117" spans="1:22" x14ac:dyDescent="0.25">
      <c r="A117" s="166"/>
      <c r="B117" s="268"/>
      <c r="C117" s="524"/>
      <c r="D117" s="525"/>
      <c r="E117" s="525"/>
      <c r="F117" s="525"/>
      <c r="G117" s="525"/>
      <c r="H117" s="525"/>
      <c r="I117" s="525"/>
      <c r="J117" s="536"/>
      <c r="K117" s="536"/>
      <c r="L117" s="525"/>
      <c r="M117" s="525"/>
      <c r="N117" s="525"/>
      <c r="O117" s="536"/>
      <c r="P117" s="165"/>
      <c r="Q117" s="525"/>
      <c r="R117" s="536"/>
      <c r="S117" s="536"/>
      <c r="T117" s="15"/>
      <c r="U117" s="15"/>
      <c r="V117" s="15"/>
    </row>
    <row r="118" spans="1:22" x14ac:dyDescent="0.25">
      <c r="A118" s="166"/>
      <c r="B118" s="167"/>
      <c r="C118" s="168"/>
      <c r="D118" s="169"/>
      <c r="E118" s="169"/>
      <c r="F118" s="169"/>
      <c r="G118" s="169"/>
      <c r="H118" s="169"/>
      <c r="I118" s="169"/>
      <c r="J118" s="170"/>
      <c r="K118" s="170"/>
      <c r="L118" s="169"/>
      <c r="M118" s="169"/>
      <c r="N118" s="169"/>
      <c r="O118" s="170"/>
      <c r="P118" s="170"/>
      <c r="Q118" s="169"/>
      <c r="R118" s="170"/>
      <c r="S118" s="170"/>
      <c r="T118" s="15"/>
      <c r="U118" s="15"/>
      <c r="V118" s="15"/>
    </row>
    <row r="119" spans="1:22" x14ac:dyDescent="0.25">
      <c r="A119" s="166"/>
      <c r="B119" s="207"/>
      <c r="C119" s="208"/>
      <c r="D119" s="209"/>
      <c r="E119" s="209"/>
      <c r="F119" s="209"/>
      <c r="G119" s="209"/>
      <c r="H119" s="209"/>
      <c r="I119" s="209"/>
      <c r="J119" s="210"/>
      <c r="K119" s="210"/>
      <c r="L119" s="209"/>
      <c r="M119" s="209"/>
      <c r="N119" s="209"/>
      <c r="O119" s="210"/>
      <c r="P119" s="210"/>
      <c r="Q119" s="209"/>
      <c r="R119" s="210"/>
      <c r="S119" s="210"/>
      <c r="T119" s="15"/>
      <c r="U119" s="15"/>
      <c r="V119" s="15"/>
    </row>
    <row r="120" spans="1:22" x14ac:dyDescent="0.25">
      <c r="A120" s="166"/>
      <c r="B120" s="268"/>
      <c r="C120" s="524"/>
      <c r="D120" s="525"/>
      <c r="E120" s="525"/>
      <c r="F120" s="525"/>
      <c r="G120" s="525"/>
      <c r="H120" s="525"/>
      <c r="I120" s="525"/>
      <c r="J120" s="536"/>
      <c r="K120" s="536"/>
      <c r="L120" s="525"/>
      <c r="M120" s="525"/>
      <c r="N120" s="525"/>
      <c r="O120" s="536"/>
      <c r="P120" s="165"/>
      <c r="Q120" s="525"/>
      <c r="R120" s="536"/>
      <c r="S120" s="536"/>
      <c r="T120" s="15"/>
      <c r="U120" s="15"/>
      <c r="V120" s="15"/>
    </row>
    <row r="121" spans="1:22" x14ac:dyDescent="0.25">
      <c r="A121" s="166"/>
      <c r="B121" s="167"/>
      <c r="C121" s="168"/>
      <c r="D121" s="169"/>
      <c r="E121" s="169"/>
      <c r="F121" s="169"/>
      <c r="G121" s="169"/>
      <c r="H121" s="169"/>
      <c r="I121" s="169"/>
      <c r="J121" s="170"/>
      <c r="K121" s="170"/>
      <c r="L121" s="169"/>
      <c r="M121" s="169"/>
      <c r="N121" s="169"/>
      <c r="O121" s="170"/>
      <c r="P121" s="170"/>
      <c r="Q121" s="169"/>
      <c r="R121" s="170"/>
      <c r="S121" s="170"/>
      <c r="T121" s="15"/>
      <c r="U121" s="15"/>
      <c r="V121" s="15"/>
    </row>
    <row r="122" spans="1:22" x14ac:dyDescent="0.25">
      <c r="A122" s="166"/>
      <c r="B122" s="207"/>
      <c r="C122" s="208"/>
      <c r="D122" s="209"/>
      <c r="E122" s="209"/>
      <c r="F122" s="209"/>
      <c r="G122" s="209"/>
      <c r="H122" s="209"/>
      <c r="I122" s="209"/>
      <c r="J122" s="210"/>
      <c r="K122" s="210"/>
      <c r="L122" s="209"/>
      <c r="M122" s="209"/>
      <c r="N122" s="209"/>
      <c r="O122" s="210"/>
      <c r="P122" s="210"/>
      <c r="Q122" s="209"/>
      <c r="R122" s="210"/>
      <c r="S122" s="210"/>
      <c r="T122" s="15"/>
      <c r="U122" s="15"/>
      <c r="V122" s="15"/>
    </row>
    <row r="123" spans="1:22" x14ac:dyDescent="0.25">
      <c r="A123" s="166"/>
      <c r="B123" s="268"/>
      <c r="C123" s="524"/>
      <c r="D123" s="525"/>
      <c r="E123" s="525"/>
      <c r="F123" s="525"/>
      <c r="G123" s="525"/>
      <c r="H123" s="525"/>
      <c r="I123" s="525"/>
      <c r="J123" s="536"/>
      <c r="K123" s="536"/>
      <c r="L123" s="525"/>
      <c r="M123" s="525"/>
      <c r="N123" s="525"/>
      <c r="O123" s="536"/>
      <c r="P123" s="165"/>
      <c r="Q123" s="525"/>
      <c r="R123" s="536"/>
      <c r="S123" s="536"/>
      <c r="T123" s="15"/>
      <c r="U123" s="15"/>
      <c r="V123" s="15"/>
    </row>
    <row r="124" spans="1:22" x14ac:dyDescent="0.25">
      <c r="A124" s="166"/>
      <c r="B124" s="167"/>
      <c r="C124" s="168"/>
      <c r="D124" s="169"/>
      <c r="E124" s="169"/>
      <c r="F124" s="169"/>
      <c r="G124" s="169"/>
      <c r="H124" s="169"/>
      <c r="I124" s="169"/>
      <c r="J124" s="170"/>
      <c r="K124" s="170"/>
      <c r="L124" s="169"/>
      <c r="M124" s="169"/>
      <c r="N124" s="169"/>
      <c r="O124" s="170"/>
      <c r="P124" s="170"/>
      <c r="Q124" s="169"/>
      <c r="R124" s="170"/>
      <c r="S124" s="170"/>
      <c r="T124" s="15"/>
      <c r="U124" s="15"/>
      <c r="V124" s="15"/>
    </row>
    <row r="125" spans="1:22" x14ac:dyDescent="0.25">
      <c r="A125" s="166"/>
      <c r="B125" s="207"/>
      <c r="C125" s="208"/>
      <c r="D125" s="209"/>
      <c r="E125" s="209"/>
      <c r="F125" s="209"/>
      <c r="G125" s="209"/>
      <c r="H125" s="209"/>
      <c r="I125" s="209"/>
      <c r="J125" s="210"/>
      <c r="K125" s="210"/>
      <c r="L125" s="209"/>
      <c r="M125" s="209"/>
      <c r="N125" s="209"/>
      <c r="O125" s="210"/>
      <c r="P125" s="210"/>
      <c r="Q125" s="209"/>
      <c r="R125" s="210"/>
      <c r="S125" s="210"/>
      <c r="T125" s="15"/>
      <c r="U125" s="15"/>
      <c r="V125" s="15"/>
    </row>
    <row r="126" spans="1:22" x14ac:dyDescent="0.25">
      <c r="A126" s="166"/>
      <c r="B126" s="268"/>
      <c r="C126" s="524"/>
      <c r="D126" s="525"/>
      <c r="E126" s="525"/>
      <c r="F126" s="525"/>
      <c r="G126" s="525"/>
      <c r="H126" s="525"/>
      <c r="I126" s="525"/>
      <c r="J126" s="536"/>
      <c r="K126" s="536"/>
      <c r="L126" s="525"/>
      <c r="M126" s="525"/>
      <c r="N126" s="525"/>
      <c r="O126" s="536"/>
      <c r="P126" s="165"/>
      <c r="Q126" s="525"/>
      <c r="R126" s="536"/>
      <c r="S126" s="536"/>
      <c r="T126" s="15"/>
      <c r="U126" s="15"/>
      <c r="V126" s="15"/>
    </row>
    <row r="127" spans="1:22" x14ac:dyDescent="0.25">
      <c r="A127" s="166"/>
      <c r="B127" s="167"/>
      <c r="C127" s="168"/>
      <c r="D127" s="169"/>
      <c r="E127" s="169"/>
      <c r="F127" s="169"/>
      <c r="G127" s="169"/>
      <c r="H127" s="169"/>
      <c r="I127" s="169"/>
      <c r="J127" s="170"/>
      <c r="K127" s="170"/>
      <c r="L127" s="169"/>
      <c r="M127" s="169"/>
      <c r="N127" s="169"/>
      <c r="O127" s="170"/>
      <c r="P127" s="170"/>
      <c r="Q127" s="169"/>
      <c r="R127" s="170"/>
      <c r="S127" s="170"/>
      <c r="T127" s="15"/>
      <c r="U127" s="15"/>
      <c r="V127" s="15"/>
    </row>
    <row r="128" spans="1:22" x14ac:dyDescent="0.25">
      <c r="A128" s="166"/>
      <c r="B128" s="207"/>
      <c r="C128" s="208"/>
      <c r="D128" s="209"/>
      <c r="E128" s="209"/>
      <c r="F128" s="209"/>
      <c r="G128" s="209"/>
      <c r="H128" s="209"/>
      <c r="I128" s="209"/>
      <c r="J128" s="210"/>
      <c r="K128" s="210"/>
      <c r="L128" s="209"/>
      <c r="M128" s="209"/>
      <c r="N128" s="530"/>
      <c r="O128" s="210"/>
      <c r="P128" s="210"/>
      <c r="Q128" s="209"/>
      <c r="R128" s="210"/>
      <c r="S128" s="210"/>
      <c r="T128" s="15"/>
      <c r="U128" s="15"/>
      <c r="V128" s="15"/>
    </row>
    <row r="129" spans="1:22" x14ac:dyDescent="0.25">
      <c r="A129" s="166"/>
      <c r="B129" s="268"/>
      <c r="C129" s="524"/>
      <c r="D129" s="525"/>
      <c r="E129" s="525"/>
      <c r="F129" s="525"/>
      <c r="G129" s="525"/>
      <c r="H129" s="525"/>
      <c r="I129" s="525"/>
      <c r="J129" s="536"/>
      <c r="K129" s="536"/>
      <c r="L129" s="525"/>
      <c r="M129" s="525"/>
      <c r="N129" s="525"/>
      <c r="O129" s="536"/>
      <c r="P129" s="165"/>
      <c r="Q129" s="525"/>
      <c r="R129" s="536"/>
      <c r="S129" s="536"/>
      <c r="T129" s="15"/>
      <c r="U129" s="15"/>
      <c r="V129" s="15"/>
    </row>
    <row r="130" spans="1:22" x14ac:dyDescent="0.25">
      <c r="A130" s="166"/>
      <c r="B130" s="167"/>
      <c r="C130" s="168"/>
      <c r="D130" s="169"/>
      <c r="E130" s="169"/>
      <c r="F130" s="169"/>
      <c r="G130" s="169"/>
      <c r="H130" s="169"/>
      <c r="I130" s="169"/>
      <c r="J130" s="170"/>
      <c r="K130" s="170"/>
      <c r="L130" s="169"/>
      <c r="M130" s="169"/>
      <c r="N130" s="169"/>
      <c r="O130" s="170"/>
      <c r="P130" s="170"/>
      <c r="Q130" s="169"/>
      <c r="R130" s="170"/>
      <c r="S130" s="170"/>
      <c r="T130" s="15"/>
      <c r="U130" s="15"/>
      <c r="V130" s="15"/>
    </row>
    <row r="131" spans="1:22" ht="15.75" thickBot="1" x14ac:dyDescent="0.3">
      <c r="A131" s="166"/>
      <c r="B131" s="531"/>
      <c r="C131" s="532"/>
      <c r="D131" s="533"/>
      <c r="E131" s="533"/>
      <c r="F131" s="533"/>
      <c r="G131" s="533"/>
      <c r="H131" s="533"/>
      <c r="I131" s="533"/>
      <c r="J131" s="537"/>
      <c r="K131" s="537"/>
      <c r="L131" s="533"/>
      <c r="M131" s="533"/>
      <c r="N131" s="533"/>
      <c r="O131" s="537"/>
      <c r="P131" s="537"/>
      <c r="Q131" s="533"/>
      <c r="R131" s="537"/>
      <c r="S131" s="537"/>
      <c r="T131" s="15"/>
      <c r="U131" s="15"/>
      <c r="V131" s="15"/>
    </row>
    <row r="132" spans="1:22" ht="15.75" thickTop="1" x14ac:dyDescent="0.25">
      <c r="A132" s="166"/>
      <c r="B132" s="167"/>
      <c r="C132" s="168"/>
      <c r="D132" s="169"/>
      <c r="E132" s="169"/>
      <c r="F132" s="169"/>
      <c r="G132" s="169"/>
      <c r="H132" s="169"/>
      <c r="I132" s="169"/>
      <c r="J132" s="170"/>
      <c r="K132" s="170"/>
      <c r="L132" s="169"/>
      <c r="M132" s="169"/>
      <c r="N132" s="169"/>
      <c r="O132" s="170"/>
      <c r="P132" s="170"/>
      <c r="Q132" s="169"/>
      <c r="R132" s="170"/>
      <c r="S132" s="170"/>
      <c r="T132" s="15"/>
      <c r="U132" s="15"/>
      <c r="V132" s="15"/>
    </row>
    <row r="133" spans="1:22" x14ac:dyDescent="0.25">
      <c r="A133" s="166"/>
      <c r="B133" s="167"/>
      <c r="C133" s="168"/>
      <c r="D133" s="169"/>
      <c r="E133" s="169"/>
      <c r="F133" s="169"/>
      <c r="G133" s="169"/>
      <c r="H133" s="169"/>
      <c r="I133" s="169"/>
      <c r="J133" s="170"/>
      <c r="K133" s="170"/>
      <c r="L133" s="169"/>
      <c r="M133" s="169"/>
      <c r="N133" s="169"/>
      <c r="O133" s="170"/>
      <c r="P133" s="170"/>
      <c r="Q133" s="169"/>
      <c r="R133" s="170"/>
      <c r="S133" s="170"/>
      <c r="T133" s="15"/>
      <c r="U133" s="15"/>
      <c r="V133" s="15"/>
    </row>
    <row r="134" spans="1:22" x14ac:dyDescent="0.25">
      <c r="A134" s="166"/>
      <c r="B134" s="207"/>
      <c r="C134" s="208"/>
      <c r="D134" s="209"/>
      <c r="E134" s="209"/>
      <c r="F134" s="209"/>
      <c r="G134" s="209"/>
      <c r="H134" s="209"/>
      <c r="I134" s="209"/>
      <c r="J134" s="210"/>
      <c r="K134" s="210"/>
      <c r="L134" s="209"/>
      <c r="M134" s="209"/>
      <c r="N134" s="209"/>
      <c r="O134" s="210"/>
      <c r="P134" s="210"/>
      <c r="Q134" s="209"/>
      <c r="R134" s="210"/>
      <c r="S134" s="210"/>
      <c r="T134" s="15"/>
      <c r="U134" s="15"/>
      <c r="V134" s="15"/>
    </row>
    <row r="135" spans="1:22" x14ac:dyDescent="0.25">
      <c r="A135" s="166"/>
      <c r="B135" s="268"/>
      <c r="C135" s="524"/>
      <c r="D135" s="525"/>
      <c r="E135" s="525"/>
      <c r="F135" s="525"/>
      <c r="G135" s="525"/>
      <c r="H135" s="525"/>
      <c r="I135" s="525"/>
      <c r="J135" s="536"/>
      <c r="K135" s="536"/>
      <c r="L135" s="525"/>
      <c r="M135" s="525"/>
      <c r="N135" s="525"/>
      <c r="O135" s="536"/>
      <c r="P135" s="165"/>
      <c r="Q135" s="525"/>
      <c r="R135" s="536"/>
      <c r="S135" s="536"/>
      <c r="T135" s="15"/>
      <c r="U135" s="15"/>
      <c r="V135" s="15"/>
    </row>
    <row r="136" spans="1:22" x14ac:dyDescent="0.25">
      <c r="A136" s="166"/>
      <c r="B136" s="167"/>
      <c r="C136" s="168"/>
      <c r="D136" s="169"/>
      <c r="E136" s="169"/>
      <c r="F136" s="169"/>
      <c r="G136" s="169"/>
      <c r="H136" s="169"/>
      <c r="I136" s="169"/>
      <c r="J136" s="170"/>
      <c r="K136" s="170"/>
      <c r="L136" s="169"/>
      <c r="M136" s="169"/>
      <c r="N136" s="169"/>
      <c r="O136" s="170"/>
      <c r="P136" s="170"/>
      <c r="Q136" s="169"/>
      <c r="R136" s="170"/>
      <c r="S136" s="170"/>
      <c r="T136" s="15"/>
      <c r="U136" s="15"/>
      <c r="V136" s="15"/>
    </row>
    <row r="137" spans="1:22" x14ac:dyDescent="0.25">
      <c r="A137" s="166"/>
      <c r="B137" s="207"/>
      <c r="C137" s="208"/>
      <c r="D137" s="209"/>
      <c r="E137" s="209"/>
      <c r="F137" s="209"/>
      <c r="G137" s="209"/>
      <c r="H137" s="209"/>
      <c r="I137" s="209"/>
      <c r="J137" s="210"/>
      <c r="K137" s="210"/>
      <c r="L137" s="209"/>
      <c r="M137" s="209"/>
      <c r="N137" s="209"/>
      <c r="O137" s="210"/>
      <c r="P137" s="210"/>
      <c r="Q137" s="209"/>
      <c r="R137" s="210"/>
      <c r="S137" s="210"/>
      <c r="T137" s="15"/>
      <c r="U137" s="15"/>
      <c r="V137" s="15"/>
    </row>
    <row r="138" spans="1:22" x14ac:dyDescent="0.25">
      <c r="A138" s="166"/>
      <c r="B138" s="268"/>
      <c r="C138" s="524"/>
      <c r="D138" s="525"/>
      <c r="E138" s="525"/>
      <c r="F138" s="525"/>
      <c r="G138" s="525"/>
      <c r="H138" s="525"/>
      <c r="I138" s="525"/>
      <c r="J138" s="536"/>
      <c r="K138" s="536"/>
      <c r="L138" s="525"/>
      <c r="M138" s="525"/>
      <c r="N138" s="525"/>
      <c r="O138" s="536"/>
      <c r="P138" s="165"/>
      <c r="Q138" s="525"/>
      <c r="R138" s="536"/>
      <c r="S138" s="536"/>
      <c r="T138" s="15"/>
      <c r="U138" s="15"/>
      <c r="V138" s="15"/>
    </row>
    <row r="139" spans="1:22" x14ac:dyDescent="0.25">
      <c r="A139" s="166"/>
      <c r="B139" s="167"/>
      <c r="C139" s="168"/>
      <c r="D139" s="169"/>
      <c r="E139" s="169"/>
      <c r="F139" s="169"/>
      <c r="G139" s="169"/>
      <c r="H139" s="169"/>
      <c r="I139" s="169"/>
      <c r="J139" s="170"/>
      <c r="K139" s="170"/>
      <c r="L139" s="169"/>
      <c r="M139" s="169"/>
      <c r="N139" s="169"/>
      <c r="O139" s="170"/>
      <c r="P139" s="170"/>
      <c r="Q139" s="169"/>
      <c r="R139" s="170"/>
      <c r="S139" s="170"/>
      <c r="T139" s="15"/>
      <c r="U139" s="15"/>
      <c r="V139" s="15"/>
    </row>
    <row r="140" spans="1:22" x14ac:dyDescent="0.25">
      <c r="A140" s="166"/>
      <c r="B140" s="207"/>
      <c r="C140" s="208"/>
      <c r="D140" s="209"/>
      <c r="E140" s="209"/>
      <c r="F140" s="209"/>
      <c r="G140" s="209"/>
      <c r="H140" s="209"/>
      <c r="I140" s="209"/>
      <c r="J140" s="210"/>
      <c r="K140" s="210"/>
      <c r="L140" s="209"/>
      <c r="M140" s="209"/>
      <c r="N140" s="209"/>
      <c r="O140" s="210"/>
      <c r="P140" s="210"/>
      <c r="Q140" s="209"/>
      <c r="R140" s="210"/>
      <c r="S140" s="210"/>
      <c r="T140" s="15"/>
      <c r="U140" s="15"/>
      <c r="V140" s="15"/>
    </row>
    <row r="141" spans="1:22" x14ac:dyDescent="0.25">
      <c r="A141" s="166"/>
      <c r="B141" s="268"/>
      <c r="C141" s="524"/>
      <c r="D141" s="525"/>
      <c r="E141" s="525"/>
      <c r="F141" s="525"/>
      <c r="G141" s="525"/>
      <c r="H141" s="525"/>
      <c r="I141" s="525"/>
      <c r="J141" s="536"/>
      <c r="K141" s="536"/>
      <c r="L141" s="525"/>
      <c r="M141" s="525"/>
      <c r="N141" s="525"/>
      <c r="O141" s="536"/>
      <c r="P141" s="165"/>
      <c r="Q141" s="525"/>
      <c r="R141" s="536"/>
      <c r="S141" s="536"/>
      <c r="T141" s="15"/>
      <c r="U141" s="15"/>
      <c r="V141" s="15"/>
    </row>
    <row r="142" spans="1:22" x14ac:dyDescent="0.25">
      <c r="A142" s="166"/>
      <c r="B142" s="167"/>
      <c r="C142" s="168"/>
      <c r="D142" s="169"/>
      <c r="E142" s="169"/>
      <c r="F142" s="169"/>
      <c r="G142" s="169"/>
      <c r="H142" s="169"/>
      <c r="I142" s="169"/>
      <c r="J142" s="170"/>
      <c r="K142" s="170"/>
      <c r="L142" s="169"/>
      <c r="M142" s="169"/>
      <c r="N142" s="169"/>
      <c r="O142" s="170"/>
      <c r="P142" s="170"/>
      <c r="Q142" s="169"/>
      <c r="R142" s="170"/>
      <c r="S142" s="170"/>
      <c r="T142" s="15"/>
      <c r="U142" s="15"/>
      <c r="V142" s="15"/>
    </row>
    <row r="143" spans="1:22" x14ac:dyDescent="0.25">
      <c r="A143" s="166"/>
      <c r="B143" s="207"/>
      <c r="C143" s="208"/>
      <c r="D143" s="209"/>
      <c r="E143" s="209"/>
      <c r="F143" s="209"/>
      <c r="G143" s="209"/>
      <c r="H143" s="209"/>
      <c r="I143" s="209"/>
      <c r="J143" s="210"/>
      <c r="K143" s="210"/>
      <c r="L143" s="209"/>
      <c r="M143" s="209"/>
      <c r="N143" s="209"/>
      <c r="O143" s="210"/>
      <c r="P143" s="210"/>
      <c r="Q143" s="209"/>
      <c r="R143" s="210"/>
      <c r="S143" s="210"/>
      <c r="T143" s="15"/>
      <c r="U143" s="15"/>
      <c r="V143" s="15"/>
    </row>
    <row r="144" spans="1:22" x14ac:dyDescent="0.25">
      <c r="A144" s="166"/>
      <c r="B144" s="268"/>
      <c r="C144" s="524"/>
      <c r="D144" s="525"/>
      <c r="E144" s="525"/>
      <c r="F144" s="525"/>
      <c r="G144" s="525"/>
      <c r="H144" s="525"/>
      <c r="I144" s="525"/>
      <c r="J144" s="536"/>
      <c r="K144" s="536"/>
      <c r="L144" s="525"/>
      <c r="M144" s="525"/>
      <c r="N144" s="525"/>
      <c r="O144" s="536"/>
      <c r="P144" s="165"/>
      <c r="Q144" s="525"/>
      <c r="R144" s="536"/>
      <c r="S144" s="536"/>
      <c r="T144" s="15"/>
      <c r="U144" s="15"/>
      <c r="V144" s="15"/>
    </row>
    <row r="145" spans="1:22" x14ac:dyDescent="0.25">
      <c r="A145" s="166"/>
      <c r="B145" s="167"/>
      <c r="C145" s="168"/>
      <c r="D145" s="169"/>
      <c r="E145" s="169"/>
      <c r="F145" s="169"/>
      <c r="G145" s="169"/>
      <c r="H145" s="169"/>
      <c r="I145" s="169"/>
      <c r="J145" s="170"/>
      <c r="K145" s="170"/>
      <c r="L145" s="169"/>
      <c r="M145" s="169"/>
      <c r="N145" s="169"/>
      <c r="O145" s="170"/>
      <c r="P145" s="170"/>
      <c r="Q145" s="169"/>
      <c r="R145" s="170"/>
      <c r="S145" s="170"/>
      <c r="T145" s="15"/>
      <c r="U145" s="15"/>
      <c r="V145" s="15"/>
    </row>
    <row r="146" spans="1:22" x14ac:dyDescent="0.25">
      <c r="A146" s="166"/>
      <c r="B146" s="207"/>
      <c r="C146" s="208"/>
      <c r="D146" s="209"/>
      <c r="E146" s="209"/>
      <c r="F146" s="209"/>
      <c r="G146" s="209"/>
      <c r="H146" s="209"/>
      <c r="I146" s="209"/>
      <c r="J146" s="210"/>
      <c r="K146" s="210"/>
      <c r="L146" s="209"/>
      <c r="M146" s="209"/>
      <c r="N146" s="209"/>
      <c r="O146" s="210"/>
      <c r="P146" s="210"/>
      <c r="Q146" s="209"/>
      <c r="R146" s="210"/>
      <c r="S146" s="210"/>
      <c r="T146" s="15"/>
      <c r="U146" s="15"/>
      <c r="V146" s="15"/>
    </row>
    <row r="147" spans="1:22" x14ac:dyDescent="0.25">
      <c r="A147" s="166"/>
      <c r="B147" s="268"/>
      <c r="C147" s="524"/>
      <c r="D147" s="525"/>
      <c r="E147" s="525"/>
      <c r="F147" s="525"/>
      <c r="G147" s="525"/>
      <c r="H147" s="525"/>
      <c r="I147" s="525"/>
      <c r="J147" s="536"/>
      <c r="K147" s="536"/>
      <c r="L147" s="525"/>
      <c r="M147" s="525"/>
      <c r="N147" s="525"/>
      <c r="O147" s="536"/>
      <c r="P147" s="165"/>
      <c r="Q147" s="525"/>
      <c r="R147" s="536"/>
      <c r="S147" s="536"/>
      <c r="T147" s="15"/>
      <c r="U147" s="15"/>
      <c r="V147" s="15"/>
    </row>
    <row r="148" spans="1:22" x14ac:dyDescent="0.25">
      <c r="A148" s="166"/>
      <c r="B148" s="167"/>
      <c r="C148" s="168"/>
      <c r="D148" s="169"/>
      <c r="E148" s="169"/>
      <c r="F148" s="169"/>
      <c r="G148" s="169"/>
      <c r="H148" s="169"/>
      <c r="I148" s="169"/>
      <c r="J148" s="170"/>
      <c r="K148" s="170"/>
      <c r="L148" s="169"/>
      <c r="M148" s="169"/>
      <c r="N148" s="169"/>
      <c r="O148" s="170"/>
      <c r="P148" s="170"/>
      <c r="Q148" s="169"/>
      <c r="R148" s="170"/>
      <c r="S148" s="170"/>
      <c r="T148" s="15"/>
      <c r="U148" s="15"/>
      <c r="V148" s="15"/>
    </row>
    <row r="149" spans="1:22" ht="15.75" thickBot="1" x14ac:dyDescent="0.3">
      <c r="A149" s="540"/>
      <c r="B149" s="541"/>
      <c r="C149" s="542"/>
      <c r="D149" s="543"/>
      <c r="E149" s="543"/>
      <c r="F149" s="543"/>
      <c r="G149" s="543"/>
      <c r="H149" s="543"/>
      <c r="I149" s="543"/>
      <c r="J149" s="544"/>
      <c r="K149" s="544"/>
      <c r="L149" s="543"/>
      <c r="M149" s="543"/>
      <c r="N149" s="543"/>
      <c r="O149" s="544"/>
      <c r="P149" s="544"/>
      <c r="Q149" s="543"/>
      <c r="R149" s="544"/>
      <c r="S149" s="544"/>
      <c r="T149" s="15"/>
      <c r="U149" s="15"/>
      <c r="V149" s="15"/>
    </row>
    <row r="150" spans="1:22" x14ac:dyDescent="0.25">
      <c r="A150" s="523"/>
      <c r="B150" s="268"/>
      <c r="C150" s="524"/>
      <c r="D150" s="525"/>
      <c r="E150" s="525"/>
      <c r="F150" s="525"/>
      <c r="G150" s="525"/>
      <c r="H150" s="525"/>
      <c r="I150" s="525"/>
      <c r="J150" s="536"/>
      <c r="K150" s="536"/>
      <c r="L150" s="525"/>
      <c r="M150" s="525"/>
      <c r="N150" s="525"/>
      <c r="O150" s="536"/>
      <c r="P150" s="165"/>
      <c r="Q150" s="525"/>
      <c r="R150" s="536"/>
      <c r="S150" s="536"/>
      <c r="T150" s="15"/>
      <c r="U150" s="15"/>
      <c r="V150" s="15"/>
    </row>
    <row r="151" spans="1:22" x14ac:dyDescent="0.25">
      <c r="A151" s="166"/>
      <c r="B151" s="167"/>
      <c r="C151" s="168"/>
      <c r="D151" s="169"/>
      <c r="E151" s="169"/>
      <c r="F151" s="169"/>
      <c r="G151" s="169"/>
      <c r="H151" s="169"/>
      <c r="I151" s="169"/>
      <c r="J151" s="170"/>
      <c r="K151" s="170"/>
      <c r="L151" s="169"/>
      <c r="M151" s="169"/>
      <c r="N151" s="169"/>
      <c r="O151" s="170"/>
      <c r="P151" s="170"/>
      <c r="Q151" s="169"/>
      <c r="R151" s="170"/>
      <c r="S151" s="170"/>
      <c r="T151" s="15"/>
      <c r="U151" s="15"/>
      <c r="V151" s="15"/>
    </row>
    <row r="152" spans="1:22" x14ac:dyDescent="0.25">
      <c r="A152" s="166"/>
      <c r="B152" s="207"/>
      <c r="C152" s="208"/>
      <c r="D152" s="209"/>
      <c r="E152" s="209"/>
      <c r="F152" s="209"/>
      <c r="G152" s="209"/>
      <c r="H152" s="209"/>
      <c r="I152" s="209"/>
      <c r="J152" s="210"/>
      <c r="K152" s="210"/>
      <c r="L152" s="209"/>
      <c r="M152" s="209"/>
      <c r="N152" s="209"/>
      <c r="O152" s="210"/>
      <c r="P152" s="210"/>
      <c r="Q152" s="209"/>
      <c r="R152" s="210"/>
      <c r="S152" s="210"/>
      <c r="T152" s="15"/>
      <c r="U152" s="15"/>
      <c r="V152" s="15"/>
    </row>
    <row r="153" spans="1:22" x14ac:dyDescent="0.25">
      <c r="A153" s="166"/>
      <c r="B153" s="268"/>
      <c r="C153" s="524"/>
      <c r="D153" s="525"/>
      <c r="E153" s="525"/>
      <c r="F153" s="525"/>
      <c r="G153" s="525"/>
      <c r="H153" s="525"/>
      <c r="I153" s="525"/>
      <c r="J153" s="536"/>
      <c r="K153" s="536"/>
      <c r="L153" s="525"/>
      <c r="M153" s="525"/>
      <c r="N153" s="525"/>
      <c r="O153" s="536"/>
      <c r="P153" s="165"/>
      <c r="Q153" s="525"/>
      <c r="R153" s="536"/>
      <c r="S153" s="536"/>
      <c r="T153" s="15"/>
      <c r="U153" s="15"/>
      <c r="V153" s="15"/>
    </row>
    <row r="154" spans="1:22" x14ac:dyDescent="0.25">
      <c r="A154" s="166"/>
      <c r="B154" s="167"/>
      <c r="C154" s="168"/>
      <c r="D154" s="169"/>
      <c r="E154" s="169"/>
      <c r="F154" s="169"/>
      <c r="G154" s="169"/>
      <c r="H154" s="169"/>
      <c r="I154" s="169"/>
      <c r="J154" s="170"/>
      <c r="K154" s="170"/>
      <c r="L154" s="169"/>
      <c r="M154" s="169"/>
      <c r="N154" s="169"/>
      <c r="O154" s="170"/>
      <c r="P154" s="170"/>
      <c r="Q154" s="169"/>
      <c r="R154" s="170"/>
      <c r="S154" s="170"/>
      <c r="T154" s="15"/>
      <c r="U154" s="15"/>
      <c r="V154" s="15"/>
    </row>
    <row r="155" spans="1:22" x14ac:dyDescent="0.25">
      <c r="A155" s="166"/>
      <c r="B155" s="207"/>
      <c r="C155" s="208"/>
      <c r="D155" s="209"/>
      <c r="E155" s="209"/>
      <c r="F155" s="209"/>
      <c r="G155" s="209"/>
      <c r="H155" s="209"/>
      <c r="I155" s="209"/>
      <c r="J155" s="210"/>
      <c r="K155" s="210"/>
      <c r="L155" s="209"/>
      <c r="M155" s="209"/>
      <c r="N155" s="209"/>
      <c r="O155" s="210"/>
      <c r="P155" s="210"/>
      <c r="Q155" s="209"/>
      <c r="R155" s="210"/>
      <c r="S155" s="210"/>
      <c r="T155" s="15"/>
      <c r="U155" s="15"/>
      <c r="V155" s="15"/>
    </row>
    <row r="156" spans="1:22" x14ac:dyDescent="0.25">
      <c r="A156" s="166"/>
      <c r="B156" s="268"/>
      <c r="C156" s="524"/>
      <c r="D156" s="525"/>
      <c r="E156" s="525"/>
      <c r="F156" s="525"/>
      <c r="G156" s="525"/>
      <c r="H156" s="525"/>
      <c r="I156" s="525"/>
      <c r="J156" s="536"/>
      <c r="K156" s="536"/>
      <c r="L156" s="525"/>
      <c r="M156" s="525"/>
      <c r="N156" s="525"/>
      <c r="O156" s="536"/>
      <c r="P156" s="165"/>
      <c r="Q156" s="525"/>
      <c r="R156" s="536"/>
      <c r="S156" s="536"/>
      <c r="T156" s="15"/>
      <c r="U156" s="15"/>
      <c r="V156" s="15"/>
    </row>
    <row r="157" spans="1:22" x14ac:dyDescent="0.25">
      <c r="A157" s="166"/>
      <c r="B157" s="167"/>
      <c r="C157" s="168"/>
      <c r="D157" s="169"/>
      <c r="E157" s="169"/>
      <c r="F157" s="169"/>
      <c r="G157" s="169"/>
      <c r="H157" s="169"/>
      <c r="I157" s="169"/>
      <c r="J157" s="170"/>
      <c r="K157" s="170"/>
      <c r="L157" s="169"/>
      <c r="M157" s="169"/>
      <c r="N157" s="169"/>
      <c r="O157" s="170"/>
      <c r="P157" s="170"/>
      <c r="Q157" s="169"/>
      <c r="R157" s="170"/>
      <c r="S157" s="170"/>
      <c r="T157" s="15"/>
      <c r="U157" s="15"/>
      <c r="V157" s="15"/>
    </row>
    <row r="158" spans="1:22" x14ac:dyDescent="0.25">
      <c r="A158" s="166"/>
      <c r="B158" s="207"/>
      <c r="C158" s="208"/>
      <c r="D158" s="209"/>
      <c r="E158" s="209"/>
      <c r="F158" s="209"/>
      <c r="G158" s="209"/>
      <c r="H158" s="209"/>
      <c r="I158" s="209"/>
      <c r="J158" s="210"/>
      <c r="K158" s="210"/>
      <c r="L158" s="209"/>
      <c r="M158" s="209"/>
      <c r="N158" s="209"/>
      <c r="O158" s="210"/>
      <c r="P158" s="210"/>
      <c r="Q158" s="209"/>
      <c r="R158" s="210"/>
      <c r="S158" s="210"/>
      <c r="T158" s="15"/>
      <c r="U158" s="15"/>
      <c r="V158" s="15"/>
    </row>
    <row r="159" spans="1:22" x14ac:dyDescent="0.25">
      <c r="A159" s="166"/>
      <c r="B159" s="268"/>
      <c r="C159" s="524"/>
      <c r="D159" s="525"/>
      <c r="E159" s="525"/>
      <c r="F159" s="525"/>
      <c r="G159" s="525"/>
      <c r="H159" s="525"/>
      <c r="I159" s="525"/>
      <c r="J159" s="536"/>
      <c r="K159" s="536"/>
      <c r="L159" s="525"/>
      <c r="M159" s="525"/>
      <c r="N159" s="525"/>
      <c r="O159" s="536"/>
      <c r="P159" s="165"/>
      <c r="Q159" s="525"/>
      <c r="R159" s="536"/>
      <c r="S159" s="536"/>
      <c r="T159" s="15"/>
      <c r="U159" s="15"/>
      <c r="V159" s="15"/>
    </row>
    <row r="160" spans="1:22" x14ac:dyDescent="0.25">
      <c r="A160" s="166"/>
      <c r="B160" s="167"/>
      <c r="C160" s="168"/>
      <c r="D160" s="169"/>
      <c r="E160" s="169"/>
      <c r="F160" s="169"/>
      <c r="G160" s="169"/>
      <c r="H160" s="169"/>
      <c r="I160" s="169"/>
      <c r="J160" s="170"/>
      <c r="K160" s="170"/>
      <c r="L160" s="169"/>
      <c r="M160" s="169"/>
      <c r="N160" s="169"/>
      <c r="O160" s="170"/>
      <c r="P160" s="170"/>
      <c r="Q160" s="169"/>
      <c r="R160" s="170"/>
      <c r="S160" s="170"/>
      <c r="T160" s="15"/>
      <c r="U160" s="15"/>
      <c r="V160" s="15"/>
    </row>
    <row r="161" spans="1:22" x14ac:dyDescent="0.25">
      <c r="A161" s="166"/>
      <c r="B161" s="207"/>
      <c r="C161" s="208"/>
      <c r="D161" s="209"/>
      <c r="E161" s="209"/>
      <c r="F161" s="209"/>
      <c r="G161" s="209"/>
      <c r="H161" s="209"/>
      <c r="I161" s="209"/>
      <c r="J161" s="210"/>
      <c r="K161" s="210"/>
      <c r="L161" s="209"/>
      <c r="M161" s="209"/>
      <c r="N161" s="209"/>
      <c r="O161" s="210"/>
      <c r="P161" s="210"/>
      <c r="Q161" s="209"/>
      <c r="R161" s="210"/>
      <c r="S161" s="210"/>
      <c r="T161" s="15"/>
      <c r="U161" s="15"/>
      <c r="V161" s="15"/>
    </row>
    <row r="162" spans="1:22" x14ac:dyDescent="0.25">
      <c r="A162" s="166"/>
      <c r="B162" s="268"/>
      <c r="C162" s="524"/>
      <c r="D162" s="525"/>
      <c r="E162" s="525"/>
      <c r="F162" s="525"/>
      <c r="G162" s="525"/>
      <c r="H162" s="525"/>
      <c r="I162" s="525"/>
      <c r="J162" s="536"/>
      <c r="K162" s="536"/>
      <c r="L162" s="525"/>
      <c r="M162" s="525"/>
      <c r="N162" s="525"/>
      <c r="O162" s="536"/>
      <c r="P162" s="165"/>
      <c r="Q162" s="525"/>
      <c r="R162" s="536"/>
      <c r="S162" s="536"/>
      <c r="T162" s="15"/>
      <c r="U162" s="15"/>
      <c r="V162" s="15"/>
    </row>
    <row r="163" spans="1:22" x14ac:dyDescent="0.25">
      <c r="A163" s="166"/>
      <c r="B163" s="167"/>
      <c r="C163" s="168"/>
      <c r="D163" s="169"/>
      <c r="E163" s="169"/>
      <c r="F163" s="169"/>
      <c r="G163" s="169"/>
      <c r="H163" s="169"/>
      <c r="I163" s="169"/>
      <c r="J163" s="170"/>
      <c r="K163" s="170"/>
      <c r="L163" s="169"/>
      <c r="M163" s="169"/>
      <c r="N163" s="169"/>
      <c r="O163" s="170"/>
      <c r="P163" s="170"/>
      <c r="Q163" s="169"/>
      <c r="R163" s="170"/>
      <c r="S163" s="170"/>
      <c r="T163" s="15"/>
      <c r="U163" s="15"/>
      <c r="V163" s="15"/>
    </row>
    <row r="164" spans="1:22" x14ac:dyDescent="0.25">
      <c r="A164" s="166"/>
      <c r="B164" s="207"/>
      <c r="C164" s="208"/>
      <c r="D164" s="209"/>
      <c r="E164" s="209"/>
      <c r="F164" s="209"/>
      <c r="G164" s="209"/>
      <c r="H164" s="209"/>
      <c r="I164" s="209"/>
      <c r="J164" s="210"/>
      <c r="K164" s="210"/>
      <c r="L164" s="209"/>
      <c r="M164" s="209"/>
      <c r="N164" s="209"/>
      <c r="O164" s="210"/>
      <c r="P164" s="210"/>
      <c r="Q164" s="209"/>
      <c r="R164" s="210"/>
      <c r="S164" s="210"/>
      <c r="T164" s="15"/>
      <c r="U164" s="15"/>
      <c r="V164" s="15"/>
    </row>
    <row r="165" spans="1:22" x14ac:dyDescent="0.25">
      <c r="A165" s="166"/>
      <c r="B165" s="268"/>
      <c r="C165" s="524"/>
      <c r="D165" s="525"/>
      <c r="E165" s="525"/>
      <c r="F165" s="525"/>
      <c r="G165" s="525"/>
      <c r="H165" s="525"/>
      <c r="I165" s="525"/>
      <c r="J165" s="536"/>
      <c r="K165" s="536"/>
      <c r="L165" s="525"/>
      <c r="M165" s="525"/>
      <c r="N165" s="525"/>
      <c r="O165" s="536"/>
      <c r="P165" s="165"/>
      <c r="Q165" s="525"/>
      <c r="R165" s="536"/>
      <c r="S165" s="536"/>
      <c r="T165" s="15"/>
      <c r="U165" s="15"/>
      <c r="V165" s="15"/>
    </row>
    <row r="166" spans="1:22" x14ac:dyDescent="0.25">
      <c r="A166" s="166"/>
      <c r="B166" s="167"/>
      <c r="C166" s="168"/>
      <c r="D166" s="169"/>
      <c r="E166" s="169"/>
      <c r="F166" s="169"/>
      <c r="G166" s="169"/>
      <c r="H166" s="169"/>
      <c r="I166" s="169"/>
      <c r="J166" s="170"/>
      <c r="K166" s="170"/>
      <c r="L166" s="169"/>
      <c r="M166" s="169"/>
      <c r="N166" s="169"/>
      <c r="O166" s="170"/>
      <c r="P166" s="170"/>
      <c r="Q166" s="169"/>
      <c r="R166" s="170"/>
      <c r="S166" s="170"/>
      <c r="T166" s="15"/>
      <c r="U166" s="15"/>
      <c r="V166" s="15"/>
    </row>
    <row r="167" spans="1:22" ht="15.75" thickBot="1" x14ac:dyDescent="0.3">
      <c r="A167" s="166"/>
      <c r="B167" s="531"/>
      <c r="C167" s="532"/>
      <c r="D167" s="533"/>
      <c r="E167" s="533"/>
      <c r="F167" s="533"/>
      <c r="G167" s="533"/>
      <c r="H167" s="533"/>
      <c r="I167" s="533"/>
      <c r="J167" s="537"/>
      <c r="K167" s="537"/>
      <c r="L167" s="533"/>
      <c r="M167" s="533"/>
      <c r="N167" s="533"/>
      <c r="O167" s="537"/>
      <c r="P167" s="537"/>
      <c r="Q167" s="533"/>
      <c r="R167" s="537"/>
      <c r="S167" s="537"/>
      <c r="T167" s="15"/>
      <c r="U167" s="15"/>
      <c r="V167" s="15"/>
    </row>
    <row r="168" spans="1:22" ht="15.75" thickTop="1" x14ac:dyDescent="0.25">
      <c r="A168" s="166"/>
      <c r="B168" s="167"/>
      <c r="C168" s="168"/>
      <c r="D168" s="169"/>
      <c r="E168" s="169"/>
      <c r="F168" s="169"/>
      <c r="G168" s="169"/>
      <c r="H168" s="169"/>
      <c r="I168" s="169"/>
      <c r="J168" s="170"/>
      <c r="K168" s="170"/>
      <c r="L168" s="169"/>
      <c r="M168" s="169"/>
      <c r="N168" s="169"/>
      <c r="O168" s="170"/>
      <c r="P168" s="170"/>
      <c r="Q168" s="169"/>
      <c r="R168" s="170"/>
      <c r="S168" s="170"/>
      <c r="T168" s="15"/>
      <c r="U168" s="15"/>
      <c r="V168" s="15"/>
    </row>
    <row r="169" spans="1:22" x14ac:dyDescent="0.25">
      <c r="A169" s="166"/>
      <c r="B169" s="167"/>
      <c r="C169" s="168"/>
      <c r="D169" s="169"/>
      <c r="E169" s="169"/>
      <c r="F169" s="169"/>
      <c r="G169" s="169"/>
      <c r="H169" s="169"/>
      <c r="I169" s="169"/>
      <c r="J169" s="170"/>
      <c r="K169" s="170"/>
      <c r="L169" s="169"/>
      <c r="M169" s="169"/>
      <c r="N169" s="169"/>
      <c r="O169" s="170"/>
      <c r="P169" s="170"/>
      <c r="Q169" s="169"/>
      <c r="R169" s="170"/>
      <c r="S169" s="170"/>
      <c r="T169" s="15"/>
      <c r="U169" s="15"/>
      <c r="V169" s="15"/>
    </row>
    <row r="170" spans="1:22" x14ac:dyDescent="0.25">
      <c r="A170" s="166"/>
      <c r="B170" s="207"/>
      <c r="C170" s="208"/>
      <c r="D170" s="209"/>
      <c r="E170" s="209"/>
      <c r="F170" s="209"/>
      <c r="G170" s="209"/>
      <c r="H170" s="209"/>
      <c r="I170" s="209"/>
      <c r="J170" s="210"/>
      <c r="K170" s="210"/>
      <c r="L170" s="209"/>
      <c r="M170" s="209"/>
      <c r="N170" s="209"/>
      <c r="O170" s="210"/>
      <c r="P170" s="210"/>
      <c r="Q170" s="209"/>
      <c r="R170" s="210"/>
      <c r="S170" s="210"/>
      <c r="T170" s="15"/>
      <c r="U170" s="15"/>
      <c r="V170" s="15"/>
    </row>
    <row r="171" spans="1:22" x14ac:dyDescent="0.25">
      <c r="A171" s="166"/>
      <c r="B171" s="268"/>
      <c r="C171" s="524"/>
      <c r="D171" s="525"/>
      <c r="E171" s="525"/>
      <c r="F171" s="525"/>
      <c r="G171" s="525"/>
      <c r="H171" s="525"/>
      <c r="I171" s="525"/>
      <c r="J171" s="536"/>
      <c r="K171" s="536"/>
      <c r="L171" s="525"/>
      <c r="M171" s="525"/>
      <c r="N171" s="525"/>
      <c r="O171" s="536"/>
      <c r="P171" s="165"/>
      <c r="Q171" s="525"/>
      <c r="R171" s="536"/>
      <c r="S171" s="536"/>
      <c r="T171" s="15"/>
      <c r="U171" s="15"/>
      <c r="V171" s="15"/>
    </row>
    <row r="172" spans="1:22" x14ac:dyDescent="0.25">
      <c r="A172" s="166"/>
      <c r="B172" s="167"/>
      <c r="C172" s="168"/>
      <c r="D172" s="169"/>
      <c r="E172" s="169"/>
      <c r="F172" s="169"/>
      <c r="G172" s="169"/>
      <c r="H172" s="169"/>
      <c r="I172" s="169"/>
      <c r="J172" s="170"/>
      <c r="K172" s="170"/>
      <c r="L172" s="169"/>
      <c r="M172" s="169"/>
      <c r="N172" s="169"/>
      <c r="O172" s="170"/>
      <c r="P172" s="170"/>
      <c r="Q172" s="169"/>
      <c r="R172" s="170"/>
      <c r="S172" s="170"/>
      <c r="T172" s="15"/>
      <c r="U172" s="15"/>
      <c r="V172" s="15"/>
    </row>
    <row r="173" spans="1:22" x14ac:dyDescent="0.25">
      <c r="A173" s="166"/>
      <c r="B173" s="207"/>
      <c r="C173" s="208"/>
      <c r="D173" s="209"/>
      <c r="E173" s="209"/>
      <c r="F173" s="209"/>
      <c r="G173" s="209"/>
      <c r="H173" s="209"/>
      <c r="I173" s="209"/>
      <c r="J173" s="210"/>
      <c r="K173" s="210"/>
      <c r="L173" s="209"/>
      <c r="M173" s="209"/>
      <c r="N173" s="209"/>
      <c r="O173" s="210"/>
      <c r="P173" s="210"/>
      <c r="Q173" s="209"/>
      <c r="R173" s="210"/>
      <c r="S173" s="210"/>
      <c r="T173" s="15"/>
      <c r="U173" s="15"/>
      <c r="V173" s="15"/>
    </row>
    <row r="174" spans="1:22" x14ac:dyDescent="0.25">
      <c r="A174" s="166"/>
      <c r="B174" s="268"/>
      <c r="C174" s="524"/>
      <c r="D174" s="525"/>
      <c r="E174" s="525"/>
      <c r="F174" s="525"/>
      <c r="G174" s="525"/>
      <c r="H174" s="525"/>
      <c r="I174" s="525"/>
      <c r="J174" s="536"/>
      <c r="K174" s="536"/>
      <c r="L174" s="525"/>
      <c r="M174" s="525"/>
      <c r="N174" s="525"/>
      <c r="O174" s="536"/>
      <c r="P174" s="165"/>
      <c r="Q174" s="525"/>
      <c r="R174" s="536"/>
      <c r="S174" s="536"/>
      <c r="T174" s="15"/>
      <c r="U174" s="15"/>
      <c r="V174" s="15"/>
    </row>
    <row r="175" spans="1:22" x14ac:dyDescent="0.25">
      <c r="A175" s="166"/>
      <c r="B175" s="167"/>
      <c r="C175" s="168"/>
      <c r="D175" s="169"/>
      <c r="E175" s="169"/>
      <c r="F175" s="169"/>
      <c r="G175" s="169"/>
      <c r="H175" s="169"/>
      <c r="I175" s="169"/>
      <c r="J175" s="170"/>
      <c r="K175" s="170"/>
      <c r="L175" s="169"/>
      <c r="M175" s="169"/>
      <c r="N175" s="169"/>
      <c r="O175" s="170"/>
      <c r="P175" s="170"/>
      <c r="Q175" s="169"/>
      <c r="R175" s="170"/>
      <c r="S175" s="170"/>
      <c r="T175" s="15"/>
      <c r="U175" s="15"/>
      <c r="V175" s="15"/>
    </row>
    <row r="176" spans="1:22" x14ac:dyDescent="0.25">
      <c r="A176" s="166"/>
      <c r="B176" s="207"/>
      <c r="C176" s="208"/>
      <c r="D176" s="209"/>
      <c r="E176" s="209"/>
      <c r="F176" s="209"/>
      <c r="G176" s="209"/>
      <c r="H176" s="209"/>
      <c r="I176" s="209"/>
      <c r="J176" s="210"/>
      <c r="K176" s="210"/>
      <c r="L176" s="209"/>
      <c r="M176" s="209"/>
      <c r="N176" s="209"/>
      <c r="O176" s="210"/>
      <c r="P176" s="210"/>
      <c r="Q176" s="209"/>
      <c r="R176" s="210"/>
      <c r="S176" s="210"/>
      <c r="T176" s="15"/>
      <c r="U176" s="15"/>
      <c r="V176" s="15"/>
    </row>
    <row r="177" spans="1:22" x14ac:dyDescent="0.25">
      <c r="A177" s="166"/>
      <c r="B177" s="268"/>
      <c r="C177" s="524"/>
      <c r="D177" s="525"/>
      <c r="E177" s="525"/>
      <c r="F177" s="525"/>
      <c r="G177" s="525"/>
      <c r="H177" s="525"/>
      <c r="I177" s="525"/>
      <c r="J177" s="536"/>
      <c r="K177" s="536"/>
      <c r="L177" s="525"/>
      <c r="M177" s="525"/>
      <c r="N177" s="525"/>
      <c r="O177" s="536"/>
      <c r="P177" s="165"/>
      <c r="Q177" s="525"/>
      <c r="R177" s="536"/>
      <c r="S177" s="536"/>
      <c r="T177" s="15"/>
      <c r="U177" s="15"/>
      <c r="V177" s="15"/>
    </row>
    <row r="178" spans="1:22" x14ac:dyDescent="0.25">
      <c r="A178" s="166"/>
      <c r="B178" s="167"/>
      <c r="C178" s="168"/>
      <c r="D178" s="169"/>
      <c r="E178" s="169"/>
      <c r="F178" s="169"/>
      <c r="G178" s="169"/>
      <c r="H178" s="169"/>
      <c r="I178" s="169"/>
      <c r="J178" s="170"/>
      <c r="K178" s="170"/>
      <c r="L178" s="169"/>
      <c r="M178" s="169"/>
      <c r="N178" s="169"/>
      <c r="O178" s="170"/>
      <c r="P178" s="170"/>
      <c r="Q178" s="169"/>
      <c r="R178" s="170"/>
      <c r="S178" s="170"/>
      <c r="T178" s="15"/>
      <c r="U178" s="15"/>
      <c r="V178" s="15"/>
    </row>
    <row r="179" spans="1:22" x14ac:dyDescent="0.25">
      <c r="A179" s="166"/>
      <c r="B179" s="207"/>
      <c r="C179" s="208"/>
      <c r="D179" s="209"/>
      <c r="E179" s="209"/>
      <c r="F179" s="209"/>
      <c r="G179" s="209"/>
      <c r="H179" s="209"/>
      <c r="I179" s="209"/>
      <c r="J179" s="210"/>
      <c r="K179" s="210"/>
      <c r="L179" s="209"/>
      <c r="M179" s="209"/>
      <c r="N179" s="209"/>
      <c r="O179" s="210"/>
      <c r="P179" s="210"/>
      <c r="Q179" s="209"/>
      <c r="R179" s="210"/>
      <c r="S179" s="210"/>
      <c r="T179" s="15"/>
      <c r="U179" s="15"/>
      <c r="V179" s="15"/>
    </row>
    <row r="180" spans="1:22" x14ac:dyDescent="0.25">
      <c r="A180" s="166"/>
      <c r="B180" s="268"/>
      <c r="C180" s="524"/>
      <c r="D180" s="525"/>
      <c r="E180" s="525"/>
      <c r="F180" s="525"/>
      <c r="G180" s="525"/>
      <c r="H180" s="525"/>
      <c r="I180" s="525"/>
      <c r="J180" s="536"/>
      <c r="K180" s="536"/>
      <c r="L180" s="525"/>
      <c r="M180" s="525"/>
      <c r="N180" s="525"/>
      <c r="O180" s="536"/>
      <c r="P180" s="165"/>
      <c r="Q180" s="525"/>
      <c r="R180" s="536"/>
      <c r="S180" s="536"/>
      <c r="T180" s="15"/>
      <c r="U180" s="15"/>
      <c r="V180" s="15"/>
    </row>
    <row r="181" spans="1:22" x14ac:dyDescent="0.25">
      <c r="A181" s="166"/>
      <c r="B181" s="167"/>
      <c r="C181" s="168"/>
      <c r="D181" s="169"/>
      <c r="E181" s="169"/>
      <c r="F181" s="169"/>
      <c r="G181" s="169"/>
      <c r="H181" s="169"/>
      <c r="I181" s="169"/>
      <c r="J181" s="170"/>
      <c r="K181" s="170"/>
      <c r="L181" s="169"/>
      <c r="M181" s="169"/>
      <c r="N181" s="169"/>
      <c r="O181" s="170"/>
      <c r="P181" s="170"/>
      <c r="Q181" s="169"/>
      <c r="R181" s="170"/>
      <c r="S181" s="170"/>
      <c r="T181" s="15"/>
      <c r="U181" s="15"/>
      <c r="V181" s="15"/>
    </row>
    <row r="182" spans="1:22" x14ac:dyDescent="0.25">
      <c r="A182" s="166"/>
      <c r="B182" s="207"/>
      <c r="C182" s="208"/>
      <c r="D182" s="209"/>
      <c r="E182" s="209"/>
      <c r="F182" s="209"/>
      <c r="G182" s="209"/>
      <c r="H182" s="209"/>
      <c r="I182" s="209"/>
      <c r="J182" s="210"/>
      <c r="K182" s="210"/>
      <c r="L182" s="209"/>
      <c r="M182" s="209"/>
      <c r="N182" s="209"/>
      <c r="O182" s="210"/>
      <c r="P182" s="210"/>
      <c r="Q182" s="209"/>
      <c r="R182" s="210"/>
      <c r="S182" s="210"/>
      <c r="T182" s="15"/>
      <c r="U182" s="15"/>
      <c r="V182" s="15"/>
    </row>
    <row r="183" spans="1:22" x14ac:dyDescent="0.25">
      <c r="A183" s="166"/>
      <c r="B183" s="268"/>
      <c r="C183" s="524"/>
      <c r="D183" s="525"/>
      <c r="E183" s="525"/>
      <c r="F183" s="525"/>
      <c r="G183" s="525"/>
      <c r="H183" s="525"/>
      <c r="I183" s="525"/>
      <c r="J183" s="536"/>
      <c r="K183" s="536"/>
      <c r="L183" s="525"/>
      <c r="M183" s="525"/>
      <c r="N183" s="525"/>
      <c r="O183" s="536"/>
      <c r="P183" s="165"/>
      <c r="Q183" s="525"/>
      <c r="R183" s="536"/>
      <c r="S183" s="536"/>
      <c r="T183" s="15"/>
      <c r="U183" s="15"/>
      <c r="V183" s="15"/>
    </row>
    <row r="184" spans="1:22" x14ac:dyDescent="0.25">
      <c r="A184" s="166"/>
      <c r="B184" s="167"/>
      <c r="C184" s="168"/>
      <c r="D184" s="169"/>
      <c r="E184" s="169"/>
      <c r="F184" s="169"/>
      <c r="G184" s="169"/>
      <c r="H184" s="169"/>
      <c r="I184" s="169"/>
      <c r="J184" s="170"/>
      <c r="K184" s="170"/>
      <c r="L184" s="169"/>
      <c r="M184" s="169"/>
      <c r="N184" s="169"/>
      <c r="O184" s="170"/>
      <c r="P184" s="170"/>
      <c r="Q184" s="169"/>
      <c r="R184" s="170"/>
      <c r="S184" s="170"/>
      <c r="T184" s="15"/>
      <c r="U184" s="15"/>
      <c r="V184" s="15"/>
    </row>
    <row r="185" spans="1:22" ht="15.75" thickBot="1" x14ac:dyDescent="0.3">
      <c r="A185" s="540"/>
      <c r="B185" s="541"/>
      <c r="C185" s="542"/>
      <c r="D185" s="543"/>
      <c r="E185" s="543"/>
      <c r="F185" s="543"/>
      <c r="G185" s="543"/>
      <c r="H185" s="543"/>
      <c r="I185" s="543"/>
      <c r="J185" s="544"/>
      <c r="K185" s="544"/>
      <c r="L185" s="543"/>
      <c r="M185" s="543"/>
      <c r="N185" s="543"/>
      <c r="O185" s="544"/>
      <c r="P185" s="544"/>
      <c r="Q185" s="543"/>
      <c r="R185" s="544"/>
      <c r="S185" s="544"/>
      <c r="T185" s="15"/>
      <c r="U185" s="15"/>
      <c r="V185" s="15"/>
    </row>
    <row r="186" spans="1:22" x14ac:dyDescent="0.25">
      <c r="A186" s="523"/>
      <c r="B186" s="268"/>
      <c r="C186" s="524"/>
      <c r="D186" s="525"/>
      <c r="E186" s="525"/>
      <c r="F186" s="525"/>
      <c r="G186" s="525"/>
      <c r="H186" s="525"/>
      <c r="I186" s="525"/>
      <c r="J186" s="536"/>
      <c r="K186" s="536"/>
      <c r="L186" s="525"/>
      <c r="M186" s="525"/>
      <c r="N186" s="525"/>
      <c r="O186" s="536"/>
      <c r="P186" s="165"/>
      <c r="Q186" s="525"/>
      <c r="R186" s="536"/>
      <c r="S186" s="536"/>
      <c r="T186" s="15"/>
      <c r="U186" s="15"/>
      <c r="V186" s="15"/>
    </row>
    <row r="187" spans="1:22" x14ac:dyDescent="0.25">
      <c r="A187" s="166"/>
      <c r="B187" s="167"/>
      <c r="C187" s="168"/>
      <c r="D187" s="169"/>
      <c r="E187" s="169"/>
      <c r="F187" s="169"/>
      <c r="G187" s="169"/>
      <c r="H187" s="169"/>
      <c r="I187" s="169"/>
      <c r="J187" s="170"/>
      <c r="K187" s="170"/>
      <c r="L187" s="169"/>
      <c r="M187" s="169"/>
      <c r="N187" s="169"/>
      <c r="O187" s="170"/>
      <c r="P187" s="170"/>
      <c r="Q187" s="169"/>
      <c r="R187" s="170"/>
      <c r="S187" s="170"/>
      <c r="T187" s="15"/>
      <c r="U187" s="15"/>
      <c r="V187" s="15"/>
    </row>
    <row r="188" spans="1:22" x14ac:dyDescent="0.25">
      <c r="A188" s="166"/>
      <c r="B188" s="207"/>
      <c r="C188" s="208"/>
      <c r="D188" s="209"/>
      <c r="E188" s="209"/>
      <c r="F188" s="209"/>
      <c r="G188" s="209"/>
      <c r="H188" s="209"/>
      <c r="I188" s="209"/>
      <c r="J188" s="210"/>
      <c r="K188" s="210"/>
      <c r="L188" s="209"/>
      <c r="M188" s="209"/>
      <c r="N188" s="209"/>
      <c r="O188" s="210"/>
      <c r="P188" s="539"/>
      <c r="Q188" s="209"/>
      <c r="R188" s="210"/>
      <c r="S188" s="210"/>
      <c r="T188" s="15"/>
      <c r="U188" s="15"/>
      <c r="V188" s="15"/>
    </row>
    <row r="189" spans="1:22" x14ac:dyDescent="0.25">
      <c r="A189" s="166"/>
      <c r="B189" s="268"/>
      <c r="C189" s="524"/>
      <c r="D189" s="525"/>
      <c r="E189" s="525"/>
      <c r="F189" s="525"/>
      <c r="G189" s="525"/>
      <c r="H189" s="525"/>
      <c r="I189" s="525"/>
      <c r="J189" s="536"/>
      <c r="K189" s="536"/>
      <c r="L189" s="525"/>
      <c r="M189" s="525"/>
      <c r="N189" s="525"/>
      <c r="O189" s="536"/>
      <c r="P189" s="165"/>
      <c r="Q189" s="525"/>
      <c r="R189" s="536"/>
      <c r="S189" s="536"/>
      <c r="T189" s="15"/>
      <c r="U189" s="15"/>
      <c r="V189" s="15"/>
    </row>
    <row r="190" spans="1:22" x14ac:dyDescent="0.25">
      <c r="A190" s="166"/>
      <c r="B190" s="167"/>
      <c r="C190" s="168"/>
      <c r="D190" s="169"/>
      <c r="E190" s="169"/>
      <c r="F190" s="169"/>
      <c r="G190" s="169"/>
      <c r="H190" s="169"/>
      <c r="I190" s="169"/>
      <c r="J190" s="170"/>
      <c r="K190" s="170"/>
      <c r="L190" s="169"/>
      <c r="M190" s="169"/>
      <c r="N190" s="169"/>
      <c r="O190" s="170"/>
      <c r="P190" s="170"/>
      <c r="Q190" s="169"/>
      <c r="R190" s="170"/>
      <c r="S190" s="170"/>
      <c r="T190" s="15"/>
      <c r="U190" s="15"/>
      <c r="V190" s="15"/>
    </row>
    <row r="191" spans="1:22" x14ac:dyDescent="0.25">
      <c r="A191" s="166"/>
      <c r="B191" s="207"/>
      <c r="C191" s="208"/>
      <c r="D191" s="209"/>
      <c r="E191" s="209"/>
      <c r="F191" s="209"/>
      <c r="G191" s="209"/>
      <c r="H191" s="209"/>
      <c r="I191" s="209"/>
      <c r="J191" s="210"/>
      <c r="K191" s="210"/>
      <c r="L191" s="209"/>
      <c r="M191" s="209"/>
      <c r="N191" s="209"/>
      <c r="O191" s="210"/>
      <c r="P191" s="210"/>
      <c r="Q191" s="209"/>
      <c r="R191" s="210"/>
      <c r="S191" s="210"/>
      <c r="T191" s="15"/>
      <c r="U191" s="15"/>
      <c r="V191" s="15"/>
    </row>
    <row r="192" spans="1:22" x14ac:dyDescent="0.25">
      <c r="A192" s="166"/>
      <c r="B192" s="268"/>
      <c r="C192" s="524"/>
      <c r="D192" s="525"/>
      <c r="E192" s="525"/>
      <c r="F192" s="525"/>
      <c r="G192" s="525"/>
      <c r="H192" s="525"/>
      <c r="I192" s="525"/>
      <c r="J192" s="536"/>
      <c r="K192" s="536"/>
      <c r="L192" s="525"/>
      <c r="M192" s="525"/>
      <c r="N192" s="525"/>
      <c r="O192" s="536"/>
      <c r="P192" s="165"/>
      <c r="Q192" s="525"/>
      <c r="R192" s="536"/>
      <c r="S192" s="536"/>
      <c r="T192" s="15"/>
      <c r="U192" s="15"/>
      <c r="V192" s="15"/>
    </row>
    <row r="193" spans="1:22" x14ac:dyDescent="0.25">
      <c r="A193" s="166"/>
      <c r="B193" s="167"/>
      <c r="C193" s="168"/>
      <c r="D193" s="169"/>
      <c r="E193" s="169"/>
      <c r="F193" s="169"/>
      <c r="G193" s="169"/>
      <c r="H193" s="169"/>
      <c r="I193" s="169"/>
      <c r="J193" s="170"/>
      <c r="K193" s="170"/>
      <c r="L193" s="169"/>
      <c r="M193" s="169"/>
      <c r="N193" s="169"/>
      <c r="O193" s="170"/>
      <c r="P193" s="170"/>
      <c r="Q193" s="169"/>
      <c r="R193" s="170"/>
      <c r="S193" s="170"/>
      <c r="T193" s="15"/>
      <c r="U193" s="15"/>
      <c r="V193" s="15"/>
    </row>
    <row r="194" spans="1:22" x14ac:dyDescent="0.25">
      <c r="A194" s="166"/>
      <c r="B194" s="207"/>
      <c r="C194" s="208"/>
      <c r="D194" s="209"/>
      <c r="E194" s="209"/>
      <c r="F194" s="209"/>
      <c r="G194" s="209"/>
      <c r="H194" s="209"/>
      <c r="I194" s="209"/>
      <c r="J194" s="210"/>
      <c r="K194" s="210"/>
      <c r="L194" s="209"/>
      <c r="M194" s="209"/>
      <c r="N194" s="209"/>
      <c r="O194" s="210"/>
      <c r="P194" s="539"/>
      <c r="Q194" s="209"/>
      <c r="R194" s="210"/>
      <c r="S194" s="210"/>
      <c r="T194" s="15"/>
      <c r="U194" s="15"/>
      <c r="V194" s="15"/>
    </row>
    <row r="195" spans="1:22" x14ac:dyDescent="0.25">
      <c r="A195" s="166"/>
      <c r="B195" s="268"/>
      <c r="C195" s="524"/>
      <c r="D195" s="525"/>
      <c r="E195" s="525"/>
      <c r="F195" s="525"/>
      <c r="G195" s="525"/>
      <c r="H195" s="525"/>
      <c r="I195" s="525"/>
      <c r="J195" s="536"/>
      <c r="K195" s="536"/>
      <c r="L195" s="525"/>
      <c r="M195" s="525"/>
      <c r="N195" s="525"/>
      <c r="O195" s="536"/>
      <c r="P195" s="165"/>
      <c r="Q195" s="525"/>
      <c r="R195" s="536"/>
      <c r="S195" s="536"/>
      <c r="T195" s="15"/>
      <c r="U195" s="15"/>
      <c r="V195" s="15"/>
    </row>
    <row r="196" spans="1:22" x14ac:dyDescent="0.25">
      <c r="A196" s="166"/>
      <c r="B196" s="167"/>
      <c r="C196" s="168"/>
      <c r="D196" s="169"/>
      <c r="E196" s="169"/>
      <c r="F196" s="169"/>
      <c r="G196" s="169"/>
      <c r="H196" s="169"/>
      <c r="I196" s="169"/>
      <c r="J196" s="170"/>
      <c r="K196" s="170"/>
      <c r="L196" s="169"/>
      <c r="M196" s="169"/>
      <c r="N196" s="169"/>
      <c r="O196" s="170"/>
      <c r="P196" s="170"/>
      <c r="Q196" s="169"/>
      <c r="R196" s="170"/>
      <c r="S196" s="170"/>
      <c r="T196" s="15"/>
      <c r="U196" s="15"/>
      <c r="V196" s="15"/>
    </row>
    <row r="197" spans="1:22" x14ac:dyDescent="0.25">
      <c r="A197" s="166"/>
      <c r="B197" s="207"/>
      <c r="C197" s="208"/>
      <c r="D197" s="209"/>
      <c r="E197" s="209"/>
      <c r="F197" s="209"/>
      <c r="G197" s="209"/>
      <c r="H197" s="209"/>
      <c r="I197" s="209"/>
      <c r="J197" s="210"/>
      <c r="K197" s="210"/>
      <c r="L197" s="209"/>
      <c r="M197" s="209"/>
      <c r="N197" s="209"/>
      <c r="O197" s="210"/>
      <c r="P197" s="210"/>
      <c r="Q197" s="209"/>
      <c r="R197" s="210"/>
      <c r="S197" s="210"/>
      <c r="T197" s="15"/>
      <c r="U197" s="15"/>
      <c r="V197" s="15"/>
    </row>
    <row r="198" spans="1:22" x14ac:dyDescent="0.25">
      <c r="A198" s="166"/>
      <c r="B198" s="268"/>
      <c r="C198" s="524"/>
      <c r="D198" s="525"/>
      <c r="E198" s="525"/>
      <c r="F198" s="525"/>
      <c r="G198" s="525"/>
      <c r="H198" s="525"/>
      <c r="I198" s="525"/>
      <c r="J198" s="536"/>
      <c r="K198" s="536"/>
      <c r="L198" s="525"/>
      <c r="M198" s="525"/>
      <c r="N198" s="525"/>
      <c r="O198" s="536"/>
      <c r="P198" s="165"/>
      <c r="Q198" s="525"/>
      <c r="R198" s="536"/>
      <c r="S198" s="536"/>
      <c r="T198" s="15"/>
      <c r="U198" s="15"/>
      <c r="V198" s="15"/>
    </row>
    <row r="199" spans="1:22" x14ac:dyDescent="0.25">
      <c r="A199" s="166"/>
      <c r="B199" s="167"/>
      <c r="C199" s="168"/>
      <c r="D199" s="169"/>
      <c r="E199" s="169"/>
      <c r="F199" s="169"/>
      <c r="G199" s="169"/>
      <c r="H199" s="169"/>
      <c r="I199" s="169"/>
      <c r="J199" s="170"/>
      <c r="K199" s="170"/>
      <c r="L199" s="169"/>
      <c r="M199" s="169"/>
      <c r="N199" s="169"/>
      <c r="O199" s="170"/>
      <c r="P199" s="170"/>
      <c r="Q199" s="169"/>
      <c r="R199" s="170"/>
      <c r="S199" s="170"/>
      <c r="T199" s="15"/>
      <c r="U199" s="15"/>
      <c r="V199" s="15"/>
    </row>
    <row r="200" spans="1:22" x14ac:dyDescent="0.25">
      <c r="A200" s="166"/>
      <c r="B200" s="207"/>
      <c r="C200" s="208"/>
      <c r="D200" s="209"/>
      <c r="E200" s="209"/>
      <c r="F200" s="209"/>
      <c r="G200" s="209"/>
      <c r="H200" s="209"/>
      <c r="I200" s="209"/>
      <c r="J200" s="210"/>
      <c r="K200" s="210"/>
      <c r="L200" s="209"/>
      <c r="M200" s="209"/>
      <c r="N200" s="209"/>
      <c r="O200" s="210"/>
      <c r="P200" s="210"/>
      <c r="Q200" s="209"/>
      <c r="R200" s="210"/>
      <c r="S200" s="210"/>
      <c r="T200" s="15"/>
      <c r="U200" s="15"/>
      <c r="V200" s="15"/>
    </row>
    <row r="201" spans="1:22" x14ac:dyDescent="0.25">
      <c r="A201" s="166"/>
      <c r="B201" s="268"/>
      <c r="C201" s="524"/>
      <c r="D201" s="525"/>
      <c r="E201" s="525"/>
      <c r="F201" s="525"/>
      <c r="G201" s="525"/>
      <c r="H201" s="525"/>
      <c r="I201" s="525"/>
      <c r="J201" s="536"/>
      <c r="K201" s="536"/>
      <c r="L201" s="525"/>
      <c r="M201" s="525"/>
      <c r="N201" s="525"/>
      <c r="O201" s="536"/>
      <c r="P201" s="165"/>
      <c r="Q201" s="525"/>
      <c r="R201" s="536"/>
      <c r="S201" s="536"/>
      <c r="T201" s="15"/>
      <c r="U201" s="15"/>
      <c r="V201" s="15"/>
    </row>
    <row r="202" spans="1:22" x14ac:dyDescent="0.25">
      <c r="A202" s="166"/>
      <c r="B202" s="167"/>
      <c r="C202" s="168"/>
      <c r="D202" s="169"/>
      <c r="E202" s="169"/>
      <c r="F202" s="169"/>
      <c r="G202" s="169"/>
      <c r="H202" s="169"/>
      <c r="I202" s="169"/>
      <c r="J202" s="170"/>
      <c r="K202" s="170"/>
      <c r="L202" s="169"/>
      <c r="M202" s="169"/>
      <c r="N202" s="169"/>
      <c r="O202" s="170"/>
      <c r="P202" s="170"/>
      <c r="Q202" s="169"/>
      <c r="R202" s="170"/>
      <c r="S202" s="170"/>
      <c r="T202" s="15"/>
      <c r="U202" s="15"/>
      <c r="V202" s="15"/>
    </row>
    <row r="203" spans="1:22" ht="15.75" thickBot="1" x14ac:dyDescent="0.3">
      <c r="A203" s="166"/>
      <c r="B203" s="531"/>
      <c r="C203" s="532"/>
      <c r="D203" s="533"/>
      <c r="E203" s="533"/>
      <c r="F203" s="533"/>
      <c r="G203" s="533"/>
      <c r="H203" s="533"/>
      <c r="I203" s="533"/>
      <c r="J203" s="537"/>
      <c r="K203" s="537"/>
      <c r="L203" s="533"/>
      <c r="M203" s="533"/>
      <c r="N203" s="533"/>
      <c r="O203" s="537"/>
      <c r="P203" s="537"/>
      <c r="Q203" s="533"/>
      <c r="R203" s="537"/>
      <c r="S203" s="537"/>
      <c r="T203" s="15"/>
      <c r="U203" s="15"/>
      <c r="V203" s="15"/>
    </row>
    <row r="204" spans="1:22" ht="15.75" thickTop="1" x14ac:dyDescent="0.25">
      <c r="A204" s="166"/>
      <c r="B204" s="167"/>
      <c r="C204" s="168"/>
      <c r="D204" s="169"/>
      <c r="E204" s="169"/>
      <c r="F204" s="169"/>
      <c r="G204" s="169"/>
      <c r="H204" s="169"/>
      <c r="I204" s="169"/>
      <c r="J204" s="170"/>
      <c r="K204" s="170"/>
      <c r="L204" s="169"/>
      <c r="M204" s="169"/>
      <c r="N204" s="169"/>
      <c r="O204" s="170"/>
      <c r="P204" s="170"/>
      <c r="Q204" s="169"/>
      <c r="R204" s="170"/>
      <c r="S204" s="170"/>
      <c r="T204" s="15"/>
      <c r="U204" s="15"/>
      <c r="V204" s="15"/>
    </row>
    <row r="205" spans="1:22" x14ac:dyDescent="0.25">
      <c r="A205" s="166"/>
      <c r="B205" s="167"/>
      <c r="C205" s="168"/>
      <c r="D205" s="169"/>
      <c r="E205" s="169"/>
      <c r="F205" s="169"/>
      <c r="G205" s="169"/>
      <c r="H205" s="169"/>
      <c r="I205" s="169"/>
      <c r="J205" s="170"/>
      <c r="K205" s="170"/>
      <c r="L205" s="169"/>
      <c r="M205" s="169"/>
      <c r="N205" s="169"/>
      <c r="O205" s="170"/>
      <c r="P205" s="170"/>
      <c r="Q205" s="169"/>
      <c r="R205" s="170"/>
      <c r="S205" s="170"/>
      <c r="T205" s="15"/>
      <c r="U205" s="15"/>
      <c r="V205" s="15"/>
    </row>
    <row r="206" spans="1:22" x14ac:dyDescent="0.25">
      <c r="A206" s="166"/>
      <c r="B206" s="207"/>
      <c r="C206" s="534"/>
      <c r="D206" s="209"/>
      <c r="E206" s="209"/>
      <c r="F206" s="209"/>
      <c r="G206" s="209"/>
      <c r="H206" s="209"/>
      <c r="I206" s="209"/>
      <c r="J206" s="210"/>
      <c r="K206" s="210"/>
      <c r="L206" s="209"/>
      <c r="M206" s="209"/>
      <c r="N206" s="209"/>
      <c r="O206" s="210"/>
      <c r="P206" s="210"/>
      <c r="Q206" s="209"/>
      <c r="R206" s="210"/>
      <c r="S206" s="210"/>
      <c r="T206" s="15"/>
      <c r="U206" s="15"/>
      <c r="V206" s="15"/>
    </row>
    <row r="207" spans="1:22" x14ac:dyDescent="0.25">
      <c r="A207" s="166"/>
      <c r="B207" s="268"/>
      <c r="C207" s="524"/>
      <c r="D207" s="525"/>
      <c r="E207" s="525"/>
      <c r="F207" s="525"/>
      <c r="G207" s="525"/>
      <c r="H207" s="525"/>
      <c r="I207" s="525"/>
      <c r="J207" s="536"/>
      <c r="K207" s="536"/>
      <c r="L207" s="525"/>
      <c r="M207" s="525"/>
      <c r="N207" s="525"/>
      <c r="O207" s="536"/>
      <c r="P207" s="165"/>
      <c r="Q207" s="525"/>
      <c r="R207" s="536"/>
      <c r="S207" s="536"/>
      <c r="T207" s="15"/>
      <c r="U207" s="15"/>
      <c r="V207" s="15"/>
    </row>
    <row r="208" spans="1:22" x14ac:dyDescent="0.25">
      <c r="A208" s="166"/>
      <c r="B208" s="167"/>
      <c r="C208" s="168"/>
      <c r="D208" s="169"/>
      <c r="E208" s="169"/>
      <c r="F208" s="169"/>
      <c r="G208" s="169"/>
      <c r="H208" s="169"/>
      <c r="I208" s="169"/>
      <c r="J208" s="170"/>
      <c r="K208" s="170"/>
      <c r="L208" s="169"/>
      <c r="M208" s="169"/>
      <c r="N208" s="169"/>
      <c r="O208" s="170"/>
      <c r="P208" s="170"/>
      <c r="Q208" s="169"/>
      <c r="R208" s="170"/>
      <c r="S208" s="170"/>
      <c r="T208" s="15"/>
      <c r="U208" s="15"/>
      <c r="V208" s="15"/>
    </row>
    <row r="209" spans="1:22" x14ac:dyDescent="0.25">
      <c r="A209" s="166"/>
      <c r="B209" s="207"/>
      <c r="C209" s="208"/>
      <c r="D209" s="209"/>
      <c r="E209" s="209"/>
      <c r="F209" s="209"/>
      <c r="G209" s="209"/>
      <c r="H209" s="209"/>
      <c r="I209" s="209"/>
      <c r="J209" s="210"/>
      <c r="K209" s="210"/>
      <c r="L209" s="209"/>
      <c r="M209" s="209"/>
      <c r="N209" s="209"/>
      <c r="O209" s="210"/>
      <c r="P209" s="210"/>
      <c r="Q209" s="209"/>
      <c r="R209" s="210"/>
      <c r="S209" s="210"/>
      <c r="T209" s="15"/>
      <c r="U209" s="15"/>
      <c r="V209" s="15"/>
    </row>
    <row r="210" spans="1:22" x14ac:dyDescent="0.25">
      <c r="A210" s="166"/>
      <c r="B210" s="268"/>
      <c r="C210" s="524"/>
      <c r="D210" s="525"/>
      <c r="E210" s="525"/>
      <c r="F210" s="525"/>
      <c r="G210" s="525"/>
      <c r="H210" s="525"/>
      <c r="I210" s="525"/>
      <c r="J210" s="536"/>
      <c r="K210" s="536"/>
      <c r="L210" s="525"/>
      <c r="M210" s="525"/>
      <c r="N210" s="525"/>
      <c r="O210" s="536"/>
      <c r="P210" s="165"/>
      <c r="Q210" s="525"/>
      <c r="R210" s="536"/>
      <c r="S210" s="536"/>
      <c r="T210" s="15"/>
      <c r="U210" s="15"/>
      <c r="V210" s="15"/>
    </row>
    <row r="211" spans="1:22" x14ac:dyDescent="0.25">
      <c r="A211" s="166"/>
      <c r="B211" s="167"/>
      <c r="C211" s="168"/>
      <c r="D211" s="169"/>
      <c r="E211" s="169"/>
      <c r="F211" s="169"/>
      <c r="G211" s="169"/>
      <c r="H211" s="169"/>
      <c r="I211" s="169"/>
      <c r="J211" s="170"/>
      <c r="K211" s="170"/>
      <c r="L211" s="169"/>
      <c r="M211" s="169"/>
      <c r="N211" s="169"/>
      <c r="O211" s="170"/>
      <c r="P211" s="170"/>
      <c r="Q211" s="169"/>
      <c r="R211" s="170"/>
      <c r="S211" s="170"/>
      <c r="T211" s="15"/>
      <c r="U211" s="15"/>
      <c r="V211" s="15"/>
    </row>
    <row r="212" spans="1:22" x14ac:dyDescent="0.25">
      <c r="A212" s="166"/>
      <c r="B212" s="207"/>
      <c r="C212" s="534"/>
      <c r="D212" s="209"/>
      <c r="E212" s="209"/>
      <c r="F212" s="209"/>
      <c r="G212" s="209"/>
      <c r="H212" s="209"/>
      <c r="I212" s="209"/>
      <c r="J212" s="210"/>
      <c r="K212" s="210"/>
      <c r="L212" s="209"/>
      <c r="M212" s="209"/>
      <c r="N212" s="209"/>
      <c r="O212" s="210"/>
      <c r="P212" s="210"/>
      <c r="Q212" s="209"/>
      <c r="R212" s="210"/>
      <c r="S212" s="210"/>
      <c r="T212" s="15"/>
      <c r="U212" s="15"/>
      <c r="V212" s="15"/>
    </row>
    <row r="213" spans="1:22" x14ac:dyDescent="0.25">
      <c r="A213" s="166"/>
      <c r="B213" s="268"/>
      <c r="C213" s="524"/>
      <c r="D213" s="525"/>
      <c r="E213" s="525"/>
      <c r="F213" s="525"/>
      <c r="G213" s="525"/>
      <c r="H213" s="525"/>
      <c r="I213" s="525"/>
      <c r="J213" s="536"/>
      <c r="K213" s="536"/>
      <c r="L213" s="525"/>
      <c r="M213" s="525"/>
      <c r="N213" s="525"/>
      <c r="O213" s="536"/>
      <c r="P213" s="165"/>
      <c r="Q213" s="525"/>
      <c r="R213" s="536"/>
      <c r="S213" s="536"/>
      <c r="T213" s="15"/>
      <c r="U213" s="15"/>
      <c r="V213" s="15"/>
    </row>
    <row r="214" spans="1:22" x14ac:dyDescent="0.25">
      <c r="A214" s="166"/>
      <c r="B214" s="167"/>
      <c r="C214" s="168"/>
      <c r="D214" s="169"/>
      <c r="E214" s="169"/>
      <c r="F214" s="169"/>
      <c r="G214" s="169"/>
      <c r="H214" s="169"/>
      <c r="I214" s="169"/>
      <c r="J214" s="170"/>
      <c r="K214" s="170"/>
      <c r="L214" s="169"/>
      <c r="M214" s="169"/>
      <c r="N214" s="169"/>
      <c r="O214" s="170"/>
      <c r="P214" s="170"/>
      <c r="Q214" s="169"/>
      <c r="R214" s="170"/>
      <c r="S214" s="170"/>
      <c r="T214" s="15"/>
      <c r="U214" s="15"/>
      <c r="V214" s="15"/>
    </row>
    <row r="215" spans="1:22" x14ac:dyDescent="0.25">
      <c r="A215" s="166"/>
      <c r="B215" s="207"/>
      <c r="C215" s="208"/>
      <c r="D215" s="209"/>
      <c r="E215" s="209"/>
      <c r="F215" s="209"/>
      <c r="G215" s="209"/>
      <c r="H215" s="209"/>
      <c r="I215" s="209"/>
      <c r="J215" s="210"/>
      <c r="K215" s="210"/>
      <c r="L215" s="209"/>
      <c r="M215" s="209"/>
      <c r="N215" s="209"/>
      <c r="O215" s="210"/>
      <c r="P215" s="210"/>
      <c r="Q215" s="209"/>
      <c r="R215" s="210"/>
      <c r="S215" s="210"/>
      <c r="T215" s="15"/>
      <c r="U215" s="15"/>
      <c r="V215" s="15"/>
    </row>
    <row r="216" spans="1:22" x14ac:dyDescent="0.25">
      <c r="A216" s="166"/>
      <c r="B216" s="268"/>
      <c r="C216" s="524"/>
      <c r="D216" s="525"/>
      <c r="E216" s="525"/>
      <c r="F216" s="525"/>
      <c r="G216" s="525"/>
      <c r="H216" s="525"/>
      <c r="I216" s="525"/>
      <c r="J216" s="536"/>
      <c r="K216" s="536"/>
      <c r="L216" s="525"/>
      <c r="M216" s="525"/>
      <c r="N216" s="525"/>
      <c r="O216" s="536"/>
      <c r="P216" s="165"/>
      <c r="Q216" s="525"/>
      <c r="R216" s="536"/>
      <c r="S216" s="536"/>
      <c r="T216" s="15"/>
      <c r="U216" s="15"/>
      <c r="V216" s="15"/>
    </row>
    <row r="217" spans="1:22" x14ac:dyDescent="0.25">
      <c r="A217" s="166"/>
      <c r="B217" s="167"/>
      <c r="C217" s="168"/>
      <c r="D217" s="169"/>
      <c r="E217" s="169"/>
      <c r="F217" s="169"/>
      <c r="G217" s="169"/>
      <c r="H217" s="169"/>
      <c r="I217" s="169"/>
      <c r="J217" s="170"/>
      <c r="K217" s="170"/>
      <c r="L217" s="169"/>
      <c r="M217" s="169"/>
      <c r="N217" s="169"/>
      <c r="O217" s="170"/>
      <c r="P217" s="170"/>
      <c r="Q217" s="169"/>
      <c r="R217" s="170"/>
      <c r="S217" s="170"/>
      <c r="T217" s="15"/>
      <c r="U217" s="15"/>
      <c r="V217" s="15"/>
    </row>
    <row r="218" spans="1:22" x14ac:dyDescent="0.25">
      <c r="A218" s="166"/>
      <c r="B218" s="207"/>
      <c r="C218" s="208"/>
      <c r="D218" s="209"/>
      <c r="E218" s="209"/>
      <c r="F218" s="209"/>
      <c r="G218" s="209"/>
      <c r="H218" s="209"/>
      <c r="I218" s="209"/>
      <c r="J218" s="210"/>
      <c r="K218" s="210"/>
      <c r="L218" s="209"/>
      <c r="M218" s="209"/>
      <c r="N218" s="209"/>
      <c r="O218" s="210"/>
      <c r="P218" s="210"/>
      <c r="Q218" s="209"/>
      <c r="R218" s="210"/>
      <c r="S218" s="210"/>
      <c r="T218" s="15"/>
      <c r="U218" s="15"/>
      <c r="V218" s="15"/>
    </row>
    <row r="219" spans="1:22" x14ac:dyDescent="0.25">
      <c r="A219" s="166"/>
      <c r="B219" s="268"/>
      <c r="C219" s="524"/>
      <c r="D219" s="525"/>
      <c r="E219" s="525"/>
      <c r="F219" s="525"/>
      <c r="G219" s="525"/>
      <c r="H219" s="525"/>
      <c r="I219" s="525"/>
      <c r="J219" s="536"/>
      <c r="K219" s="536"/>
      <c r="L219" s="525"/>
      <c r="M219" s="525"/>
      <c r="N219" s="525"/>
      <c r="O219" s="536"/>
      <c r="P219" s="165"/>
      <c r="Q219" s="525"/>
      <c r="R219" s="536"/>
      <c r="S219" s="536"/>
      <c r="T219" s="15"/>
      <c r="U219" s="15"/>
      <c r="V219" s="15"/>
    </row>
    <row r="220" spans="1:22" x14ac:dyDescent="0.25">
      <c r="A220" s="166"/>
      <c r="B220" s="167"/>
      <c r="C220" s="168"/>
      <c r="D220" s="169"/>
      <c r="E220" s="169"/>
      <c r="F220" s="169"/>
      <c r="G220" s="169"/>
      <c r="H220" s="169"/>
      <c r="I220" s="169"/>
      <c r="J220" s="170"/>
      <c r="K220" s="170"/>
      <c r="L220" s="169"/>
      <c r="M220" s="169"/>
      <c r="N220" s="169"/>
      <c r="O220" s="170"/>
      <c r="P220" s="170"/>
      <c r="Q220" s="169"/>
      <c r="R220" s="170"/>
      <c r="S220" s="170"/>
      <c r="T220" s="15"/>
      <c r="U220" s="15"/>
      <c r="V220" s="15"/>
    </row>
    <row r="221" spans="1:22" ht="15.75" thickBot="1" x14ac:dyDescent="0.3">
      <c r="A221" s="540"/>
      <c r="B221" s="541"/>
      <c r="C221" s="542"/>
      <c r="D221" s="543"/>
      <c r="E221" s="543"/>
      <c r="F221" s="543"/>
      <c r="G221" s="543"/>
      <c r="H221" s="543"/>
      <c r="I221" s="543"/>
      <c r="J221" s="544"/>
      <c r="K221" s="544"/>
      <c r="L221" s="543"/>
      <c r="M221" s="543"/>
      <c r="N221" s="543"/>
      <c r="O221" s="544"/>
      <c r="P221" s="544"/>
      <c r="Q221" s="543"/>
      <c r="R221" s="544"/>
      <c r="S221" s="544"/>
      <c r="T221" s="15"/>
      <c r="U221" s="15"/>
      <c r="V221" s="15"/>
    </row>
    <row r="222" spans="1:22" x14ac:dyDescent="0.25">
      <c r="A222" s="523"/>
      <c r="B222" s="268"/>
      <c r="C222" s="524"/>
      <c r="D222" s="525"/>
      <c r="E222" s="525"/>
      <c r="F222" s="525"/>
      <c r="G222" s="525"/>
      <c r="H222" s="525"/>
      <c r="I222" s="525"/>
      <c r="J222" s="536"/>
      <c r="K222" s="536"/>
      <c r="L222" s="525"/>
      <c r="M222" s="525"/>
      <c r="N222" s="525"/>
      <c r="O222" s="536"/>
      <c r="P222" s="165"/>
      <c r="Q222" s="525"/>
      <c r="R222" s="536"/>
      <c r="S222" s="536"/>
      <c r="T222" s="15"/>
      <c r="U222" s="15"/>
      <c r="V222" s="15"/>
    </row>
    <row r="223" spans="1:22" x14ac:dyDescent="0.25">
      <c r="A223" s="166"/>
      <c r="B223" s="167"/>
      <c r="C223" s="168"/>
      <c r="D223" s="169"/>
      <c r="E223" s="169"/>
      <c r="F223" s="169"/>
      <c r="G223" s="169"/>
      <c r="H223" s="169"/>
      <c r="I223" s="169"/>
      <c r="J223" s="170"/>
      <c r="K223" s="170"/>
      <c r="L223" s="169"/>
      <c r="M223" s="169"/>
      <c r="N223" s="169"/>
      <c r="O223" s="170"/>
      <c r="P223" s="170"/>
      <c r="Q223" s="169"/>
      <c r="R223" s="170"/>
      <c r="S223" s="170"/>
      <c r="T223" s="15"/>
      <c r="U223" s="15"/>
      <c r="V223" s="15"/>
    </row>
    <row r="224" spans="1:22" x14ac:dyDescent="0.25">
      <c r="A224" s="166"/>
      <c r="B224" s="207"/>
      <c r="C224" s="208"/>
      <c r="D224" s="209"/>
      <c r="E224" s="209"/>
      <c r="F224" s="209"/>
      <c r="G224" s="209"/>
      <c r="H224" s="209"/>
      <c r="I224" s="209"/>
      <c r="J224" s="210"/>
      <c r="K224" s="210"/>
      <c r="L224" s="209"/>
      <c r="M224" s="209"/>
      <c r="N224" s="209"/>
      <c r="O224" s="210"/>
      <c r="P224" s="210"/>
      <c r="Q224" s="209"/>
      <c r="R224" s="210"/>
      <c r="S224" s="210"/>
      <c r="T224" s="15"/>
      <c r="U224" s="15"/>
      <c r="V224" s="15"/>
    </row>
    <row r="225" spans="1:22" x14ac:dyDescent="0.25">
      <c r="A225" s="166"/>
      <c r="B225" s="268"/>
      <c r="C225" s="524"/>
      <c r="D225" s="525"/>
      <c r="E225" s="525"/>
      <c r="F225" s="525"/>
      <c r="G225" s="525"/>
      <c r="H225" s="525"/>
      <c r="I225" s="525"/>
      <c r="J225" s="536"/>
      <c r="K225" s="536"/>
      <c r="L225" s="525"/>
      <c r="M225" s="525"/>
      <c r="N225" s="525"/>
      <c r="O225" s="536"/>
      <c r="P225" s="165"/>
      <c r="Q225" s="525"/>
      <c r="R225" s="536"/>
      <c r="S225" s="536"/>
      <c r="T225" s="15"/>
      <c r="U225" s="15"/>
      <c r="V225" s="15"/>
    </row>
    <row r="226" spans="1:22" x14ac:dyDescent="0.25">
      <c r="A226" s="166"/>
      <c r="B226" s="167"/>
      <c r="C226" s="168"/>
      <c r="D226" s="169"/>
      <c r="E226" s="169"/>
      <c r="F226" s="169"/>
      <c r="G226" s="169"/>
      <c r="H226" s="169"/>
      <c r="I226" s="169"/>
      <c r="J226" s="170"/>
      <c r="K226" s="170"/>
      <c r="L226" s="169"/>
      <c r="M226" s="169"/>
      <c r="N226" s="169"/>
      <c r="O226" s="170"/>
      <c r="P226" s="170"/>
      <c r="Q226" s="169"/>
      <c r="R226" s="170"/>
      <c r="S226" s="170"/>
      <c r="T226" s="15"/>
      <c r="U226" s="15"/>
      <c r="V226" s="15"/>
    </row>
    <row r="227" spans="1:22" x14ac:dyDescent="0.25">
      <c r="A227" s="166"/>
      <c r="B227" s="207"/>
      <c r="C227" s="208"/>
      <c r="D227" s="209"/>
      <c r="E227" s="209"/>
      <c r="F227" s="209"/>
      <c r="G227" s="209"/>
      <c r="H227" s="209"/>
      <c r="I227" s="209"/>
      <c r="J227" s="210"/>
      <c r="K227" s="210"/>
      <c r="L227" s="209"/>
      <c r="M227" s="209"/>
      <c r="N227" s="209"/>
      <c r="O227" s="210"/>
      <c r="P227" s="210"/>
      <c r="Q227" s="209"/>
      <c r="R227" s="210"/>
      <c r="S227" s="210"/>
      <c r="T227" s="15"/>
      <c r="U227" s="15"/>
      <c r="V227" s="15"/>
    </row>
    <row r="228" spans="1:22" x14ac:dyDescent="0.25">
      <c r="A228" s="166"/>
      <c r="B228" s="268"/>
      <c r="C228" s="524"/>
      <c r="D228" s="525"/>
      <c r="E228" s="525"/>
      <c r="F228" s="525"/>
      <c r="G228" s="525"/>
      <c r="H228" s="525"/>
      <c r="I228" s="525"/>
      <c r="J228" s="536"/>
      <c r="K228" s="536"/>
      <c r="L228" s="525"/>
      <c r="M228" s="525"/>
      <c r="N228" s="525"/>
      <c r="O228" s="536"/>
      <c r="P228" s="165"/>
      <c r="Q228" s="525"/>
      <c r="R228" s="536"/>
      <c r="S228" s="536"/>
      <c r="T228" s="15"/>
      <c r="U228" s="15"/>
      <c r="V228" s="15"/>
    </row>
    <row r="229" spans="1:22" x14ac:dyDescent="0.25">
      <c r="A229" s="166"/>
      <c r="B229" s="167"/>
      <c r="C229" s="168"/>
      <c r="D229" s="169"/>
      <c r="E229" s="169"/>
      <c r="F229" s="169"/>
      <c r="G229" s="169"/>
      <c r="H229" s="169"/>
      <c r="I229" s="169"/>
      <c r="J229" s="170"/>
      <c r="K229" s="170"/>
      <c r="L229" s="169"/>
      <c r="M229" s="169"/>
      <c r="N229" s="169"/>
      <c r="O229" s="170"/>
      <c r="P229" s="170"/>
      <c r="Q229" s="169"/>
      <c r="R229" s="170"/>
      <c r="S229" s="170"/>
      <c r="T229" s="15"/>
      <c r="U229" s="15"/>
      <c r="V229" s="15"/>
    </row>
    <row r="230" spans="1:22" x14ac:dyDescent="0.25">
      <c r="A230" s="166"/>
      <c r="B230" s="207"/>
      <c r="C230" s="208"/>
      <c r="D230" s="209"/>
      <c r="E230" s="209"/>
      <c r="F230" s="209"/>
      <c r="G230" s="209"/>
      <c r="H230" s="209"/>
      <c r="I230" s="209"/>
      <c r="J230" s="210"/>
      <c r="K230" s="210"/>
      <c r="L230" s="209"/>
      <c r="M230" s="209"/>
      <c r="N230" s="209"/>
      <c r="O230" s="210"/>
      <c r="P230" s="210"/>
      <c r="Q230" s="209"/>
      <c r="R230" s="210"/>
      <c r="S230" s="210"/>
      <c r="T230" s="15"/>
      <c r="U230" s="15"/>
      <c r="V230" s="15"/>
    </row>
    <row r="231" spans="1:22" x14ac:dyDescent="0.25">
      <c r="A231" s="166"/>
      <c r="B231" s="268"/>
      <c r="C231" s="524"/>
      <c r="D231" s="525"/>
      <c r="E231" s="525"/>
      <c r="F231" s="525"/>
      <c r="G231" s="525"/>
      <c r="H231" s="525"/>
      <c r="I231" s="525"/>
      <c r="J231" s="536"/>
      <c r="K231" s="536"/>
      <c r="L231" s="525"/>
      <c r="M231" s="525"/>
      <c r="N231" s="525"/>
      <c r="O231" s="536"/>
      <c r="P231" s="165"/>
      <c r="Q231" s="525"/>
      <c r="R231" s="536"/>
      <c r="S231" s="536"/>
      <c r="T231" s="15"/>
      <c r="U231" s="15"/>
      <c r="V231" s="15"/>
    </row>
    <row r="232" spans="1:22" x14ac:dyDescent="0.25">
      <c r="A232" s="166"/>
      <c r="B232" s="167"/>
      <c r="C232" s="168"/>
      <c r="D232" s="169"/>
      <c r="E232" s="169"/>
      <c r="F232" s="169"/>
      <c r="G232" s="169"/>
      <c r="H232" s="169"/>
      <c r="I232" s="169"/>
      <c r="J232" s="170"/>
      <c r="K232" s="170"/>
      <c r="L232" s="169"/>
      <c r="M232" s="169"/>
      <c r="N232" s="169"/>
      <c r="O232" s="170"/>
      <c r="P232" s="170"/>
      <c r="Q232" s="169"/>
      <c r="R232" s="170"/>
      <c r="S232" s="170"/>
      <c r="T232" s="15"/>
      <c r="U232" s="15"/>
      <c r="V232" s="15"/>
    </row>
    <row r="233" spans="1:22" x14ac:dyDescent="0.25">
      <c r="A233" s="166"/>
      <c r="B233" s="207"/>
      <c r="C233" s="208"/>
      <c r="D233" s="209"/>
      <c r="E233" s="209"/>
      <c r="F233" s="209"/>
      <c r="G233" s="209"/>
      <c r="H233" s="209"/>
      <c r="I233" s="209"/>
      <c r="J233" s="210"/>
      <c r="K233" s="210"/>
      <c r="L233" s="209"/>
      <c r="M233" s="209"/>
      <c r="N233" s="209"/>
      <c r="O233" s="210"/>
      <c r="P233" s="210"/>
      <c r="Q233" s="209"/>
      <c r="R233" s="210"/>
      <c r="S233" s="210"/>
      <c r="T233" s="15"/>
      <c r="U233" s="15"/>
      <c r="V233" s="15"/>
    </row>
    <row r="234" spans="1:22" x14ac:dyDescent="0.25">
      <c r="A234" s="166"/>
      <c r="B234" s="268"/>
      <c r="C234" s="524"/>
      <c r="D234" s="525"/>
      <c r="E234" s="525"/>
      <c r="F234" s="525"/>
      <c r="G234" s="525"/>
      <c r="H234" s="525"/>
      <c r="I234" s="525"/>
      <c r="J234" s="536"/>
      <c r="K234" s="536"/>
      <c r="L234" s="525"/>
      <c r="M234" s="525"/>
      <c r="N234" s="525"/>
      <c r="O234" s="536"/>
      <c r="P234" s="165"/>
      <c r="Q234" s="525"/>
      <c r="R234" s="536"/>
      <c r="S234" s="536"/>
      <c r="T234" s="15"/>
      <c r="U234" s="15"/>
      <c r="V234" s="15"/>
    </row>
    <row r="235" spans="1:22" x14ac:dyDescent="0.25">
      <c r="A235" s="166"/>
      <c r="B235" s="167"/>
      <c r="C235" s="168"/>
      <c r="D235" s="169"/>
      <c r="E235" s="169"/>
      <c r="F235" s="169"/>
      <c r="G235" s="169"/>
      <c r="H235" s="169"/>
      <c r="I235" s="169"/>
      <c r="J235" s="170"/>
      <c r="K235" s="170"/>
      <c r="L235" s="169"/>
      <c r="M235" s="169"/>
      <c r="N235" s="169"/>
      <c r="O235" s="170"/>
      <c r="P235" s="170"/>
      <c r="Q235" s="169"/>
      <c r="R235" s="170"/>
      <c r="S235" s="170"/>
      <c r="T235" s="15"/>
      <c r="U235" s="15"/>
      <c r="V235" s="15"/>
    </row>
    <row r="236" spans="1:22" x14ac:dyDescent="0.25">
      <c r="A236" s="166"/>
      <c r="B236" s="207"/>
      <c r="C236" s="208"/>
      <c r="D236" s="209"/>
      <c r="E236" s="209"/>
      <c r="F236" s="209"/>
      <c r="G236" s="209"/>
      <c r="H236" s="209"/>
      <c r="I236" s="209"/>
      <c r="J236" s="210"/>
      <c r="K236" s="210"/>
      <c r="L236" s="209"/>
      <c r="M236" s="209"/>
      <c r="N236" s="209"/>
      <c r="O236" s="210"/>
      <c r="P236" s="210"/>
      <c r="Q236" s="209"/>
      <c r="R236" s="210"/>
      <c r="S236" s="210"/>
      <c r="T236" s="15"/>
      <c r="U236" s="15"/>
      <c r="V236" s="15"/>
    </row>
    <row r="237" spans="1:22" x14ac:dyDescent="0.25">
      <c r="A237" s="166"/>
      <c r="B237" s="268"/>
      <c r="C237" s="524"/>
      <c r="D237" s="525"/>
      <c r="E237" s="525"/>
      <c r="F237" s="525"/>
      <c r="G237" s="525"/>
      <c r="H237" s="525"/>
      <c r="I237" s="525"/>
      <c r="J237" s="536"/>
      <c r="K237" s="536"/>
      <c r="L237" s="525"/>
      <c r="M237" s="525"/>
      <c r="N237" s="525"/>
      <c r="O237" s="536"/>
      <c r="P237" s="165"/>
      <c r="Q237" s="525"/>
      <c r="R237" s="536"/>
      <c r="S237" s="536"/>
      <c r="T237" s="15"/>
      <c r="U237" s="15"/>
      <c r="V237" s="15"/>
    </row>
    <row r="238" spans="1:22" x14ac:dyDescent="0.25">
      <c r="A238" s="166"/>
      <c r="B238" s="167"/>
      <c r="C238" s="168"/>
      <c r="D238" s="169"/>
      <c r="E238" s="169"/>
      <c r="F238" s="169"/>
      <c r="G238" s="169"/>
      <c r="H238" s="169"/>
      <c r="I238" s="169"/>
      <c r="J238" s="170"/>
      <c r="K238" s="170"/>
      <c r="L238" s="169"/>
      <c r="M238" s="169"/>
      <c r="N238" s="169"/>
      <c r="O238" s="170"/>
      <c r="P238" s="170"/>
      <c r="Q238" s="169"/>
      <c r="R238" s="170"/>
      <c r="S238" s="170"/>
      <c r="T238" s="15"/>
      <c r="U238" s="15"/>
      <c r="V238" s="15"/>
    </row>
    <row r="239" spans="1:22" ht="15.75" thickBot="1" x14ac:dyDescent="0.3">
      <c r="A239" s="166"/>
      <c r="B239" s="531"/>
      <c r="C239" s="532"/>
      <c r="D239" s="533"/>
      <c r="E239" s="533"/>
      <c r="F239" s="533"/>
      <c r="G239" s="533"/>
      <c r="H239" s="533"/>
      <c r="I239" s="533"/>
      <c r="J239" s="537"/>
      <c r="K239" s="537"/>
      <c r="L239" s="533"/>
      <c r="M239" s="533"/>
      <c r="N239" s="533"/>
      <c r="O239" s="537"/>
      <c r="P239" s="537"/>
      <c r="Q239" s="533"/>
      <c r="R239" s="537"/>
      <c r="S239" s="537"/>
      <c r="T239" s="15"/>
      <c r="U239" s="15"/>
      <c r="V239" s="15"/>
    </row>
    <row r="240" spans="1:22" ht="15.75" thickTop="1" x14ac:dyDescent="0.25">
      <c r="A240" s="166"/>
      <c r="B240" s="167"/>
      <c r="C240" s="168"/>
      <c r="D240" s="169"/>
      <c r="E240" s="169"/>
      <c r="F240" s="169"/>
      <c r="G240" s="169"/>
      <c r="H240" s="169"/>
      <c r="I240" s="169"/>
      <c r="J240" s="170"/>
      <c r="K240" s="170"/>
      <c r="L240" s="169"/>
      <c r="M240" s="169"/>
      <c r="N240" s="169"/>
      <c r="O240" s="170"/>
      <c r="P240" s="170"/>
      <c r="Q240" s="169"/>
      <c r="R240" s="170"/>
      <c r="S240" s="170"/>
      <c r="T240" s="15"/>
      <c r="U240" s="15"/>
      <c r="V240" s="15"/>
    </row>
    <row r="241" spans="1:22" x14ac:dyDescent="0.25">
      <c r="A241" s="166"/>
      <c r="B241" s="167"/>
      <c r="C241" s="168"/>
      <c r="D241" s="169"/>
      <c r="E241" s="169"/>
      <c r="F241" s="169"/>
      <c r="G241" s="169"/>
      <c r="H241" s="169"/>
      <c r="I241" s="169"/>
      <c r="J241" s="170"/>
      <c r="K241" s="170"/>
      <c r="L241" s="169"/>
      <c r="M241" s="169"/>
      <c r="N241" s="169"/>
      <c r="O241" s="170"/>
      <c r="P241" s="170"/>
      <c r="Q241" s="169"/>
      <c r="R241" s="170"/>
      <c r="S241" s="170"/>
      <c r="T241" s="15"/>
      <c r="U241" s="15"/>
      <c r="V241" s="15"/>
    </row>
    <row r="242" spans="1:22" x14ac:dyDescent="0.25">
      <c r="A242" s="166"/>
      <c r="B242" s="207"/>
      <c r="C242" s="208"/>
      <c r="D242" s="209"/>
      <c r="E242" s="209"/>
      <c r="F242" s="209"/>
      <c r="G242" s="209"/>
      <c r="H242" s="209"/>
      <c r="I242" s="209"/>
      <c r="J242" s="210"/>
      <c r="K242" s="210"/>
      <c r="L242" s="209"/>
      <c r="M242" s="209"/>
      <c r="N242" s="209"/>
      <c r="O242" s="210"/>
      <c r="P242" s="210"/>
      <c r="Q242" s="209"/>
      <c r="R242" s="210"/>
      <c r="S242" s="210"/>
      <c r="T242" s="15"/>
      <c r="U242" s="15"/>
      <c r="V242" s="15"/>
    </row>
    <row r="243" spans="1:22" x14ac:dyDescent="0.25">
      <c r="A243" s="166"/>
      <c r="B243" s="268"/>
      <c r="C243" s="524"/>
      <c r="D243" s="525"/>
      <c r="E243" s="525"/>
      <c r="F243" s="525"/>
      <c r="G243" s="525"/>
      <c r="H243" s="525"/>
      <c r="I243" s="525"/>
      <c r="J243" s="536"/>
      <c r="K243" s="536"/>
      <c r="L243" s="525"/>
      <c r="M243" s="525"/>
      <c r="N243" s="525"/>
      <c r="O243" s="536"/>
      <c r="P243" s="165"/>
      <c r="Q243" s="525"/>
      <c r="R243" s="536"/>
      <c r="S243" s="536"/>
      <c r="T243" s="15"/>
      <c r="U243" s="15"/>
      <c r="V243" s="15"/>
    </row>
    <row r="244" spans="1:22" x14ac:dyDescent="0.25">
      <c r="A244" s="166"/>
      <c r="B244" s="167"/>
      <c r="C244" s="168"/>
      <c r="D244" s="169"/>
      <c r="E244" s="169"/>
      <c r="F244" s="169"/>
      <c r="G244" s="169"/>
      <c r="H244" s="169"/>
      <c r="I244" s="169"/>
      <c r="J244" s="170"/>
      <c r="K244" s="170"/>
      <c r="L244" s="169"/>
      <c r="M244" s="169"/>
      <c r="N244" s="169"/>
      <c r="O244" s="170"/>
      <c r="P244" s="170"/>
      <c r="Q244" s="169"/>
      <c r="R244" s="170"/>
      <c r="S244" s="170"/>
      <c r="T244" s="15"/>
      <c r="U244" s="15"/>
      <c r="V244" s="15"/>
    </row>
    <row r="245" spans="1:22" x14ac:dyDescent="0.25">
      <c r="A245" s="166"/>
      <c r="B245" s="207"/>
      <c r="C245" s="208"/>
      <c r="D245" s="209"/>
      <c r="E245" s="209"/>
      <c r="F245" s="209"/>
      <c r="G245" s="209"/>
      <c r="H245" s="209"/>
      <c r="I245" s="209"/>
      <c r="J245" s="210"/>
      <c r="K245" s="210"/>
      <c r="L245" s="209"/>
      <c r="M245" s="209"/>
      <c r="N245" s="209"/>
      <c r="O245" s="210"/>
      <c r="P245" s="210"/>
      <c r="Q245" s="209"/>
      <c r="R245" s="210"/>
      <c r="S245" s="210"/>
      <c r="T245" s="15"/>
      <c r="U245" s="15"/>
      <c r="V245" s="15"/>
    </row>
    <row r="246" spans="1:22" x14ac:dyDescent="0.25">
      <c r="A246" s="166"/>
      <c r="B246" s="268"/>
      <c r="C246" s="524"/>
      <c r="D246" s="525"/>
      <c r="E246" s="525"/>
      <c r="F246" s="525"/>
      <c r="G246" s="525"/>
      <c r="H246" s="525"/>
      <c r="I246" s="525"/>
      <c r="J246" s="536"/>
      <c r="K246" s="536"/>
      <c r="L246" s="525"/>
      <c r="M246" s="525"/>
      <c r="N246" s="525"/>
      <c r="O246" s="536"/>
      <c r="P246" s="165"/>
      <c r="Q246" s="525"/>
      <c r="R246" s="536"/>
      <c r="S246" s="536"/>
      <c r="T246" s="15"/>
      <c r="U246" s="15"/>
      <c r="V246" s="15"/>
    </row>
    <row r="247" spans="1:22" x14ac:dyDescent="0.25">
      <c r="A247" s="166"/>
      <c r="B247" s="167"/>
      <c r="C247" s="168"/>
      <c r="D247" s="169"/>
      <c r="E247" s="169"/>
      <c r="F247" s="169"/>
      <c r="G247" s="169"/>
      <c r="H247" s="169"/>
      <c r="I247" s="169"/>
      <c r="J247" s="170"/>
      <c r="K247" s="170"/>
      <c r="L247" s="169"/>
      <c r="M247" s="169"/>
      <c r="N247" s="169"/>
      <c r="O247" s="170"/>
      <c r="P247" s="170"/>
      <c r="Q247" s="169"/>
      <c r="R247" s="170"/>
      <c r="S247" s="170"/>
      <c r="T247" s="15"/>
      <c r="U247" s="15"/>
      <c r="V247" s="15"/>
    </row>
    <row r="248" spans="1:22" x14ac:dyDescent="0.25">
      <c r="A248" s="166"/>
      <c r="B248" s="207"/>
      <c r="C248" s="208"/>
      <c r="D248" s="209"/>
      <c r="E248" s="209"/>
      <c r="F248" s="209"/>
      <c r="G248" s="209"/>
      <c r="H248" s="209"/>
      <c r="I248" s="209"/>
      <c r="J248" s="210"/>
      <c r="K248" s="210"/>
      <c r="L248" s="209"/>
      <c r="M248" s="209"/>
      <c r="N248" s="209"/>
      <c r="O248" s="210"/>
      <c r="P248" s="210"/>
      <c r="Q248" s="209"/>
      <c r="R248" s="210"/>
      <c r="S248" s="210"/>
      <c r="T248" s="15"/>
      <c r="U248" s="15"/>
      <c r="V248" s="15"/>
    </row>
    <row r="249" spans="1:22" x14ac:dyDescent="0.25">
      <c r="A249" s="166"/>
      <c r="B249" s="268"/>
      <c r="C249" s="524"/>
      <c r="D249" s="525"/>
      <c r="E249" s="525"/>
      <c r="F249" s="525"/>
      <c r="G249" s="525"/>
      <c r="H249" s="525"/>
      <c r="I249" s="525"/>
      <c r="J249" s="536"/>
      <c r="K249" s="536"/>
      <c r="L249" s="525"/>
      <c r="M249" s="525"/>
      <c r="N249" s="525"/>
      <c r="O249" s="536"/>
      <c r="P249" s="165"/>
      <c r="Q249" s="525"/>
      <c r="R249" s="536"/>
      <c r="S249" s="536"/>
      <c r="T249" s="15"/>
      <c r="U249" s="15"/>
      <c r="V249" s="15"/>
    </row>
    <row r="250" spans="1:22" x14ac:dyDescent="0.25">
      <c r="A250" s="166"/>
      <c r="B250" s="167"/>
      <c r="C250" s="168"/>
      <c r="D250" s="169"/>
      <c r="E250" s="169"/>
      <c r="F250" s="169"/>
      <c r="G250" s="169"/>
      <c r="H250" s="169"/>
      <c r="I250" s="169"/>
      <c r="J250" s="170"/>
      <c r="K250" s="170"/>
      <c r="L250" s="169"/>
      <c r="M250" s="169"/>
      <c r="N250" s="169"/>
      <c r="O250" s="170"/>
      <c r="P250" s="170"/>
      <c r="Q250" s="169"/>
      <c r="R250" s="170"/>
      <c r="S250" s="170"/>
      <c r="T250" s="15"/>
      <c r="U250" s="15"/>
      <c r="V250" s="15"/>
    </row>
    <row r="251" spans="1:22" x14ac:dyDescent="0.25">
      <c r="A251" s="166"/>
      <c r="B251" s="207"/>
      <c r="C251" s="208"/>
      <c r="D251" s="209"/>
      <c r="E251" s="209"/>
      <c r="F251" s="209"/>
      <c r="G251" s="209"/>
      <c r="H251" s="209"/>
      <c r="I251" s="209"/>
      <c r="J251" s="210"/>
      <c r="K251" s="210"/>
      <c r="L251" s="209"/>
      <c r="M251" s="209"/>
      <c r="N251" s="209"/>
      <c r="O251" s="210"/>
      <c r="P251" s="210"/>
      <c r="Q251" s="209"/>
      <c r="R251" s="210"/>
      <c r="S251" s="210"/>
      <c r="T251" s="15"/>
      <c r="U251" s="15"/>
      <c r="V251" s="15"/>
    </row>
    <row r="252" spans="1:22" x14ac:dyDescent="0.25">
      <c r="A252" s="166"/>
      <c r="B252" s="268"/>
      <c r="C252" s="524"/>
      <c r="D252" s="525"/>
      <c r="E252" s="525"/>
      <c r="F252" s="525"/>
      <c r="G252" s="525"/>
      <c r="H252" s="525"/>
      <c r="I252" s="525"/>
      <c r="J252" s="536"/>
      <c r="K252" s="536"/>
      <c r="L252" s="525"/>
      <c r="M252" s="525"/>
      <c r="N252" s="525"/>
      <c r="O252" s="536"/>
      <c r="P252" s="165"/>
      <c r="Q252" s="525"/>
      <c r="R252" s="536"/>
      <c r="S252" s="536"/>
      <c r="T252" s="15"/>
      <c r="U252" s="15"/>
      <c r="V252" s="15"/>
    </row>
    <row r="253" spans="1:22" x14ac:dyDescent="0.25">
      <c r="A253" s="166"/>
      <c r="B253" s="167"/>
      <c r="C253" s="168"/>
      <c r="D253" s="169"/>
      <c r="E253" s="169"/>
      <c r="F253" s="169"/>
      <c r="G253" s="169"/>
      <c r="H253" s="169"/>
      <c r="I253" s="169"/>
      <c r="J253" s="170"/>
      <c r="K253" s="170"/>
      <c r="L253" s="169"/>
      <c r="M253" s="169"/>
      <c r="N253" s="169"/>
      <c r="O253" s="170"/>
      <c r="P253" s="170"/>
      <c r="Q253" s="169"/>
      <c r="R253" s="170"/>
      <c r="S253" s="170"/>
      <c r="T253" s="15"/>
      <c r="U253" s="15"/>
      <c r="V253" s="15"/>
    </row>
    <row r="254" spans="1:22" x14ac:dyDescent="0.25">
      <c r="A254" s="166"/>
      <c r="B254" s="207"/>
      <c r="C254" s="208"/>
      <c r="D254" s="209"/>
      <c r="E254" s="209"/>
      <c r="F254" s="209"/>
      <c r="G254" s="209"/>
      <c r="H254" s="209"/>
      <c r="I254" s="209"/>
      <c r="J254" s="210"/>
      <c r="K254" s="210"/>
      <c r="L254" s="209"/>
      <c r="M254" s="209"/>
      <c r="N254" s="209"/>
      <c r="O254" s="210"/>
      <c r="P254" s="210"/>
      <c r="Q254" s="209"/>
      <c r="R254" s="210"/>
      <c r="S254" s="210"/>
      <c r="T254" s="15"/>
      <c r="U254" s="15"/>
      <c r="V254" s="15"/>
    </row>
    <row r="255" spans="1:22" x14ac:dyDescent="0.25">
      <c r="A255" s="166"/>
      <c r="B255" s="268"/>
      <c r="C255" s="524"/>
      <c r="D255" s="525"/>
      <c r="E255" s="525"/>
      <c r="F255" s="525"/>
      <c r="G255" s="525"/>
      <c r="H255" s="525"/>
      <c r="I255" s="525"/>
      <c r="J255" s="536"/>
      <c r="K255" s="536"/>
      <c r="L255" s="525"/>
      <c r="M255" s="525"/>
      <c r="N255" s="525"/>
      <c r="O255" s="536"/>
      <c r="P255" s="165"/>
      <c r="Q255" s="525"/>
      <c r="R255" s="536"/>
      <c r="S255" s="536"/>
      <c r="T255" s="15"/>
      <c r="U255" s="15"/>
      <c r="V255" s="15"/>
    </row>
    <row r="256" spans="1:22" x14ac:dyDescent="0.25">
      <c r="A256" s="166"/>
      <c r="B256" s="167"/>
      <c r="C256" s="168"/>
      <c r="D256" s="169"/>
      <c r="E256" s="169"/>
      <c r="F256" s="169"/>
      <c r="G256" s="169"/>
      <c r="H256" s="169"/>
      <c r="I256" s="169"/>
      <c r="J256" s="170"/>
      <c r="K256" s="170"/>
      <c r="L256" s="169"/>
      <c r="M256" s="169"/>
      <c r="N256" s="169"/>
      <c r="O256" s="170"/>
      <c r="P256" s="170"/>
      <c r="Q256" s="169"/>
      <c r="R256" s="170"/>
      <c r="S256" s="170"/>
      <c r="T256" s="15"/>
      <c r="U256" s="15"/>
      <c r="V256" s="15"/>
    </row>
    <row r="257" spans="1:22" ht="15.75" thickBot="1" x14ac:dyDescent="0.3">
      <c r="A257" s="540"/>
      <c r="B257" s="541"/>
      <c r="C257" s="542"/>
      <c r="D257" s="543"/>
      <c r="E257" s="543"/>
      <c r="F257" s="543"/>
      <c r="G257" s="543"/>
      <c r="H257" s="543"/>
      <c r="I257" s="543"/>
      <c r="J257" s="544"/>
      <c r="K257" s="544"/>
      <c r="L257" s="543"/>
      <c r="M257" s="543"/>
      <c r="N257" s="543"/>
      <c r="O257" s="544"/>
      <c r="P257" s="544"/>
      <c r="Q257" s="543"/>
      <c r="R257" s="544"/>
      <c r="S257" s="544"/>
      <c r="T257" s="15"/>
      <c r="U257" s="15"/>
      <c r="V257" s="15"/>
    </row>
    <row r="258" spans="1:22" x14ac:dyDescent="0.25">
      <c r="A258" s="523"/>
      <c r="B258" s="268"/>
      <c r="C258" s="524"/>
      <c r="D258" s="525"/>
      <c r="E258" s="525"/>
      <c r="F258" s="525"/>
      <c r="G258" s="525"/>
      <c r="H258" s="525"/>
      <c r="I258" s="525"/>
      <c r="J258" s="536"/>
      <c r="K258" s="536"/>
      <c r="L258" s="525"/>
      <c r="M258" s="525"/>
      <c r="N258" s="525"/>
      <c r="O258" s="536"/>
      <c r="P258" s="165"/>
      <c r="Q258" s="525"/>
      <c r="R258" s="536"/>
      <c r="S258" s="536"/>
      <c r="T258" s="15"/>
      <c r="U258" s="15"/>
      <c r="V258" s="15"/>
    </row>
    <row r="259" spans="1:22" x14ac:dyDescent="0.25">
      <c r="A259" s="166"/>
      <c r="B259" s="167"/>
      <c r="C259" s="168"/>
      <c r="D259" s="169"/>
      <c r="E259" s="169"/>
      <c r="F259" s="169"/>
      <c r="G259" s="169"/>
      <c r="H259" s="169"/>
      <c r="I259" s="169"/>
      <c r="J259" s="170"/>
      <c r="K259" s="170"/>
      <c r="L259" s="169"/>
      <c r="M259" s="169"/>
      <c r="N259" s="169"/>
      <c r="O259" s="170"/>
      <c r="P259" s="170"/>
      <c r="Q259" s="169"/>
      <c r="R259" s="170"/>
      <c r="S259" s="170"/>
      <c r="T259" s="15"/>
      <c r="U259" s="15"/>
      <c r="V259" s="15"/>
    </row>
    <row r="260" spans="1:22" s="173" customFormat="1" x14ac:dyDescent="0.25">
      <c r="A260" s="166"/>
      <c r="B260" s="207"/>
      <c r="C260" s="208"/>
      <c r="D260" s="209"/>
      <c r="E260" s="209"/>
      <c r="F260" s="209"/>
      <c r="G260" s="209"/>
      <c r="H260" s="209"/>
      <c r="I260" s="209"/>
      <c r="J260" s="210"/>
      <c r="K260" s="210"/>
      <c r="L260" s="209"/>
      <c r="M260" s="209"/>
      <c r="N260" s="209"/>
      <c r="O260" s="210"/>
      <c r="P260" s="210"/>
      <c r="Q260" s="209"/>
      <c r="R260" s="210"/>
      <c r="S260" s="210"/>
      <c r="T260" s="15"/>
      <c r="U260" s="15"/>
      <c r="V260" s="15"/>
    </row>
    <row r="261" spans="1:22" x14ac:dyDescent="0.25">
      <c r="A261" s="166"/>
      <c r="B261" s="268"/>
      <c r="C261" s="524"/>
      <c r="D261" s="525"/>
      <c r="E261" s="525"/>
      <c r="F261" s="525"/>
      <c r="G261" s="525"/>
      <c r="H261" s="525"/>
      <c r="I261" s="525"/>
      <c r="J261" s="536"/>
      <c r="K261" s="536"/>
      <c r="L261" s="525"/>
      <c r="M261" s="525"/>
      <c r="N261" s="525"/>
      <c r="O261" s="536"/>
      <c r="P261" s="165"/>
      <c r="Q261" s="525"/>
      <c r="R261" s="536"/>
      <c r="S261" s="536"/>
      <c r="T261" s="15"/>
      <c r="U261" s="15"/>
      <c r="V261" s="15"/>
    </row>
    <row r="262" spans="1:22" x14ac:dyDescent="0.25">
      <c r="A262" s="166"/>
      <c r="B262" s="167"/>
      <c r="C262" s="168"/>
      <c r="D262" s="169"/>
      <c r="E262" s="169"/>
      <c r="F262" s="169"/>
      <c r="G262" s="169"/>
      <c r="H262" s="169"/>
      <c r="I262" s="169"/>
      <c r="J262" s="170"/>
      <c r="K262" s="170"/>
      <c r="L262" s="169"/>
      <c r="M262" s="169"/>
      <c r="N262" s="169"/>
      <c r="O262" s="170"/>
      <c r="P262" s="170"/>
      <c r="Q262" s="169"/>
      <c r="R262" s="170"/>
      <c r="S262" s="170"/>
      <c r="T262" s="15"/>
      <c r="U262" s="15"/>
      <c r="V262" s="15"/>
    </row>
    <row r="263" spans="1:22" s="173" customFormat="1" x14ac:dyDescent="0.25">
      <c r="A263" s="166"/>
      <c r="B263" s="207"/>
      <c r="C263" s="208"/>
      <c r="D263" s="209"/>
      <c r="E263" s="209"/>
      <c r="F263" s="209"/>
      <c r="G263" s="209"/>
      <c r="H263" s="209"/>
      <c r="I263" s="530"/>
      <c r="J263" s="210"/>
      <c r="K263" s="210"/>
      <c r="L263" s="209"/>
      <c r="M263" s="209"/>
      <c r="N263" s="209"/>
      <c r="O263" s="210"/>
      <c r="P263" s="210"/>
      <c r="Q263" s="209"/>
      <c r="R263" s="210"/>
      <c r="S263" s="210"/>
      <c r="T263" s="15"/>
      <c r="U263" s="15"/>
      <c r="V263" s="15"/>
    </row>
    <row r="264" spans="1:22" x14ac:dyDescent="0.25">
      <c r="A264" s="166"/>
      <c r="B264" s="268"/>
      <c r="C264" s="524"/>
      <c r="D264" s="525"/>
      <c r="E264" s="525"/>
      <c r="F264" s="525"/>
      <c r="G264" s="525"/>
      <c r="H264" s="525"/>
      <c r="I264" s="525"/>
      <c r="J264" s="536"/>
      <c r="K264" s="536"/>
      <c r="L264" s="525"/>
      <c r="M264" s="525"/>
      <c r="N264" s="525"/>
      <c r="O264" s="536"/>
      <c r="P264" s="165"/>
      <c r="Q264" s="525"/>
      <c r="R264" s="536"/>
      <c r="S264" s="536"/>
      <c r="T264" s="15"/>
      <c r="U264" s="15"/>
      <c r="V264" s="15"/>
    </row>
    <row r="265" spans="1:22" x14ac:dyDescent="0.25">
      <c r="A265" s="166"/>
      <c r="B265" s="167"/>
      <c r="C265" s="168"/>
      <c r="D265" s="169"/>
      <c r="E265" s="169"/>
      <c r="F265" s="169"/>
      <c r="G265" s="169"/>
      <c r="H265" s="169"/>
      <c r="I265" s="169"/>
      <c r="J265" s="170"/>
      <c r="K265" s="170"/>
      <c r="L265" s="169"/>
      <c r="M265" s="169"/>
      <c r="N265" s="169"/>
      <c r="O265" s="170"/>
      <c r="P265" s="170"/>
      <c r="Q265" s="169"/>
      <c r="R265" s="170"/>
      <c r="S265" s="170"/>
      <c r="T265" s="15"/>
      <c r="U265" s="15"/>
      <c r="V265" s="15"/>
    </row>
    <row r="266" spans="1:22" s="173" customFormat="1" x14ac:dyDescent="0.25">
      <c r="A266" s="166"/>
      <c r="B266" s="207"/>
      <c r="C266" s="208"/>
      <c r="D266" s="209"/>
      <c r="E266" s="209"/>
      <c r="F266" s="209"/>
      <c r="G266" s="209"/>
      <c r="H266" s="209"/>
      <c r="I266" s="530"/>
      <c r="J266" s="210"/>
      <c r="K266" s="210"/>
      <c r="L266" s="209"/>
      <c r="M266" s="209"/>
      <c r="N266" s="209"/>
      <c r="O266" s="210"/>
      <c r="P266" s="210"/>
      <c r="Q266" s="209"/>
      <c r="R266" s="210"/>
      <c r="S266" s="210"/>
      <c r="T266" s="15"/>
      <c r="U266" s="15"/>
      <c r="V266" s="15"/>
    </row>
    <row r="267" spans="1:22" x14ac:dyDescent="0.25">
      <c r="A267" s="166"/>
      <c r="B267" s="268"/>
      <c r="C267" s="524"/>
      <c r="D267" s="525"/>
      <c r="E267" s="525"/>
      <c r="F267" s="525"/>
      <c r="G267" s="525"/>
      <c r="H267" s="525"/>
      <c r="I267" s="525"/>
      <c r="J267" s="536"/>
      <c r="K267" s="536"/>
      <c r="L267" s="525"/>
      <c r="M267" s="525"/>
      <c r="N267" s="525"/>
      <c r="O267" s="536"/>
      <c r="P267" s="165"/>
      <c r="Q267" s="525"/>
      <c r="R267" s="536"/>
      <c r="S267" s="536"/>
      <c r="T267" s="15"/>
      <c r="U267" s="15"/>
      <c r="V267" s="15"/>
    </row>
    <row r="268" spans="1:22" x14ac:dyDescent="0.25">
      <c r="A268" s="166"/>
      <c r="B268" s="167"/>
      <c r="C268" s="168"/>
      <c r="D268" s="169"/>
      <c r="E268" s="169"/>
      <c r="F268" s="169"/>
      <c r="G268" s="169"/>
      <c r="H268" s="169"/>
      <c r="I268" s="169"/>
      <c r="J268" s="170"/>
      <c r="K268" s="170"/>
      <c r="L268" s="169"/>
      <c r="M268" s="169"/>
      <c r="N268" s="169"/>
      <c r="O268" s="170"/>
      <c r="P268" s="170"/>
      <c r="Q268" s="169"/>
      <c r="R268" s="170"/>
      <c r="S268" s="170"/>
      <c r="T268" s="15"/>
      <c r="U268" s="15"/>
      <c r="V268" s="15"/>
    </row>
    <row r="269" spans="1:22" s="173" customFormat="1" x14ac:dyDescent="0.25">
      <c r="A269" s="166"/>
      <c r="B269" s="207"/>
      <c r="C269" s="208"/>
      <c r="D269" s="209"/>
      <c r="E269" s="209"/>
      <c r="F269" s="209"/>
      <c r="G269" s="209"/>
      <c r="H269" s="209"/>
      <c r="I269" s="209"/>
      <c r="J269" s="210"/>
      <c r="K269" s="210"/>
      <c r="L269" s="209"/>
      <c r="M269" s="209"/>
      <c r="N269" s="209"/>
      <c r="O269" s="210"/>
      <c r="P269" s="210"/>
      <c r="Q269" s="209"/>
      <c r="R269" s="210"/>
      <c r="S269" s="210"/>
      <c r="T269" s="15"/>
      <c r="U269" s="15"/>
      <c r="V269" s="15"/>
    </row>
    <row r="270" spans="1:22" x14ac:dyDescent="0.25">
      <c r="A270" s="166"/>
      <c r="B270" s="268"/>
      <c r="C270" s="524"/>
      <c r="D270" s="525"/>
      <c r="E270" s="525"/>
      <c r="F270" s="525"/>
      <c r="G270" s="525"/>
      <c r="H270" s="525"/>
      <c r="I270" s="525"/>
      <c r="J270" s="536"/>
      <c r="K270" s="536"/>
      <c r="L270" s="525"/>
      <c r="M270" s="525"/>
      <c r="N270" s="525"/>
      <c r="O270" s="536"/>
      <c r="P270" s="165"/>
      <c r="Q270" s="525"/>
      <c r="R270" s="536"/>
      <c r="S270" s="536"/>
      <c r="T270" s="15"/>
      <c r="U270" s="15"/>
      <c r="V270" s="15"/>
    </row>
    <row r="271" spans="1:22" x14ac:dyDescent="0.25">
      <c r="A271" s="166"/>
      <c r="B271" s="167"/>
      <c r="C271" s="168"/>
      <c r="D271" s="169"/>
      <c r="E271" s="169"/>
      <c r="F271" s="169"/>
      <c r="G271" s="169"/>
      <c r="H271" s="169"/>
      <c r="I271" s="169"/>
      <c r="J271" s="170"/>
      <c r="K271" s="170"/>
      <c r="L271" s="169"/>
      <c r="M271" s="169"/>
      <c r="N271" s="169"/>
      <c r="O271" s="170"/>
      <c r="P271" s="170"/>
      <c r="Q271" s="169"/>
      <c r="R271" s="170"/>
      <c r="S271" s="170"/>
      <c r="T271" s="15"/>
      <c r="U271" s="15"/>
      <c r="V271" s="15"/>
    </row>
    <row r="272" spans="1:22" s="173" customFormat="1" x14ac:dyDescent="0.25">
      <c r="A272" s="166"/>
      <c r="B272" s="207"/>
      <c r="C272" s="208"/>
      <c r="D272" s="209"/>
      <c r="E272" s="209"/>
      <c r="F272" s="209"/>
      <c r="G272" s="209"/>
      <c r="H272" s="209"/>
      <c r="I272" s="209"/>
      <c r="J272" s="210"/>
      <c r="K272" s="210"/>
      <c r="L272" s="209"/>
      <c r="M272" s="209"/>
      <c r="N272" s="209"/>
      <c r="O272" s="210"/>
      <c r="P272" s="210"/>
      <c r="Q272" s="209"/>
      <c r="R272" s="210"/>
      <c r="S272" s="210"/>
      <c r="T272" s="15"/>
      <c r="U272" s="15"/>
      <c r="V272" s="15"/>
    </row>
    <row r="273" spans="1:22" x14ac:dyDescent="0.25">
      <c r="A273" s="166"/>
      <c r="B273" s="268"/>
      <c r="C273" s="524"/>
      <c r="D273" s="525"/>
      <c r="E273" s="525"/>
      <c r="F273" s="525"/>
      <c r="G273" s="525"/>
      <c r="H273" s="525"/>
      <c r="I273" s="525"/>
      <c r="J273" s="536"/>
      <c r="K273" s="536"/>
      <c r="L273" s="525"/>
      <c r="M273" s="525"/>
      <c r="N273" s="525"/>
      <c r="O273" s="536"/>
      <c r="P273" s="165"/>
      <c r="Q273" s="525"/>
      <c r="R273" s="536"/>
      <c r="S273" s="536"/>
      <c r="T273" s="15"/>
      <c r="U273" s="15"/>
      <c r="V273" s="15"/>
    </row>
    <row r="274" spans="1:22" x14ac:dyDescent="0.25">
      <c r="A274" s="166"/>
      <c r="B274" s="167"/>
      <c r="C274" s="168"/>
      <c r="D274" s="169"/>
      <c r="E274" s="169"/>
      <c r="F274" s="169"/>
      <c r="G274" s="169"/>
      <c r="H274" s="169"/>
      <c r="I274" s="169"/>
      <c r="J274" s="170"/>
      <c r="K274" s="170"/>
      <c r="L274" s="169"/>
      <c r="M274" s="169"/>
      <c r="N274" s="169"/>
      <c r="O274" s="170"/>
      <c r="P274" s="170"/>
      <c r="Q274" s="169"/>
      <c r="R274" s="170"/>
      <c r="S274" s="170"/>
      <c r="T274" s="15"/>
      <c r="U274" s="15"/>
      <c r="V274" s="15"/>
    </row>
    <row r="275" spans="1:22" s="173" customFormat="1" ht="15.75" thickBot="1" x14ac:dyDescent="0.3">
      <c r="A275" s="166"/>
      <c r="B275" s="531"/>
      <c r="C275" s="532"/>
      <c r="D275" s="533"/>
      <c r="E275" s="533"/>
      <c r="F275" s="533"/>
      <c r="G275" s="533"/>
      <c r="H275" s="533"/>
      <c r="I275" s="533"/>
      <c r="J275" s="537"/>
      <c r="K275" s="537"/>
      <c r="L275" s="533"/>
      <c r="M275" s="533"/>
      <c r="N275" s="533"/>
      <c r="O275" s="537"/>
      <c r="P275" s="537"/>
      <c r="Q275" s="533"/>
      <c r="R275" s="537"/>
      <c r="S275" s="537"/>
      <c r="T275" s="15"/>
      <c r="U275" s="15"/>
      <c r="V275" s="15"/>
    </row>
    <row r="276" spans="1:22" ht="15.75" thickTop="1" x14ac:dyDescent="0.25">
      <c r="A276" s="166"/>
      <c r="B276" s="167"/>
      <c r="C276" s="168"/>
      <c r="D276" s="169"/>
      <c r="E276" s="169"/>
      <c r="F276" s="169"/>
      <c r="G276" s="169"/>
      <c r="H276" s="169"/>
      <c r="I276" s="169"/>
      <c r="J276" s="170"/>
      <c r="K276" s="170"/>
      <c r="L276" s="169"/>
      <c r="M276" s="169"/>
      <c r="N276" s="169"/>
      <c r="O276" s="170"/>
      <c r="P276" s="170"/>
      <c r="Q276" s="169"/>
      <c r="R276" s="170"/>
      <c r="S276" s="170"/>
      <c r="T276" s="15"/>
      <c r="U276" s="15"/>
      <c r="V276" s="15"/>
    </row>
    <row r="277" spans="1:22" x14ac:dyDescent="0.25">
      <c r="A277" s="166"/>
      <c r="B277" s="167"/>
      <c r="C277" s="168"/>
      <c r="D277" s="169"/>
      <c r="E277" s="169"/>
      <c r="F277" s="169"/>
      <c r="G277" s="169"/>
      <c r="H277" s="169"/>
      <c r="I277" s="169"/>
      <c r="J277" s="170"/>
      <c r="K277" s="170"/>
      <c r="L277" s="169"/>
      <c r="M277" s="169"/>
      <c r="N277" s="169"/>
      <c r="O277" s="170"/>
      <c r="P277" s="170"/>
      <c r="Q277" s="169"/>
      <c r="R277" s="170"/>
      <c r="S277" s="170"/>
      <c r="T277" s="15"/>
      <c r="U277" s="15"/>
      <c r="V277" s="15"/>
    </row>
    <row r="278" spans="1:22" s="173" customFormat="1" x14ac:dyDescent="0.25">
      <c r="A278" s="166"/>
      <c r="B278" s="207"/>
      <c r="C278" s="208"/>
      <c r="D278" s="209"/>
      <c r="E278" s="209"/>
      <c r="F278" s="209"/>
      <c r="G278" s="209"/>
      <c r="H278" s="209"/>
      <c r="I278" s="209"/>
      <c r="J278" s="210"/>
      <c r="K278" s="210"/>
      <c r="L278" s="209"/>
      <c r="M278" s="209"/>
      <c r="N278" s="209"/>
      <c r="O278" s="210"/>
      <c r="P278" s="210"/>
      <c r="Q278" s="209"/>
      <c r="R278" s="210"/>
      <c r="S278" s="210"/>
      <c r="T278" s="15"/>
      <c r="U278" s="15"/>
      <c r="V278" s="15"/>
    </row>
    <row r="279" spans="1:22" x14ac:dyDescent="0.25">
      <c r="A279" s="166"/>
      <c r="B279" s="268"/>
      <c r="C279" s="524"/>
      <c r="D279" s="525"/>
      <c r="E279" s="525"/>
      <c r="F279" s="525"/>
      <c r="G279" s="525"/>
      <c r="H279" s="525"/>
      <c r="I279" s="525"/>
      <c r="J279" s="536"/>
      <c r="K279" s="536"/>
      <c r="L279" s="525"/>
      <c r="M279" s="525"/>
      <c r="N279" s="525"/>
      <c r="O279" s="536"/>
      <c r="P279" s="165"/>
      <c r="Q279" s="525"/>
      <c r="R279" s="536"/>
      <c r="S279" s="536"/>
      <c r="T279" s="15"/>
      <c r="U279" s="15"/>
      <c r="V279" s="15"/>
    </row>
    <row r="280" spans="1:22" x14ac:dyDescent="0.25">
      <c r="A280" s="166"/>
      <c r="B280" s="167"/>
      <c r="C280" s="168"/>
      <c r="D280" s="169"/>
      <c r="E280" s="169"/>
      <c r="F280" s="169"/>
      <c r="G280" s="169"/>
      <c r="H280" s="169"/>
      <c r="I280" s="169"/>
      <c r="J280" s="170"/>
      <c r="K280" s="170"/>
      <c r="L280" s="169"/>
      <c r="M280" s="169"/>
      <c r="N280" s="169"/>
      <c r="O280" s="170"/>
      <c r="P280" s="170"/>
      <c r="Q280" s="169"/>
      <c r="R280" s="170"/>
      <c r="S280" s="170"/>
      <c r="T280" s="15"/>
      <c r="U280" s="15"/>
      <c r="V280" s="15"/>
    </row>
    <row r="281" spans="1:22" s="173" customFormat="1" x14ac:dyDescent="0.25">
      <c r="A281" s="166"/>
      <c r="B281" s="207"/>
      <c r="C281" s="208"/>
      <c r="D281" s="209"/>
      <c r="E281" s="209"/>
      <c r="F281" s="209"/>
      <c r="G281" s="530"/>
      <c r="H281" s="209"/>
      <c r="I281" s="209"/>
      <c r="J281" s="210"/>
      <c r="K281" s="210"/>
      <c r="L281" s="209"/>
      <c r="M281" s="209"/>
      <c r="N281" s="209"/>
      <c r="O281" s="210"/>
      <c r="P281" s="210"/>
      <c r="Q281" s="209"/>
      <c r="R281" s="210"/>
      <c r="S281" s="210"/>
      <c r="T281" s="15"/>
      <c r="U281" s="15"/>
      <c r="V281" s="15"/>
    </row>
    <row r="282" spans="1:22" x14ac:dyDescent="0.25">
      <c r="A282" s="166"/>
      <c r="B282" s="268"/>
      <c r="C282" s="524"/>
      <c r="D282" s="525"/>
      <c r="E282" s="525"/>
      <c r="F282" s="525"/>
      <c r="G282" s="525"/>
      <c r="H282" s="525"/>
      <c r="I282" s="525"/>
      <c r="J282" s="536"/>
      <c r="K282" s="536"/>
      <c r="L282" s="525"/>
      <c r="M282" s="525"/>
      <c r="N282" s="525"/>
      <c r="O282" s="536"/>
      <c r="P282" s="165"/>
      <c r="Q282" s="525"/>
      <c r="R282" s="536"/>
      <c r="S282" s="536"/>
      <c r="T282" s="15"/>
      <c r="U282" s="15"/>
      <c r="V282" s="15"/>
    </row>
    <row r="283" spans="1:22" x14ac:dyDescent="0.25">
      <c r="A283" s="166"/>
      <c r="B283" s="167"/>
      <c r="C283" s="168"/>
      <c r="D283" s="169"/>
      <c r="E283" s="169"/>
      <c r="F283" s="169"/>
      <c r="G283" s="169"/>
      <c r="H283" s="169"/>
      <c r="I283" s="169"/>
      <c r="J283" s="170"/>
      <c r="K283" s="170"/>
      <c r="L283" s="169"/>
      <c r="M283" s="169"/>
      <c r="N283" s="169"/>
      <c r="O283" s="170"/>
      <c r="P283" s="170"/>
      <c r="Q283" s="169"/>
      <c r="R283" s="170"/>
      <c r="S283" s="170"/>
      <c r="T283" s="15"/>
      <c r="U283" s="15"/>
      <c r="V283" s="15"/>
    </row>
    <row r="284" spans="1:22" s="173" customFormat="1" x14ac:dyDescent="0.25">
      <c r="A284" s="166"/>
      <c r="B284" s="207"/>
      <c r="C284" s="208"/>
      <c r="D284" s="209"/>
      <c r="E284" s="209"/>
      <c r="F284" s="209"/>
      <c r="G284" s="209"/>
      <c r="H284" s="209"/>
      <c r="I284" s="209"/>
      <c r="J284" s="210"/>
      <c r="K284" s="210"/>
      <c r="L284" s="209"/>
      <c r="M284" s="209"/>
      <c r="N284" s="209"/>
      <c r="O284" s="210"/>
      <c r="P284" s="210"/>
      <c r="Q284" s="209"/>
      <c r="R284" s="210"/>
      <c r="S284" s="210"/>
      <c r="T284" s="15"/>
      <c r="U284" s="15"/>
      <c r="V284" s="15"/>
    </row>
    <row r="285" spans="1:22" x14ac:dyDescent="0.25">
      <c r="A285" s="166"/>
      <c r="B285" s="268"/>
      <c r="C285" s="524"/>
      <c r="D285" s="525"/>
      <c r="E285" s="525"/>
      <c r="F285" s="525"/>
      <c r="G285" s="525"/>
      <c r="H285" s="525"/>
      <c r="I285" s="525"/>
      <c r="J285" s="536"/>
      <c r="K285" s="536"/>
      <c r="L285" s="525"/>
      <c r="M285" s="525"/>
      <c r="N285" s="525"/>
      <c r="O285" s="536"/>
      <c r="P285" s="165"/>
      <c r="Q285" s="525"/>
      <c r="R285" s="536"/>
      <c r="S285" s="536"/>
      <c r="T285" s="15"/>
      <c r="U285" s="15"/>
      <c r="V285" s="15"/>
    </row>
    <row r="286" spans="1:22" x14ac:dyDescent="0.25">
      <c r="A286" s="166"/>
      <c r="B286" s="167"/>
      <c r="C286" s="168"/>
      <c r="D286" s="169"/>
      <c r="E286" s="169"/>
      <c r="F286" s="169"/>
      <c r="G286" s="169"/>
      <c r="H286" s="169"/>
      <c r="I286" s="169"/>
      <c r="J286" s="170"/>
      <c r="K286" s="170"/>
      <c r="L286" s="169"/>
      <c r="M286" s="169"/>
      <c r="N286" s="169"/>
      <c r="O286" s="170"/>
      <c r="P286" s="170"/>
      <c r="Q286" s="169"/>
      <c r="R286" s="170"/>
      <c r="S286" s="170"/>
      <c r="T286" s="15"/>
      <c r="U286" s="15"/>
      <c r="V286" s="15"/>
    </row>
    <row r="287" spans="1:22" s="173" customFormat="1" x14ac:dyDescent="0.25">
      <c r="A287" s="166"/>
      <c r="B287" s="207"/>
      <c r="C287" s="208"/>
      <c r="D287" s="209"/>
      <c r="E287" s="209"/>
      <c r="F287" s="209"/>
      <c r="G287" s="209"/>
      <c r="H287" s="209"/>
      <c r="I287" s="209"/>
      <c r="J287" s="210"/>
      <c r="K287" s="210"/>
      <c r="L287" s="209"/>
      <c r="M287" s="209"/>
      <c r="N287" s="209"/>
      <c r="O287" s="210"/>
      <c r="P287" s="210"/>
      <c r="Q287" s="209"/>
      <c r="R287" s="210"/>
      <c r="S287" s="210"/>
      <c r="T287" s="15"/>
      <c r="U287" s="15"/>
      <c r="V287" s="15"/>
    </row>
    <row r="288" spans="1:22" x14ac:dyDescent="0.25">
      <c r="A288" s="166"/>
      <c r="B288" s="268"/>
      <c r="C288" s="524"/>
      <c r="D288" s="525"/>
      <c r="E288" s="525"/>
      <c r="F288" s="525"/>
      <c r="G288" s="525"/>
      <c r="H288" s="525"/>
      <c r="I288" s="525"/>
      <c r="J288" s="536"/>
      <c r="K288" s="536"/>
      <c r="L288" s="525"/>
      <c r="M288" s="525"/>
      <c r="N288" s="525"/>
      <c r="O288" s="536"/>
      <c r="P288" s="165"/>
      <c r="Q288" s="525"/>
      <c r="R288" s="536"/>
      <c r="S288" s="536"/>
      <c r="T288" s="15"/>
      <c r="U288" s="15"/>
      <c r="V288" s="15"/>
    </row>
    <row r="289" spans="1:22" x14ac:dyDescent="0.25">
      <c r="A289" s="166"/>
      <c r="B289" s="167"/>
      <c r="C289" s="168"/>
      <c r="D289" s="169"/>
      <c r="E289" s="169"/>
      <c r="F289" s="169"/>
      <c r="G289" s="169"/>
      <c r="H289" s="169"/>
      <c r="I289" s="169"/>
      <c r="J289" s="170"/>
      <c r="K289" s="170"/>
      <c r="L289" s="169"/>
      <c r="M289" s="169"/>
      <c r="N289" s="169"/>
      <c r="O289" s="170"/>
      <c r="P289" s="170"/>
      <c r="Q289" s="169"/>
      <c r="R289" s="170"/>
      <c r="S289" s="170"/>
      <c r="T289" s="15"/>
      <c r="U289" s="15"/>
      <c r="V289" s="15"/>
    </row>
    <row r="290" spans="1:22" s="173" customFormat="1" x14ac:dyDescent="0.25">
      <c r="A290" s="166"/>
      <c r="B290" s="207"/>
      <c r="C290" s="208"/>
      <c r="D290" s="209"/>
      <c r="E290" s="209"/>
      <c r="F290" s="209"/>
      <c r="G290" s="209"/>
      <c r="H290" s="209"/>
      <c r="I290" s="209"/>
      <c r="J290" s="210"/>
      <c r="K290" s="210"/>
      <c r="L290" s="209"/>
      <c r="M290" s="209"/>
      <c r="N290" s="209"/>
      <c r="O290" s="210"/>
      <c r="P290" s="210"/>
      <c r="Q290" s="209"/>
      <c r="R290" s="210"/>
      <c r="S290" s="210"/>
      <c r="T290" s="15"/>
      <c r="U290" s="15"/>
      <c r="V290" s="15"/>
    </row>
    <row r="291" spans="1:22" x14ac:dyDescent="0.25">
      <c r="A291" s="166"/>
      <c r="B291" s="268"/>
      <c r="C291" s="524"/>
      <c r="D291" s="525"/>
      <c r="E291" s="525"/>
      <c r="F291" s="525"/>
      <c r="G291" s="525"/>
      <c r="H291" s="525"/>
      <c r="I291" s="525"/>
      <c r="J291" s="536"/>
      <c r="K291" s="536"/>
      <c r="L291" s="525"/>
      <c r="M291" s="525"/>
      <c r="N291" s="525"/>
      <c r="O291" s="536"/>
      <c r="P291" s="165"/>
      <c r="Q291" s="525"/>
      <c r="R291" s="536"/>
      <c r="S291" s="536"/>
      <c r="T291" s="15"/>
      <c r="U291" s="15"/>
      <c r="V291" s="15"/>
    </row>
    <row r="292" spans="1:22" x14ac:dyDescent="0.25">
      <c r="A292" s="166"/>
      <c r="B292" s="167"/>
      <c r="C292" s="168"/>
      <c r="D292" s="169"/>
      <c r="E292" s="169"/>
      <c r="F292" s="169"/>
      <c r="G292" s="169"/>
      <c r="H292" s="169"/>
      <c r="I292" s="169"/>
      <c r="J292" s="170"/>
      <c r="K292" s="170"/>
      <c r="L292" s="169"/>
      <c r="M292" s="169"/>
      <c r="N292" s="169"/>
      <c r="O292" s="170"/>
      <c r="P292" s="170"/>
      <c r="Q292" s="169"/>
      <c r="R292" s="170"/>
      <c r="S292" s="170"/>
      <c r="T292" s="15"/>
      <c r="U292" s="15"/>
      <c r="V292" s="15"/>
    </row>
    <row r="293" spans="1:22" s="173" customFormat="1" ht="15.75" thickBot="1" x14ac:dyDescent="0.3">
      <c r="A293" s="540"/>
      <c r="B293" s="541"/>
      <c r="C293" s="542"/>
      <c r="D293" s="543"/>
      <c r="E293" s="543"/>
      <c r="F293" s="543"/>
      <c r="G293" s="543"/>
      <c r="H293" s="543"/>
      <c r="I293" s="543"/>
      <c r="J293" s="544"/>
      <c r="K293" s="544"/>
      <c r="L293" s="543"/>
      <c r="M293" s="543"/>
      <c r="N293" s="543"/>
      <c r="O293" s="544"/>
      <c r="P293" s="544"/>
      <c r="Q293" s="543"/>
      <c r="R293" s="544"/>
      <c r="S293" s="544"/>
      <c r="T293" s="15"/>
      <c r="U293" s="15"/>
      <c r="V293" s="15"/>
    </row>
    <row r="294" spans="1:22" x14ac:dyDescent="0.25">
      <c r="A294" s="523"/>
      <c r="B294" s="268"/>
      <c r="C294" s="524"/>
      <c r="D294" s="525"/>
      <c r="E294" s="525"/>
      <c r="F294" s="525"/>
      <c r="G294" s="525"/>
      <c r="H294" s="525"/>
      <c r="I294" s="525"/>
      <c r="J294" s="536"/>
      <c r="K294" s="536"/>
      <c r="L294" s="525"/>
      <c r="M294" s="525"/>
      <c r="N294" s="525"/>
      <c r="O294" s="536"/>
      <c r="P294" s="165"/>
      <c r="Q294" s="525"/>
      <c r="R294" s="536"/>
      <c r="S294" s="536"/>
      <c r="T294" s="15"/>
      <c r="U294" s="15"/>
      <c r="V294" s="15"/>
    </row>
    <row r="295" spans="1:22" x14ac:dyDescent="0.25">
      <c r="A295" s="166"/>
      <c r="B295" s="167"/>
      <c r="C295" s="168"/>
      <c r="D295" s="169"/>
      <c r="E295" s="169"/>
      <c r="F295" s="169"/>
      <c r="G295" s="169"/>
      <c r="H295" s="169"/>
      <c r="I295" s="169"/>
      <c r="J295" s="170"/>
      <c r="K295" s="170"/>
      <c r="L295" s="169"/>
      <c r="M295" s="169"/>
      <c r="N295" s="169"/>
      <c r="O295" s="170"/>
      <c r="P295" s="170"/>
      <c r="Q295" s="169"/>
      <c r="R295" s="170"/>
      <c r="S295" s="170"/>
      <c r="T295" s="15"/>
      <c r="U295" s="15"/>
      <c r="V295" s="15"/>
    </row>
    <row r="296" spans="1:22" s="173" customFormat="1" x14ac:dyDescent="0.25">
      <c r="A296" s="166"/>
      <c r="B296" s="207"/>
      <c r="C296" s="208"/>
      <c r="D296" s="209"/>
      <c r="E296" s="209"/>
      <c r="F296" s="209"/>
      <c r="G296" s="530"/>
      <c r="H296" s="209"/>
      <c r="I296" s="209"/>
      <c r="J296" s="210"/>
      <c r="K296" s="210"/>
      <c r="L296" s="209"/>
      <c r="M296" s="209"/>
      <c r="N296" s="209"/>
      <c r="O296" s="210"/>
      <c r="P296" s="210"/>
      <c r="Q296" s="209"/>
      <c r="R296" s="210"/>
      <c r="S296" s="210"/>
      <c r="T296" s="15"/>
      <c r="U296" s="15"/>
      <c r="V296" s="15"/>
    </row>
    <row r="297" spans="1:22" x14ac:dyDescent="0.25">
      <c r="A297" s="166"/>
      <c r="B297" s="268"/>
      <c r="C297" s="524"/>
      <c r="D297" s="525"/>
      <c r="E297" s="525"/>
      <c r="F297" s="525"/>
      <c r="G297" s="525"/>
      <c r="H297" s="525"/>
      <c r="I297" s="525"/>
      <c r="J297" s="536"/>
      <c r="K297" s="536"/>
      <c r="L297" s="525"/>
      <c r="M297" s="525"/>
      <c r="N297" s="525"/>
      <c r="O297" s="536"/>
      <c r="P297" s="165"/>
      <c r="Q297" s="525"/>
      <c r="R297" s="536"/>
      <c r="S297" s="536"/>
      <c r="T297" s="15"/>
      <c r="U297" s="15"/>
      <c r="V297" s="15"/>
    </row>
    <row r="298" spans="1:22" x14ac:dyDescent="0.25">
      <c r="A298" s="166"/>
      <c r="B298" s="167"/>
      <c r="C298" s="168"/>
      <c r="D298" s="169"/>
      <c r="E298" s="169"/>
      <c r="F298" s="169"/>
      <c r="G298" s="169"/>
      <c r="H298" s="169"/>
      <c r="I298" s="169"/>
      <c r="J298" s="170"/>
      <c r="K298" s="170"/>
      <c r="L298" s="169"/>
      <c r="M298" s="169"/>
      <c r="N298" s="169"/>
      <c r="O298" s="170"/>
      <c r="P298" s="170"/>
      <c r="Q298" s="169"/>
      <c r="R298" s="170"/>
      <c r="S298" s="170"/>
      <c r="T298" s="15"/>
      <c r="U298" s="15"/>
      <c r="V298" s="15"/>
    </row>
    <row r="299" spans="1:22" s="173" customFormat="1" x14ac:dyDescent="0.25">
      <c r="A299" s="166"/>
      <c r="B299" s="207"/>
      <c r="C299" s="208"/>
      <c r="D299" s="209"/>
      <c r="E299" s="209"/>
      <c r="F299" s="209"/>
      <c r="G299" s="209"/>
      <c r="H299" s="209"/>
      <c r="I299" s="209"/>
      <c r="J299" s="210"/>
      <c r="K299" s="210"/>
      <c r="L299" s="209"/>
      <c r="M299" s="209"/>
      <c r="N299" s="209"/>
      <c r="O299" s="210"/>
      <c r="P299" s="210"/>
      <c r="Q299" s="209"/>
      <c r="R299" s="210"/>
      <c r="S299" s="210"/>
      <c r="T299" s="15"/>
      <c r="U299" s="15"/>
      <c r="V299" s="15"/>
    </row>
    <row r="300" spans="1:22" x14ac:dyDescent="0.25">
      <c r="A300" s="166"/>
      <c r="B300" s="268"/>
      <c r="C300" s="524"/>
      <c r="D300" s="525"/>
      <c r="E300" s="525"/>
      <c r="F300" s="525"/>
      <c r="G300" s="525"/>
      <c r="H300" s="525"/>
      <c r="I300" s="525"/>
      <c r="J300" s="536"/>
      <c r="K300" s="536"/>
      <c r="L300" s="525"/>
      <c r="M300" s="525"/>
      <c r="N300" s="525"/>
      <c r="O300" s="536"/>
      <c r="P300" s="165"/>
      <c r="Q300" s="525"/>
      <c r="R300" s="536"/>
      <c r="S300" s="536"/>
      <c r="T300" s="15"/>
      <c r="U300" s="15"/>
      <c r="V300" s="15"/>
    </row>
    <row r="301" spans="1:22" x14ac:dyDescent="0.25">
      <c r="A301" s="166"/>
      <c r="B301" s="167"/>
      <c r="C301" s="168"/>
      <c r="D301" s="169"/>
      <c r="E301" s="169"/>
      <c r="F301" s="169"/>
      <c r="G301" s="169"/>
      <c r="H301" s="169"/>
      <c r="I301" s="169"/>
      <c r="J301" s="170"/>
      <c r="K301" s="170"/>
      <c r="L301" s="169"/>
      <c r="M301" s="169"/>
      <c r="N301" s="169"/>
      <c r="O301" s="170"/>
      <c r="P301" s="170"/>
      <c r="Q301" s="169"/>
      <c r="R301" s="170"/>
      <c r="S301" s="170"/>
      <c r="T301" s="15"/>
      <c r="U301" s="15"/>
      <c r="V301" s="15"/>
    </row>
    <row r="302" spans="1:22" s="173" customFormat="1" x14ac:dyDescent="0.25">
      <c r="A302" s="166"/>
      <c r="B302" s="207"/>
      <c r="C302" s="208"/>
      <c r="D302" s="209"/>
      <c r="E302" s="209"/>
      <c r="F302" s="209"/>
      <c r="G302" s="530"/>
      <c r="H302" s="209"/>
      <c r="I302" s="209"/>
      <c r="J302" s="210"/>
      <c r="K302" s="210"/>
      <c r="L302" s="209"/>
      <c r="M302" s="209"/>
      <c r="N302" s="209"/>
      <c r="O302" s="210"/>
      <c r="P302" s="210"/>
      <c r="Q302" s="209"/>
      <c r="R302" s="210"/>
      <c r="S302" s="210"/>
      <c r="T302" s="15"/>
      <c r="U302" s="15"/>
      <c r="V302" s="15"/>
    </row>
    <row r="303" spans="1:22" x14ac:dyDescent="0.25">
      <c r="A303" s="166"/>
      <c r="B303" s="268"/>
      <c r="C303" s="524"/>
      <c r="D303" s="525"/>
      <c r="E303" s="525"/>
      <c r="F303" s="525"/>
      <c r="G303" s="525"/>
      <c r="H303" s="525"/>
      <c r="I303" s="525"/>
      <c r="J303" s="536"/>
      <c r="K303" s="536"/>
      <c r="L303" s="525"/>
      <c r="M303" s="525"/>
      <c r="N303" s="525"/>
      <c r="O303" s="536"/>
      <c r="P303" s="165"/>
      <c r="Q303" s="525"/>
      <c r="R303" s="536"/>
      <c r="S303" s="536"/>
      <c r="T303" s="15"/>
      <c r="U303" s="15"/>
      <c r="V303" s="15"/>
    </row>
    <row r="304" spans="1:22" x14ac:dyDescent="0.25">
      <c r="A304" s="166"/>
      <c r="B304" s="167"/>
      <c r="C304" s="168"/>
      <c r="D304" s="169"/>
      <c r="E304" s="169"/>
      <c r="F304" s="169"/>
      <c r="G304" s="169"/>
      <c r="H304" s="169"/>
      <c r="I304" s="169"/>
      <c r="J304" s="170"/>
      <c r="K304" s="170"/>
      <c r="L304" s="169"/>
      <c r="M304" s="169"/>
      <c r="N304" s="169"/>
      <c r="O304" s="170"/>
      <c r="P304" s="170"/>
      <c r="Q304" s="169"/>
      <c r="R304" s="170"/>
      <c r="S304" s="170"/>
      <c r="T304" s="15"/>
      <c r="U304" s="15"/>
      <c r="V304" s="15"/>
    </row>
    <row r="305" spans="1:22" s="173" customFormat="1" x14ac:dyDescent="0.25">
      <c r="A305" s="166"/>
      <c r="B305" s="207"/>
      <c r="C305" s="208"/>
      <c r="D305" s="209"/>
      <c r="E305" s="209"/>
      <c r="F305" s="209"/>
      <c r="G305" s="209"/>
      <c r="H305" s="209"/>
      <c r="I305" s="209"/>
      <c r="J305" s="210"/>
      <c r="K305" s="210"/>
      <c r="L305" s="209"/>
      <c r="M305" s="209"/>
      <c r="N305" s="209"/>
      <c r="O305" s="210"/>
      <c r="P305" s="210"/>
      <c r="Q305" s="209"/>
      <c r="R305" s="210"/>
      <c r="S305" s="210"/>
      <c r="T305" s="15"/>
      <c r="U305" s="15"/>
      <c r="V305" s="15"/>
    </row>
    <row r="306" spans="1:22" x14ac:dyDescent="0.25">
      <c r="A306" s="166"/>
      <c r="B306" s="268"/>
      <c r="C306" s="524"/>
      <c r="D306" s="525"/>
      <c r="E306" s="525"/>
      <c r="F306" s="525"/>
      <c r="G306" s="525"/>
      <c r="H306" s="525"/>
      <c r="I306" s="525"/>
      <c r="J306" s="536"/>
      <c r="K306" s="536"/>
      <c r="L306" s="525"/>
      <c r="M306" s="525"/>
      <c r="N306" s="525"/>
      <c r="O306" s="536"/>
      <c r="P306" s="165"/>
      <c r="Q306" s="525"/>
      <c r="R306" s="536"/>
      <c r="S306" s="536"/>
      <c r="T306" s="15"/>
      <c r="U306" s="15"/>
      <c r="V306" s="15"/>
    </row>
    <row r="307" spans="1:22" x14ac:dyDescent="0.25">
      <c r="A307" s="166"/>
      <c r="B307" s="167"/>
      <c r="C307" s="168"/>
      <c r="D307" s="169"/>
      <c r="E307" s="169"/>
      <c r="F307" s="169"/>
      <c r="G307" s="169"/>
      <c r="H307" s="169"/>
      <c r="I307" s="169"/>
      <c r="J307" s="170"/>
      <c r="K307" s="170"/>
      <c r="L307" s="169"/>
      <c r="M307" s="169"/>
      <c r="N307" s="169"/>
      <c r="O307" s="170"/>
      <c r="P307" s="170"/>
      <c r="Q307" s="169"/>
      <c r="R307" s="170"/>
      <c r="S307" s="170"/>
      <c r="T307" s="15"/>
      <c r="U307" s="15"/>
      <c r="V307" s="15"/>
    </row>
    <row r="308" spans="1:22" s="173" customFormat="1" x14ac:dyDescent="0.25">
      <c r="A308" s="166"/>
      <c r="B308" s="207"/>
      <c r="C308" s="208"/>
      <c r="D308" s="209"/>
      <c r="E308" s="209"/>
      <c r="F308" s="209"/>
      <c r="G308" s="209"/>
      <c r="H308" s="209"/>
      <c r="I308" s="209"/>
      <c r="J308" s="210"/>
      <c r="K308" s="210"/>
      <c r="L308" s="209"/>
      <c r="M308" s="209"/>
      <c r="N308" s="209"/>
      <c r="O308" s="210"/>
      <c r="P308" s="210"/>
      <c r="Q308" s="209"/>
      <c r="R308" s="210"/>
      <c r="S308" s="210"/>
      <c r="T308" s="15"/>
      <c r="U308" s="15"/>
      <c r="V308" s="15"/>
    </row>
    <row r="309" spans="1:22" x14ac:dyDescent="0.25">
      <c r="A309" s="166"/>
      <c r="B309" s="268"/>
      <c r="C309" s="524"/>
      <c r="D309" s="525"/>
      <c r="E309" s="525"/>
      <c r="F309" s="525"/>
      <c r="G309" s="525"/>
      <c r="H309" s="525"/>
      <c r="I309" s="525"/>
      <c r="J309" s="536"/>
      <c r="K309" s="536"/>
      <c r="L309" s="525"/>
      <c r="M309" s="525"/>
      <c r="N309" s="525"/>
      <c r="O309" s="536"/>
      <c r="P309" s="165"/>
      <c r="Q309" s="525"/>
      <c r="R309" s="536"/>
      <c r="S309" s="536"/>
      <c r="T309" s="15"/>
      <c r="U309" s="15"/>
      <c r="V309" s="15"/>
    </row>
    <row r="310" spans="1:22" x14ac:dyDescent="0.25">
      <c r="A310" s="166"/>
      <c r="B310" s="167"/>
      <c r="C310" s="168"/>
      <c r="D310" s="169"/>
      <c r="E310" s="169"/>
      <c r="F310" s="169"/>
      <c r="G310" s="169"/>
      <c r="H310" s="169"/>
      <c r="I310" s="169"/>
      <c r="J310" s="170"/>
      <c r="K310" s="170"/>
      <c r="L310" s="169"/>
      <c r="M310" s="169"/>
      <c r="N310" s="169"/>
      <c r="O310" s="170"/>
      <c r="P310" s="170"/>
      <c r="Q310" s="169"/>
      <c r="R310" s="170"/>
      <c r="S310" s="170"/>
      <c r="T310" s="15"/>
      <c r="U310" s="15"/>
      <c r="V310" s="15"/>
    </row>
    <row r="311" spans="1:22" s="173" customFormat="1" ht="15.75" thickBot="1" x14ac:dyDescent="0.3">
      <c r="A311" s="166"/>
      <c r="B311" s="531"/>
      <c r="C311" s="532"/>
      <c r="D311" s="533"/>
      <c r="E311" s="533"/>
      <c r="F311" s="533"/>
      <c r="G311" s="533"/>
      <c r="H311" s="533"/>
      <c r="I311" s="533"/>
      <c r="J311" s="537"/>
      <c r="K311" s="537"/>
      <c r="L311" s="533"/>
      <c r="M311" s="533"/>
      <c r="N311" s="533"/>
      <c r="O311" s="537"/>
      <c r="P311" s="537"/>
      <c r="Q311" s="533"/>
      <c r="R311" s="537"/>
      <c r="S311" s="537"/>
      <c r="T311" s="15"/>
      <c r="U311" s="15"/>
      <c r="V311" s="15"/>
    </row>
    <row r="312" spans="1:22" ht="15.75" thickTop="1" x14ac:dyDescent="0.25">
      <c r="A312" s="166"/>
      <c r="B312" s="167"/>
      <c r="C312" s="168"/>
      <c r="D312" s="169"/>
      <c r="E312" s="169"/>
      <c r="F312" s="169"/>
      <c r="G312" s="169"/>
      <c r="H312" s="169"/>
      <c r="I312" s="169"/>
      <c r="J312" s="170"/>
      <c r="K312" s="170"/>
      <c r="L312" s="169"/>
      <c r="M312" s="169"/>
      <c r="N312" s="169"/>
      <c r="O312" s="170"/>
      <c r="P312" s="170"/>
      <c r="Q312" s="169"/>
      <c r="R312" s="170"/>
      <c r="S312" s="170"/>
      <c r="T312" s="15"/>
      <c r="U312" s="15"/>
      <c r="V312" s="15"/>
    </row>
    <row r="313" spans="1:22" x14ac:dyDescent="0.25">
      <c r="A313" s="166"/>
      <c r="B313" s="167"/>
      <c r="C313" s="168"/>
      <c r="D313" s="169"/>
      <c r="E313" s="169"/>
      <c r="F313" s="169"/>
      <c r="G313" s="169"/>
      <c r="H313" s="169"/>
      <c r="I313" s="169"/>
      <c r="J313" s="170"/>
      <c r="K313" s="170"/>
      <c r="L313" s="169"/>
      <c r="M313" s="169"/>
      <c r="N313" s="169"/>
      <c r="O313" s="170"/>
      <c r="P313" s="170"/>
      <c r="Q313" s="169"/>
      <c r="R313" s="170"/>
      <c r="S313" s="170"/>
      <c r="T313" s="15"/>
      <c r="U313" s="15"/>
      <c r="V313" s="15"/>
    </row>
    <row r="314" spans="1:22" s="173" customFormat="1" x14ac:dyDescent="0.25">
      <c r="A314" s="166"/>
      <c r="B314" s="207"/>
      <c r="C314" s="208"/>
      <c r="D314" s="530"/>
      <c r="E314" s="209"/>
      <c r="F314" s="530"/>
      <c r="G314" s="209"/>
      <c r="H314" s="209"/>
      <c r="I314" s="209"/>
      <c r="J314" s="210"/>
      <c r="K314" s="210"/>
      <c r="L314" s="209"/>
      <c r="M314" s="209"/>
      <c r="N314" s="209"/>
      <c r="O314" s="210"/>
      <c r="P314" s="210"/>
      <c r="Q314" s="209"/>
      <c r="R314" s="210"/>
      <c r="S314" s="210"/>
      <c r="T314" s="15"/>
      <c r="U314" s="15"/>
      <c r="V314" s="15"/>
    </row>
    <row r="315" spans="1:22" x14ac:dyDescent="0.25">
      <c r="A315" s="166"/>
      <c r="B315" s="268"/>
      <c r="C315" s="524"/>
      <c r="D315" s="525"/>
      <c r="E315" s="525"/>
      <c r="F315" s="525"/>
      <c r="G315" s="525"/>
      <c r="H315" s="525"/>
      <c r="I315" s="525"/>
      <c r="J315" s="536"/>
      <c r="K315" s="536"/>
      <c r="L315" s="525"/>
      <c r="M315" s="525"/>
      <c r="N315" s="525"/>
      <c r="O315" s="536"/>
      <c r="P315" s="165"/>
      <c r="Q315" s="525"/>
      <c r="R315" s="536"/>
      <c r="S315" s="536"/>
      <c r="T315" s="15"/>
      <c r="U315" s="15"/>
      <c r="V315" s="15"/>
    </row>
    <row r="316" spans="1:22" x14ac:dyDescent="0.25">
      <c r="A316" s="166"/>
      <c r="B316" s="167"/>
      <c r="C316" s="168"/>
      <c r="D316" s="169"/>
      <c r="E316" s="169"/>
      <c r="F316" s="169"/>
      <c r="G316" s="169"/>
      <c r="H316" s="169"/>
      <c r="I316" s="169"/>
      <c r="J316" s="170"/>
      <c r="K316" s="170"/>
      <c r="L316" s="169"/>
      <c r="M316" s="169"/>
      <c r="N316" s="169"/>
      <c r="O316" s="170"/>
      <c r="P316" s="170"/>
      <c r="Q316" s="169"/>
      <c r="R316" s="170"/>
      <c r="S316" s="170"/>
      <c r="T316" s="15"/>
      <c r="U316" s="15"/>
      <c r="V316" s="15"/>
    </row>
    <row r="317" spans="1:22" s="173" customFormat="1" x14ac:dyDescent="0.25">
      <c r="A317" s="166"/>
      <c r="B317" s="207"/>
      <c r="C317" s="208"/>
      <c r="D317" s="530"/>
      <c r="E317" s="209"/>
      <c r="F317" s="209"/>
      <c r="G317" s="209"/>
      <c r="H317" s="209"/>
      <c r="I317" s="209"/>
      <c r="J317" s="210"/>
      <c r="K317" s="210"/>
      <c r="L317" s="209"/>
      <c r="M317" s="209"/>
      <c r="N317" s="209"/>
      <c r="O317" s="210"/>
      <c r="P317" s="210"/>
      <c r="Q317" s="209"/>
      <c r="R317" s="210"/>
      <c r="S317" s="210"/>
      <c r="T317" s="15"/>
      <c r="U317" s="15"/>
      <c r="V317" s="15"/>
    </row>
    <row r="318" spans="1:22" x14ac:dyDescent="0.25">
      <c r="A318" s="166"/>
      <c r="B318" s="268"/>
      <c r="C318" s="524"/>
      <c r="D318" s="525"/>
      <c r="E318" s="525"/>
      <c r="F318" s="525"/>
      <c r="G318" s="525"/>
      <c r="H318" s="525"/>
      <c r="I318" s="525"/>
      <c r="J318" s="536"/>
      <c r="K318" s="536"/>
      <c r="L318" s="525"/>
      <c r="M318" s="525"/>
      <c r="N318" s="525"/>
      <c r="O318" s="536"/>
      <c r="P318" s="165"/>
      <c r="Q318" s="525"/>
      <c r="R318" s="536"/>
      <c r="S318" s="536"/>
      <c r="T318" s="15"/>
      <c r="U318" s="15"/>
      <c r="V318" s="15"/>
    </row>
    <row r="319" spans="1:22" x14ac:dyDescent="0.25">
      <c r="A319" s="166"/>
      <c r="B319" s="167"/>
      <c r="C319" s="168"/>
      <c r="D319" s="169"/>
      <c r="E319" s="169"/>
      <c r="F319" s="169"/>
      <c r="G319" s="169"/>
      <c r="H319" s="169"/>
      <c r="I319" s="169"/>
      <c r="J319" s="170"/>
      <c r="K319" s="170"/>
      <c r="L319" s="169"/>
      <c r="M319" s="169"/>
      <c r="N319" s="169"/>
      <c r="O319" s="170"/>
      <c r="P319" s="170"/>
      <c r="Q319" s="169"/>
      <c r="R319" s="170"/>
      <c r="S319" s="170"/>
      <c r="T319" s="15"/>
      <c r="U319" s="15"/>
      <c r="V319" s="15"/>
    </row>
    <row r="320" spans="1:22" s="173" customFormat="1" x14ac:dyDescent="0.25">
      <c r="A320" s="166"/>
      <c r="B320" s="207"/>
      <c r="C320" s="208"/>
      <c r="D320" s="530"/>
      <c r="E320" s="209"/>
      <c r="F320" s="530"/>
      <c r="G320" s="209"/>
      <c r="H320" s="209"/>
      <c r="I320" s="209"/>
      <c r="J320" s="210"/>
      <c r="K320" s="210"/>
      <c r="L320" s="209"/>
      <c r="M320" s="209"/>
      <c r="N320" s="209"/>
      <c r="O320" s="210"/>
      <c r="P320" s="210"/>
      <c r="Q320" s="209"/>
      <c r="R320" s="210"/>
      <c r="S320" s="210"/>
      <c r="T320" s="15"/>
      <c r="U320" s="15"/>
      <c r="V320" s="15"/>
    </row>
    <row r="321" spans="1:22" x14ac:dyDescent="0.25">
      <c r="A321" s="166"/>
      <c r="B321" s="268"/>
      <c r="C321" s="524"/>
      <c r="D321" s="525"/>
      <c r="E321" s="525"/>
      <c r="F321" s="525"/>
      <c r="G321" s="525"/>
      <c r="H321" s="525"/>
      <c r="I321" s="525"/>
      <c r="J321" s="536"/>
      <c r="K321" s="536"/>
      <c r="L321" s="525"/>
      <c r="M321" s="525"/>
      <c r="N321" s="525"/>
      <c r="O321" s="536"/>
      <c r="P321" s="165"/>
      <c r="Q321" s="525"/>
      <c r="R321" s="536"/>
      <c r="S321" s="536"/>
      <c r="T321" s="15"/>
      <c r="U321" s="15"/>
      <c r="V321" s="15"/>
    </row>
    <row r="322" spans="1:22" x14ac:dyDescent="0.25">
      <c r="A322" s="166"/>
      <c r="B322" s="167"/>
      <c r="C322" s="168"/>
      <c r="D322" s="169"/>
      <c r="E322" s="169"/>
      <c r="F322" s="169"/>
      <c r="G322" s="169"/>
      <c r="H322" s="169"/>
      <c r="I322" s="169"/>
      <c r="J322" s="170"/>
      <c r="K322" s="170"/>
      <c r="L322" s="169"/>
      <c r="M322" s="169"/>
      <c r="N322" s="169"/>
      <c r="O322" s="170"/>
      <c r="P322" s="170"/>
      <c r="Q322" s="169"/>
      <c r="R322" s="170"/>
      <c r="S322" s="170"/>
      <c r="T322" s="15"/>
      <c r="U322" s="15"/>
      <c r="V322" s="15"/>
    </row>
    <row r="323" spans="1:22" s="173" customFormat="1" x14ac:dyDescent="0.25">
      <c r="A323" s="166"/>
      <c r="B323" s="207"/>
      <c r="C323" s="208"/>
      <c r="D323" s="209"/>
      <c r="E323" s="209"/>
      <c r="F323" s="209"/>
      <c r="G323" s="209"/>
      <c r="H323" s="209"/>
      <c r="I323" s="209"/>
      <c r="J323" s="210"/>
      <c r="K323" s="210"/>
      <c r="L323" s="209"/>
      <c r="M323" s="209"/>
      <c r="N323" s="209"/>
      <c r="O323" s="210"/>
      <c r="P323" s="210"/>
      <c r="Q323" s="209"/>
      <c r="R323" s="210"/>
      <c r="S323" s="210"/>
      <c r="T323" s="15"/>
      <c r="U323" s="15"/>
      <c r="V323" s="15"/>
    </row>
    <row r="324" spans="1:22" x14ac:dyDescent="0.25">
      <c r="A324" s="166"/>
      <c r="B324" s="268"/>
      <c r="C324" s="524"/>
      <c r="D324" s="525"/>
      <c r="E324" s="525"/>
      <c r="F324" s="525"/>
      <c r="G324" s="525"/>
      <c r="H324" s="525"/>
      <c r="I324" s="525"/>
      <c r="J324" s="536"/>
      <c r="K324" s="536"/>
      <c r="L324" s="525"/>
      <c r="M324" s="525"/>
      <c r="N324" s="525"/>
      <c r="O324" s="536"/>
      <c r="P324" s="165"/>
      <c r="Q324" s="525"/>
      <c r="R324" s="536"/>
      <c r="S324" s="536"/>
      <c r="T324" s="15"/>
      <c r="U324" s="15"/>
      <c r="V324" s="15"/>
    </row>
    <row r="325" spans="1:22" x14ac:dyDescent="0.25">
      <c r="A325" s="166"/>
      <c r="B325" s="167"/>
      <c r="C325" s="168"/>
      <c r="D325" s="169"/>
      <c r="E325" s="169"/>
      <c r="F325" s="169"/>
      <c r="G325" s="169"/>
      <c r="H325" s="169"/>
      <c r="I325" s="169"/>
      <c r="J325" s="170"/>
      <c r="K325" s="170"/>
      <c r="L325" s="169"/>
      <c r="M325" s="169"/>
      <c r="N325" s="169"/>
      <c r="O325" s="170"/>
      <c r="P325" s="170"/>
      <c r="Q325" s="169"/>
      <c r="R325" s="170"/>
      <c r="S325" s="170"/>
      <c r="T325" s="15"/>
      <c r="U325" s="15"/>
      <c r="V325" s="15"/>
    </row>
    <row r="326" spans="1:22" s="173" customFormat="1" x14ac:dyDescent="0.25">
      <c r="A326" s="166"/>
      <c r="B326" s="207"/>
      <c r="C326" s="208"/>
      <c r="D326" s="209"/>
      <c r="E326" s="209"/>
      <c r="F326" s="209"/>
      <c r="G326" s="209"/>
      <c r="H326" s="209"/>
      <c r="I326" s="209"/>
      <c r="J326" s="210"/>
      <c r="K326" s="210"/>
      <c r="L326" s="209"/>
      <c r="M326" s="209"/>
      <c r="N326" s="209"/>
      <c r="O326" s="210"/>
      <c r="P326" s="210"/>
      <c r="Q326" s="209"/>
      <c r="R326" s="210"/>
      <c r="S326" s="210"/>
      <c r="T326" s="15"/>
      <c r="U326" s="15"/>
      <c r="V326" s="15"/>
    </row>
    <row r="327" spans="1:22" x14ac:dyDescent="0.25">
      <c r="A327" s="166"/>
      <c r="B327" s="268"/>
      <c r="C327" s="524"/>
      <c r="D327" s="525"/>
      <c r="E327" s="525"/>
      <c r="F327" s="525"/>
      <c r="G327" s="525"/>
      <c r="H327" s="525"/>
      <c r="I327" s="525"/>
      <c r="J327" s="536"/>
      <c r="K327" s="536"/>
      <c r="L327" s="525"/>
      <c r="M327" s="525"/>
      <c r="N327" s="525"/>
      <c r="O327" s="536"/>
      <c r="P327" s="165"/>
      <c r="Q327" s="525"/>
      <c r="R327" s="536"/>
      <c r="S327" s="536"/>
      <c r="T327" s="15"/>
      <c r="U327" s="15"/>
      <c r="V327" s="15"/>
    </row>
    <row r="328" spans="1:22" x14ac:dyDescent="0.25">
      <c r="A328" s="166"/>
      <c r="B328" s="167"/>
      <c r="C328" s="168"/>
      <c r="D328" s="169"/>
      <c r="E328" s="169"/>
      <c r="F328" s="169"/>
      <c r="G328" s="169"/>
      <c r="H328" s="169"/>
      <c r="I328" s="169"/>
      <c r="J328" s="170"/>
      <c r="K328" s="170"/>
      <c r="L328" s="169"/>
      <c r="M328" s="169"/>
      <c r="N328" s="169"/>
      <c r="O328" s="170"/>
      <c r="P328" s="170"/>
      <c r="Q328" s="169"/>
      <c r="R328" s="170"/>
      <c r="S328" s="170"/>
      <c r="T328" s="15"/>
      <c r="U328" s="15"/>
      <c r="V328" s="15"/>
    </row>
    <row r="329" spans="1:22" s="173" customFormat="1" ht="15.75" thickBot="1" x14ac:dyDescent="0.3">
      <c r="A329" s="540"/>
      <c r="B329" s="541"/>
      <c r="C329" s="542"/>
      <c r="D329" s="543"/>
      <c r="E329" s="543"/>
      <c r="F329" s="543"/>
      <c r="G329" s="543"/>
      <c r="H329" s="543"/>
      <c r="I329" s="543"/>
      <c r="J329" s="544"/>
      <c r="K329" s="544"/>
      <c r="L329" s="543"/>
      <c r="M329" s="543"/>
      <c r="N329" s="543"/>
      <c r="O329" s="544"/>
      <c r="P329" s="544"/>
      <c r="Q329" s="543"/>
      <c r="R329" s="544"/>
      <c r="S329" s="544"/>
      <c r="T329" s="15"/>
      <c r="U329" s="15"/>
      <c r="V329" s="15"/>
    </row>
    <row r="330" spans="1:22" x14ac:dyDescent="0.25">
      <c r="A330" s="523"/>
      <c r="B330" s="268"/>
      <c r="C330" s="524"/>
      <c r="D330" s="525"/>
      <c r="E330" s="525"/>
      <c r="F330" s="525"/>
      <c r="G330" s="525"/>
      <c r="H330" s="525"/>
      <c r="I330" s="525"/>
      <c r="J330" s="536"/>
      <c r="K330" s="536"/>
      <c r="L330" s="525"/>
      <c r="M330" s="525"/>
      <c r="N330" s="525"/>
      <c r="O330" s="536"/>
      <c r="P330" s="165"/>
      <c r="Q330" s="525"/>
      <c r="R330" s="536"/>
      <c r="S330" s="536"/>
      <c r="T330" s="15"/>
      <c r="U330" s="15"/>
      <c r="V330" s="15"/>
    </row>
    <row r="331" spans="1:22" x14ac:dyDescent="0.25">
      <c r="A331" s="166"/>
      <c r="B331" s="167"/>
      <c r="C331" s="168"/>
      <c r="D331" s="169"/>
      <c r="E331" s="169"/>
      <c r="F331" s="169"/>
      <c r="G331" s="169"/>
      <c r="H331" s="169"/>
      <c r="I331" s="169"/>
      <c r="J331" s="170"/>
      <c r="K331" s="170"/>
      <c r="L331" s="169"/>
      <c r="M331" s="169"/>
      <c r="N331" s="169"/>
      <c r="O331" s="170"/>
      <c r="P331" s="170"/>
      <c r="Q331" s="169"/>
      <c r="R331" s="170"/>
      <c r="S331" s="170"/>
      <c r="T331" s="15"/>
      <c r="U331" s="15"/>
      <c r="V331" s="15"/>
    </row>
    <row r="332" spans="1:22" x14ac:dyDescent="0.25">
      <c r="A332" s="166"/>
      <c r="B332" s="207"/>
      <c r="C332" s="208"/>
      <c r="D332" s="209"/>
      <c r="E332" s="209"/>
      <c r="F332" s="209"/>
      <c r="G332" s="209"/>
      <c r="H332" s="209"/>
      <c r="I332" s="209"/>
      <c r="J332" s="210"/>
      <c r="K332" s="210"/>
      <c r="L332" s="209"/>
      <c r="M332" s="209"/>
      <c r="N332" s="209"/>
      <c r="O332" s="210"/>
      <c r="P332" s="210"/>
      <c r="Q332" s="209"/>
      <c r="R332" s="210"/>
      <c r="S332" s="210"/>
      <c r="T332" s="15"/>
      <c r="U332" s="15"/>
      <c r="V332" s="15"/>
    </row>
    <row r="333" spans="1:22" x14ac:dyDescent="0.25">
      <c r="A333" s="166"/>
      <c r="B333" s="268"/>
      <c r="C333" s="524"/>
      <c r="D333" s="525"/>
      <c r="E333" s="525"/>
      <c r="F333" s="525"/>
      <c r="G333" s="525"/>
      <c r="H333" s="525"/>
      <c r="I333" s="525"/>
      <c r="J333" s="536"/>
      <c r="K333" s="536"/>
      <c r="L333" s="525"/>
      <c r="M333" s="525"/>
      <c r="N333" s="525"/>
      <c r="O333" s="536"/>
      <c r="P333" s="165"/>
      <c r="Q333" s="525"/>
      <c r="R333" s="536"/>
      <c r="S333" s="536"/>
      <c r="T333" s="15"/>
      <c r="U333" s="15"/>
      <c r="V333" s="15"/>
    </row>
    <row r="334" spans="1:22" x14ac:dyDescent="0.25">
      <c r="A334" s="166"/>
      <c r="B334" s="167"/>
      <c r="C334" s="168"/>
      <c r="D334" s="169"/>
      <c r="E334" s="169"/>
      <c r="F334" s="169"/>
      <c r="G334" s="169"/>
      <c r="H334" s="169"/>
      <c r="I334" s="169"/>
      <c r="J334" s="170"/>
      <c r="K334" s="170"/>
      <c r="L334" s="169"/>
      <c r="M334" s="169"/>
      <c r="N334" s="169"/>
      <c r="O334" s="170"/>
      <c r="P334" s="170"/>
      <c r="Q334" s="169"/>
      <c r="R334" s="170"/>
      <c r="S334" s="170"/>
      <c r="T334" s="15"/>
      <c r="U334" s="15"/>
      <c r="V334" s="15"/>
    </row>
    <row r="335" spans="1:22" x14ac:dyDescent="0.25">
      <c r="A335" s="166"/>
      <c r="B335" s="207"/>
      <c r="C335" s="208"/>
      <c r="D335" s="209"/>
      <c r="E335" s="209"/>
      <c r="F335" s="209"/>
      <c r="G335" s="209"/>
      <c r="H335" s="209"/>
      <c r="I335" s="209"/>
      <c r="J335" s="210"/>
      <c r="K335" s="210"/>
      <c r="L335" s="209"/>
      <c r="M335" s="209"/>
      <c r="N335" s="209"/>
      <c r="O335" s="210"/>
      <c r="P335" s="210"/>
      <c r="Q335" s="209"/>
      <c r="R335" s="210"/>
      <c r="S335" s="210"/>
      <c r="T335" s="15"/>
      <c r="U335" s="15"/>
      <c r="V335" s="15"/>
    </row>
    <row r="336" spans="1:22" x14ac:dyDescent="0.25">
      <c r="A336" s="166"/>
      <c r="B336" s="268"/>
      <c r="C336" s="524"/>
      <c r="D336" s="525"/>
      <c r="E336" s="525"/>
      <c r="F336" s="525"/>
      <c r="G336" s="525"/>
      <c r="H336" s="525"/>
      <c r="I336" s="525"/>
      <c r="J336" s="536"/>
      <c r="K336" s="536"/>
      <c r="L336" s="525"/>
      <c r="M336" s="525"/>
      <c r="N336" s="525"/>
      <c r="O336" s="536"/>
      <c r="P336" s="165"/>
      <c r="Q336" s="525"/>
      <c r="R336" s="536"/>
      <c r="S336" s="536"/>
      <c r="T336" s="15"/>
      <c r="U336" s="15"/>
      <c r="V336" s="15"/>
    </row>
    <row r="337" spans="1:22" x14ac:dyDescent="0.25">
      <c r="A337" s="166"/>
      <c r="B337" s="167"/>
      <c r="C337" s="168"/>
      <c r="D337" s="169"/>
      <c r="E337" s="169"/>
      <c r="F337" s="169"/>
      <c r="G337" s="169"/>
      <c r="H337" s="169"/>
      <c r="I337" s="169"/>
      <c r="J337" s="170"/>
      <c r="K337" s="170"/>
      <c r="L337" s="169"/>
      <c r="M337" s="169"/>
      <c r="N337" s="169"/>
      <c r="O337" s="170"/>
      <c r="P337" s="170"/>
      <c r="Q337" s="169"/>
      <c r="R337" s="170"/>
      <c r="S337" s="170"/>
      <c r="T337" s="15"/>
      <c r="U337" s="15"/>
      <c r="V337" s="15"/>
    </row>
    <row r="338" spans="1:22" x14ac:dyDescent="0.25">
      <c r="A338" s="166"/>
      <c r="B338" s="207"/>
      <c r="C338" s="208"/>
      <c r="D338" s="209"/>
      <c r="E338" s="209"/>
      <c r="F338" s="209"/>
      <c r="G338" s="209"/>
      <c r="H338" s="209"/>
      <c r="I338" s="209"/>
      <c r="J338" s="210"/>
      <c r="K338" s="210"/>
      <c r="L338" s="209"/>
      <c r="M338" s="209"/>
      <c r="N338" s="209"/>
      <c r="O338" s="210"/>
      <c r="P338" s="210"/>
      <c r="Q338" s="209"/>
      <c r="R338" s="210"/>
      <c r="S338" s="210"/>
      <c r="T338" s="15"/>
      <c r="U338" s="15"/>
      <c r="V338" s="15"/>
    </row>
    <row r="339" spans="1:22" x14ac:dyDescent="0.25">
      <c r="A339" s="166"/>
      <c r="B339" s="268"/>
      <c r="C339" s="524"/>
      <c r="D339" s="525"/>
      <c r="E339" s="525"/>
      <c r="F339" s="525"/>
      <c r="G339" s="525"/>
      <c r="H339" s="525"/>
      <c r="I339" s="525"/>
      <c r="J339" s="536"/>
      <c r="K339" s="536"/>
      <c r="L339" s="525"/>
      <c r="M339" s="525"/>
      <c r="N339" s="525"/>
      <c r="O339" s="536"/>
      <c r="P339" s="165"/>
      <c r="Q339" s="525"/>
      <c r="R339" s="536"/>
      <c r="S339" s="536"/>
      <c r="T339" s="15"/>
      <c r="U339" s="15"/>
      <c r="V339" s="15"/>
    </row>
    <row r="340" spans="1:22" x14ac:dyDescent="0.25">
      <c r="A340" s="166"/>
      <c r="B340" s="167"/>
      <c r="C340" s="168"/>
      <c r="D340" s="169"/>
      <c r="E340" s="169"/>
      <c r="F340" s="169"/>
      <c r="G340" s="169"/>
      <c r="H340" s="169"/>
      <c r="I340" s="169"/>
      <c r="J340" s="170"/>
      <c r="K340" s="170"/>
      <c r="L340" s="169"/>
      <c r="M340" s="169"/>
      <c r="N340" s="169"/>
      <c r="O340" s="170"/>
      <c r="P340" s="170"/>
      <c r="Q340" s="169"/>
      <c r="R340" s="170"/>
      <c r="S340" s="170"/>
      <c r="T340" s="15"/>
      <c r="U340" s="15"/>
      <c r="V340" s="15"/>
    </row>
    <row r="341" spans="1:22" x14ac:dyDescent="0.25">
      <c r="A341" s="166"/>
      <c r="B341" s="207"/>
      <c r="C341" s="208"/>
      <c r="D341" s="209"/>
      <c r="E341" s="209"/>
      <c r="F341" s="209"/>
      <c r="G341" s="209"/>
      <c r="H341" s="209"/>
      <c r="I341" s="209"/>
      <c r="J341" s="210"/>
      <c r="K341" s="210"/>
      <c r="L341" s="209"/>
      <c r="M341" s="209"/>
      <c r="N341" s="209"/>
      <c r="O341" s="210"/>
      <c r="P341" s="210"/>
      <c r="Q341" s="209"/>
      <c r="R341" s="210"/>
      <c r="S341" s="210"/>
      <c r="T341" s="15"/>
      <c r="U341" s="15"/>
      <c r="V341" s="15"/>
    </row>
    <row r="342" spans="1:22" x14ac:dyDescent="0.25">
      <c r="A342" s="166"/>
      <c r="B342" s="268"/>
      <c r="C342" s="524"/>
      <c r="D342" s="525"/>
      <c r="E342" s="525"/>
      <c r="F342" s="525"/>
      <c r="G342" s="525"/>
      <c r="H342" s="525"/>
      <c r="I342" s="525"/>
      <c r="J342" s="536"/>
      <c r="K342" s="536"/>
      <c r="L342" s="525"/>
      <c r="M342" s="525"/>
      <c r="N342" s="525"/>
      <c r="O342" s="536"/>
      <c r="P342" s="165"/>
      <c r="Q342" s="525"/>
      <c r="R342" s="536"/>
      <c r="S342" s="536"/>
      <c r="T342" s="15"/>
      <c r="U342" s="15"/>
      <c r="V342" s="15"/>
    </row>
    <row r="343" spans="1:22" x14ac:dyDescent="0.25">
      <c r="A343" s="166"/>
      <c r="B343" s="167"/>
      <c r="C343" s="168"/>
      <c r="D343" s="169"/>
      <c r="E343" s="169"/>
      <c r="F343" s="169"/>
      <c r="G343" s="169"/>
      <c r="H343" s="169"/>
      <c r="I343" s="169"/>
      <c r="J343" s="170"/>
      <c r="K343" s="170"/>
      <c r="L343" s="169"/>
      <c r="M343" s="169"/>
      <c r="N343" s="169"/>
      <c r="O343" s="170"/>
      <c r="P343" s="170"/>
      <c r="Q343" s="169"/>
      <c r="R343" s="170"/>
      <c r="S343" s="170"/>
      <c r="T343" s="15"/>
      <c r="U343" s="15"/>
      <c r="V343" s="15"/>
    </row>
    <row r="344" spans="1:22" x14ac:dyDescent="0.25">
      <c r="A344" s="166"/>
      <c r="B344" s="207"/>
      <c r="C344" s="208"/>
      <c r="D344" s="209"/>
      <c r="E344" s="209"/>
      <c r="F344" s="209"/>
      <c r="G344" s="209"/>
      <c r="H344" s="209"/>
      <c r="I344" s="209"/>
      <c r="J344" s="210"/>
      <c r="K344" s="210"/>
      <c r="L344" s="209"/>
      <c r="M344" s="209"/>
      <c r="N344" s="209"/>
      <c r="O344" s="210"/>
      <c r="P344" s="210"/>
      <c r="Q344" s="209"/>
      <c r="R344" s="210"/>
      <c r="S344" s="210"/>
      <c r="T344" s="15"/>
      <c r="U344" s="15"/>
      <c r="V344" s="15"/>
    </row>
    <row r="345" spans="1:22" x14ac:dyDescent="0.25">
      <c r="A345" s="166"/>
      <c r="B345" s="268"/>
      <c r="C345" s="524"/>
      <c r="D345" s="525"/>
      <c r="E345" s="525"/>
      <c r="F345" s="525"/>
      <c r="G345" s="525"/>
      <c r="H345" s="525"/>
      <c r="I345" s="525"/>
      <c r="J345" s="536"/>
      <c r="K345" s="536"/>
      <c r="L345" s="525"/>
      <c r="M345" s="525"/>
      <c r="N345" s="525"/>
      <c r="O345" s="536"/>
      <c r="P345" s="165"/>
      <c r="Q345" s="525"/>
      <c r="R345" s="536"/>
      <c r="S345" s="536"/>
      <c r="T345" s="15"/>
      <c r="U345" s="15"/>
      <c r="V345" s="15"/>
    </row>
    <row r="346" spans="1:22" x14ac:dyDescent="0.25">
      <c r="A346" s="166"/>
      <c r="B346" s="167"/>
      <c r="C346" s="168"/>
      <c r="D346" s="169"/>
      <c r="E346" s="169"/>
      <c r="F346" s="169"/>
      <c r="G346" s="169"/>
      <c r="H346" s="169"/>
      <c r="I346" s="169"/>
      <c r="J346" s="170"/>
      <c r="K346" s="170"/>
      <c r="L346" s="169"/>
      <c r="M346" s="169"/>
      <c r="N346" s="169"/>
      <c r="O346" s="170"/>
      <c r="P346" s="170"/>
      <c r="Q346" s="169"/>
      <c r="R346" s="170"/>
      <c r="S346" s="170"/>
      <c r="T346" s="15"/>
      <c r="U346" s="15"/>
      <c r="V346" s="15"/>
    </row>
    <row r="347" spans="1:22" ht="15.75" thickBot="1" x14ac:dyDescent="0.3">
      <c r="A347" s="166"/>
      <c r="B347" s="531"/>
      <c r="C347" s="532"/>
      <c r="D347" s="533"/>
      <c r="E347" s="533"/>
      <c r="F347" s="533"/>
      <c r="G347" s="533"/>
      <c r="H347" s="533"/>
      <c r="I347" s="533"/>
      <c r="J347" s="537"/>
      <c r="K347" s="537"/>
      <c r="L347" s="533"/>
      <c r="M347" s="533"/>
      <c r="N347" s="533"/>
      <c r="O347" s="537"/>
      <c r="P347" s="537"/>
      <c r="Q347" s="533"/>
      <c r="R347" s="537"/>
      <c r="S347" s="537"/>
      <c r="T347" s="15"/>
      <c r="U347" s="15"/>
      <c r="V347" s="15"/>
    </row>
    <row r="348" spans="1:22" ht="15.75" thickTop="1" x14ac:dyDescent="0.25">
      <c r="A348" s="166"/>
      <c r="B348" s="167"/>
      <c r="C348" s="168"/>
      <c r="D348" s="169"/>
      <c r="E348" s="169"/>
      <c r="F348" s="169"/>
      <c r="G348" s="169"/>
      <c r="H348" s="169"/>
      <c r="I348" s="169"/>
      <c r="J348" s="170"/>
      <c r="K348" s="170"/>
      <c r="L348" s="169"/>
      <c r="M348" s="169"/>
      <c r="N348" s="169"/>
      <c r="O348" s="170"/>
      <c r="P348" s="170"/>
      <c r="Q348" s="169"/>
      <c r="R348" s="170"/>
      <c r="S348" s="170"/>
      <c r="T348" s="15"/>
      <c r="U348" s="15"/>
      <c r="V348" s="15"/>
    </row>
    <row r="349" spans="1:22" x14ac:dyDescent="0.25">
      <c r="A349" s="166"/>
      <c r="B349" s="167"/>
      <c r="C349" s="168"/>
      <c r="D349" s="169"/>
      <c r="E349" s="169"/>
      <c r="F349" s="169"/>
      <c r="G349" s="169"/>
      <c r="H349" s="169"/>
      <c r="I349" s="169"/>
      <c r="J349" s="170"/>
      <c r="K349" s="170"/>
      <c r="L349" s="169"/>
      <c r="M349" s="169"/>
      <c r="N349" s="169"/>
      <c r="O349" s="170"/>
      <c r="P349" s="170"/>
      <c r="Q349" s="169"/>
      <c r="R349" s="170"/>
      <c r="S349" s="170"/>
      <c r="T349" s="15"/>
      <c r="U349" s="15"/>
      <c r="V349" s="15"/>
    </row>
    <row r="350" spans="1:22" x14ac:dyDescent="0.25">
      <c r="A350" s="166"/>
      <c r="B350" s="207"/>
      <c r="C350" s="208"/>
      <c r="D350" s="209"/>
      <c r="E350" s="209"/>
      <c r="F350" s="209"/>
      <c r="G350" s="530"/>
      <c r="H350" s="209"/>
      <c r="I350" s="209"/>
      <c r="J350" s="210"/>
      <c r="K350" s="210"/>
      <c r="L350" s="209"/>
      <c r="M350" s="209"/>
      <c r="N350" s="209"/>
      <c r="O350" s="210"/>
      <c r="P350" s="210"/>
      <c r="Q350" s="209"/>
      <c r="R350" s="210"/>
      <c r="S350" s="210"/>
      <c r="T350" s="15"/>
      <c r="U350" s="15"/>
      <c r="V350" s="15"/>
    </row>
    <row r="351" spans="1:22" x14ac:dyDescent="0.25">
      <c r="A351" s="166"/>
      <c r="B351" s="268"/>
      <c r="C351" s="524"/>
      <c r="D351" s="525"/>
      <c r="E351" s="525"/>
      <c r="F351" s="525"/>
      <c r="G351" s="525"/>
      <c r="H351" s="525"/>
      <c r="I351" s="525"/>
      <c r="J351" s="536"/>
      <c r="K351" s="536"/>
      <c r="L351" s="525"/>
      <c r="M351" s="525"/>
      <c r="N351" s="525"/>
      <c r="O351" s="536"/>
      <c r="P351" s="165"/>
      <c r="Q351" s="525"/>
      <c r="R351" s="536"/>
      <c r="S351" s="536"/>
      <c r="T351" s="15"/>
      <c r="U351" s="15"/>
      <c r="V351" s="15"/>
    </row>
    <row r="352" spans="1:22" x14ac:dyDescent="0.25">
      <c r="A352" s="166"/>
      <c r="B352" s="167"/>
      <c r="C352" s="168"/>
      <c r="D352" s="169"/>
      <c r="E352" s="169"/>
      <c r="F352" s="169"/>
      <c r="G352" s="169"/>
      <c r="H352" s="169"/>
      <c r="I352" s="169"/>
      <c r="J352" s="170"/>
      <c r="K352" s="170"/>
      <c r="L352" s="169"/>
      <c r="M352" s="169"/>
      <c r="N352" s="169"/>
      <c r="O352" s="170"/>
      <c r="P352" s="170"/>
      <c r="Q352" s="169"/>
      <c r="R352" s="170"/>
      <c r="S352" s="170"/>
      <c r="T352" s="15"/>
      <c r="U352" s="15"/>
      <c r="V352" s="15"/>
    </row>
    <row r="353" spans="1:22" x14ac:dyDescent="0.25">
      <c r="A353" s="166"/>
      <c r="B353" s="207"/>
      <c r="C353" s="208"/>
      <c r="D353" s="209"/>
      <c r="E353" s="209"/>
      <c r="F353" s="209"/>
      <c r="G353" s="209"/>
      <c r="H353" s="209"/>
      <c r="I353" s="209"/>
      <c r="J353" s="210"/>
      <c r="K353" s="210"/>
      <c r="L353" s="209"/>
      <c r="M353" s="209"/>
      <c r="N353" s="209"/>
      <c r="O353" s="210"/>
      <c r="P353" s="210"/>
      <c r="Q353" s="209"/>
      <c r="R353" s="210"/>
      <c r="S353" s="210"/>
      <c r="T353" s="15"/>
      <c r="U353" s="15"/>
      <c r="V353" s="15"/>
    </row>
    <row r="354" spans="1:22" x14ac:dyDescent="0.25">
      <c r="A354" s="166"/>
      <c r="B354" s="268"/>
      <c r="C354" s="524"/>
      <c r="D354" s="525"/>
      <c r="E354" s="525"/>
      <c r="F354" s="525"/>
      <c r="G354" s="525"/>
      <c r="H354" s="525"/>
      <c r="I354" s="525"/>
      <c r="J354" s="536"/>
      <c r="K354" s="536"/>
      <c r="L354" s="525"/>
      <c r="M354" s="525"/>
      <c r="N354" s="525"/>
      <c r="O354" s="536"/>
      <c r="P354" s="165"/>
      <c r="Q354" s="525"/>
      <c r="R354" s="536"/>
      <c r="S354" s="536"/>
      <c r="T354" s="15"/>
      <c r="U354" s="15"/>
      <c r="V354" s="15"/>
    </row>
    <row r="355" spans="1:22" x14ac:dyDescent="0.25">
      <c r="A355" s="166"/>
      <c r="B355" s="167"/>
      <c r="C355" s="168"/>
      <c r="D355" s="169"/>
      <c r="E355" s="169"/>
      <c r="F355" s="169"/>
      <c r="G355" s="169"/>
      <c r="H355" s="169"/>
      <c r="I355" s="169"/>
      <c r="J355" s="170"/>
      <c r="K355" s="170"/>
      <c r="L355" s="169"/>
      <c r="M355" s="169"/>
      <c r="N355" s="169"/>
      <c r="O355" s="170"/>
      <c r="P355" s="170"/>
      <c r="Q355" s="169"/>
      <c r="R355" s="170"/>
      <c r="S355" s="170"/>
      <c r="T355" s="15"/>
      <c r="U355" s="15"/>
      <c r="V355" s="15"/>
    </row>
    <row r="356" spans="1:22" x14ac:dyDescent="0.25">
      <c r="A356" s="166"/>
      <c r="B356" s="207"/>
      <c r="C356" s="208"/>
      <c r="D356" s="209"/>
      <c r="E356" s="209"/>
      <c r="F356" s="209"/>
      <c r="G356" s="530"/>
      <c r="H356" s="209"/>
      <c r="I356" s="209"/>
      <c r="J356" s="210"/>
      <c r="K356" s="210"/>
      <c r="L356" s="209"/>
      <c r="M356" s="209"/>
      <c r="N356" s="209"/>
      <c r="O356" s="210"/>
      <c r="P356" s="210"/>
      <c r="Q356" s="209"/>
      <c r="R356" s="210"/>
      <c r="S356" s="210"/>
      <c r="T356" s="15"/>
      <c r="U356" s="15"/>
      <c r="V356" s="15"/>
    </row>
    <row r="357" spans="1:22" x14ac:dyDescent="0.25">
      <c r="A357" s="166"/>
      <c r="B357" s="268"/>
      <c r="C357" s="524"/>
      <c r="D357" s="525"/>
      <c r="E357" s="525"/>
      <c r="F357" s="525"/>
      <c r="G357" s="525"/>
      <c r="H357" s="525"/>
      <c r="I357" s="525"/>
      <c r="J357" s="536"/>
      <c r="K357" s="536"/>
      <c r="L357" s="525"/>
      <c r="M357" s="525"/>
      <c r="N357" s="525"/>
      <c r="O357" s="536"/>
      <c r="P357" s="165"/>
      <c r="Q357" s="525"/>
      <c r="R357" s="536"/>
      <c r="S357" s="536"/>
      <c r="T357" s="15"/>
      <c r="U357" s="15"/>
      <c r="V357" s="15"/>
    </row>
    <row r="358" spans="1:22" x14ac:dyDescent="0.25">
      <c r="A358" s="166"/>
      <c r="B358" s="167"/>
      <c r="C358" s="168"/>
      <c r="D358" s="169"/>
      <c r="E358" s="169"/>
      <c r="F358" s="169"/>
      <c r="G358" s="169"/>
      <c r="H358" s="169"/>
      <c r="I358" s="169"/>
      <c r="J358" s="170"/>
      <c r="K358" s="170"/>
      <c r="L358" s="169"/>
      <c r="M358" s="169"/>
      <c r="N358" s="169"/>
      <c r="O358" s="170"/>
      <c r="P358" s="170"/>
      <c r="Q358" s="169"/>
      <c r="R358" s="170"/>
      <c r="S358" s="170"/>
      <c r="T358" s="15"/>
      <c r="U358" s="15"/>
      <c r="V358" s="15"/>
    </row>
    <row r="359" spans="1:22" x14ac:dyDescent="0.25">
      <c r="A359" s="166"/>
      <c r="B359" s="207"/>
      <c r="C359" s="208"/>
      <c r="D359" s="209"/>
      <c r="E359" s="209"/>
      <c r="F359" s="209"/>
      <c r="G359" s="209"/>
      <c r="H359" s="209"/>
      <c r="I359" s="209"/>
      <c r="J359" s="210"/>
      <c r="K359" s="210"/>
      <c r="L359" s="209"/>
      <c r="M359" s="209"/>
      <c r="N359" s="209"/>
      <c r="O359" s="210"/>
      <c r="P359" s="210"/>
      <c r="Q359" s="209"/>
      <c r="R359" s="210"/>
      <c r="S359" s="210"/>
      <c r="T359" s="15"/>
      <c r="U359" s="15"/>
      <c r="V359" s="15"/>
    </row>
    <row r="360" spans="1:22" x14ac:dyDescent="0.25">
      <c r="A360" s="166"/>
      <c r="B360" s="268"/>
      <c r="C360" s="524"/>
      <c r="D360" s="525"/>
      <c r="E360" s="525"/>
      <c r="F360" s="525"/>
      <c r="G360" s="525"/>
      <c r="H360" s="525"/>
      <c r="I360" s="525"/>
      <c r="J360" s="536"/>
      <c r="K360" s="536"/>
      <c r="L360" s="525"/>
      <c r="M360" s="525"/>
      <c r="N360" s="525"/>
      <c r="O360" s="536"/>
      <c r="P360" s="165"/>
      <c r="Q360" s="525"/>
      <c r="R360" s="536"/>
      <c r="S360" s="536"/>
      <c r="T360" s="15"/>
      <c r="U360" s="15"/>
      <c r="V360" s="15"/>
    </row>
    <row r="361" spans="1:22" x14ac:dyDescent="0.25">
      <c r="A361" s="166"/>
      <c r="B361" s="167"/>
      <c r="C361" s="168"/>
      <c r="D361" s="169"/>
      <c r="E361" s="169"/>
      <c r="F361" s="169"/>
      <c r="G361" s="169"/>
      <c r="H361" s="169"/>
      <c r="I361" s="169"/>
      <c r="J361" s="170"/>
      <c r="K361" s="170"/>
      <c r="L361" s="169"/>
      <c r="M361" s="169"/>
      <c r="N361" s="169"/>
      <c r="O361" s="170"/>
      <c r="P361" s="170"/>
      <c r="Q361" s="169"/>
      <c r="R361" s="170"/>
      <c r="S361" s="170"/>
      <c r="T361" s="15"/>
      <c r="U361" s="15"/>
      <c r="V361" s="15"/>
    </row>
    <row r="362" spans="1:22" x14ac:dyDescent="0.25">
      <c r="A362" s="166"/>
      <c r="B362" s="207"/>
      <c r="C362" s="208"/>
      <c r="D362" s="209"/>
      <c r="E362" s="209"/>
      <c r="F362" s="209"/>
      <c r="G362" s="209"/>
      <c r="H362" s="209"/>
      <c r="I362" s="209"/>
      <c r="J362" s="210"/>
      <c r="K362" s="210"/>
      <c r="L362" s="209"/>
      <c r="M362" s="209"/>
      <c r="N362" s="209"/>
      <c r="O362" s="210"/>
      <c r="P362" s="210"/>
      <c r="Q362" s="209"/>
      <c r="R362" s="210"/>
      <c r="S362" s="210"/>
      <c r="T362" s="15"/>
      <c r="U362" s="15"/>
      <c r="V362" s="15"/>
    </row>
    <row r="363" spans="1:22" x14ac:dyDescent="0.25">
      <c r="A363" s="166"/>
      <c r="B363" s="268"/>
      <c r="C363" s="524"/>
      <c r="D363" s="525"/>
      <c r="E363" s="525"/>
      <c r="F363" s="525"/>
      <c r="G363" s="525"/>
      <c r="H363" s="525"/>
      <c r="I363" s="525"/>
      <c r="J363" s="536"/>
      <c r="K363" s="536"/>
      <c r="L363" s="525"/>
      <c r="M363" s="525"/>
      <c r="N363" s="525"/>
      <c r="O363" s="536"/>
      <c r="P363" s="165"/>
      <c r="Q363" s="525"/>
      <c r="R363" s="536"/>
      <c r="S363" s="536"/>
      <c r="T363" s="15"/>
      <c r="U363" s="15"/>
      <c r="V363" s="15"/>
    </row>
    <row r="364" spans="1:22" x14ac:dyDescent="0.25">
      <c r="A364" s="166"/>
      <c r="B364" s="167"/>
      <c r="C364" s="168"/>
      <c r="D364" s="169"/>
      <c r="E364" s="169"/>
      <c r="F364" s="169"/>
      <c r="G364" s="169"/>
      <c r="H364" s="169"/>
      <c r="I364" s="169"/>
      <c r="J364" s="170"/>
      <c r="K364" s="170"/>
      <c r="L364" s="169"/>
      <c r="M364" s="169"/>
      <c r="N364" s="169"/>
      <c r="O364" s="170"/>
      <c r="P364" s="170"/>
      <c r="Q364" s="169"/>
      <c r="R364" s="170"/>
      <c r="S364" s="170"/>
      <c r="T364" s="15"/>
      <c r="U364" s="15"/>
      <c r="V364" s="15"/>
    </row>
    <row r="365" spans="1:22" ht="15.75" thickBot="1" x14ac:dyDescent="0.3">
      <c r="A365" s="540"/>
      <c r="B365" s="541"/>
      <c r="C365" s="542"/>
      <c r="D365" s="543"/>
      <c r="E365" s="543"/>
      <c r="F365" s="543"/>
      <c r="G365" s="543"/>
      <c r="H365" s="543"/>
      <c r="I365" s="543"/>
      <c r="J365" s="544"/>
      <c r="K365" s="544"/>
      <c r="L365" s="543"/>
      <c r="M365" s="543"/>
      <c r="N365" s="543"/>
      <c r="O365" s="544"/>
      <c r="P365" s="544"/>
      <c r="Q365" s="543"/>
      <c r="R365" s="544"/>
      <c r="S365" s="544"/>
      <c r="T365" s="15"/>
      <c r="U365" s="15"/>
      <c r="V365" s="15"/>
    </row>
    <row r="366" spans="1:22" x14ac:dyDescent="0.25">
      <c r="A366" s="523"/>
      <c r="B366" s="268"/>
      <c r="C366" s="524"/>
      <c r="D366" s="525"/>
      <c r="E366" s="525"/>
      <c r="F366" s="525"/>
      <c r="G366" s="525"/>
      <c r="H366" s="525"/>
      <c r="I366" s="525"/>
      <c r="J366" s="536"/>
      <c r="K366" s="536"/>
      <c r="L366" s="525"/>
      <c r="M366" s="525"/>
      <c r="N366" s="525"/>
      <c r="O366" s="536"/>
      <c r="P366" s="165"/>
      <c r="Q366" s="525"/>
      <c r="R366" s="536"/>
      <c r="S366" s="536"/>
      <c r="T366" s="15"/>
      <c r="U366" s="15"/>
      <c r="V366" s="15"/>
    </row>
    <row r="367" spans="1:22" x14ac:dyDescent="0.25">
      <c r="A367" s="166"/>
      <c r="B367" s="167"/>
      <c r="C367" s="168"/>
      <c r="D367" s="169"/>
      <c r="E367" s="169"/>
      <c r="F367" s="169"/>
      <c r="G367" s="169"/>
      <c r="H367" s="169"/>
      <c r="I367" s="169"/>
      <c r="J367" s="170"/>
      <c r="K367" s="170"/>
      <c r="L367" s="169"/>
      <c r="M367" s="169"/>
      <c r="N367" s="169"/>
      <c r="O367" s="170"/>
      <c r="P367" s="170"/>
      <c r="Q367" s="169"/>
      <c r="R367" s="170"/>
      <c r="S367" s="170"/>
      <c r="T367" s="15"/>
      <c r="U367" s="15"/>
      <c r="V367" s="15"/>
    </row>
    <row r="368" spans="1:22" x14ac:dyDescent="0.25">
      <c r="A368" s="166"/>
      <c r="B368" s="207"/>
      <c r="C368" s="208"/>
      <c r="D368" s="209"/>
      <c r="E368" s="209"/>
      <c r="F368" s="209"/>
      <c r="G368" s="209"/>
      <c r="H368" s="209"/>
      <c r="I368" s="209"/>
      <c r="J368" s="210"/>
      <c r="K368" s="210"/>
      <c r="L368" s="209"/>
      <c r="M368" s="530"/>
      <c r="N368" s="209"/>
      <c r="O368" s="210"/>
      <c r="P368" s="210"/>
      <c r="Q368" s="209"/>
      <c r="R368" s="210"/>
      <c r="S368" s="210"/>
      <c r="T368" s="15"/>
      <c r="U368" s="15"/>
      <c r="V368" s="15"/>
    </row>
    <row r="369" spans="1:22" x14ac:dyDescent="0.25">
      <c r="A369" s="166"/>
      <c r="B369" s="268"/>
      <c r="C369" s="524"/>
      <c r="D369" s="525"/>
      <c r="E369" s="525"/>
      <c r="F369" s="525"/>
      <c r="G369" s="525"/>
      <c r="H369" s="525"/>
      <c r="I369" s="525"/>
      <c r="J369" s="536"/>
      <c r="K369" s="536"/>
      <c r="L369" s="525"/>
      <c r="M369" s="525"/>
      <c r="N369" s="525"/>
      <c r="O369" s="536"/>
      <c r="P369" s="165"/>
      <c r="Q369" s="525"/>
      <c r="R369" s="536"/>
      <c r="S369" s="536"/>
      <c r="T369" s="15"/>
      <c r="U369" s="15"/>
      <c r="V369" s="15"/>
    </row>
    <row r="370" spans="1:22" x14ac:dyDescent="0.25">
      <c r="A370" s="166"/>
      <c r="B370" s="167"/>
      <c r="C370" s="168"/>
      <c r="D370" s="169"/>
      <c r="E370" s="169"/>
      <c r="F370" s="169"/>
      <c r="G370" s="169"/>
      <c r="H370" s="169"/>
      <c r="I370" s="169"/>
      <c r="J370" s="170"/>
      <c r="K370" s="170"/>
      <c r="L370" s="169"/>
      <c r="M370" s="169"/>
      <c r="N370" s="169"/>
      <c r="O370" s="170"/>
      <c r="P370" s="170"/>
      <c r="Q370" s="169"/>
      <c r="R370" s="170"/>
      <c r="S370" s="170"/>
      <c r="T370" s="15"/>
      <c r="U370" s="15"/>
      <c r="V370" s="15"/>
    </row>
    <row r="371" spans="1:22" x14ac:dyDescent="0.25">
      <c r="A371" s="166"/>
      <c r="B371" s="207"/>
      <c r="C371" s="208"/>
      <c r="D371" s="209"/>
      <c r="E371" s="209"/>
      <c r="F371" s="209"/>
      <c r="G371" s="209"/>
      <c r="H371" s="209"/>
      <c r="I371" s="209"/>
      <c r="J371" s="210"/>
      <c r="K371" s="210"/>
      <c r="L371" s="209"/>
      <c r="M371" s="209"/>
      <c r="N371" s="209"/>
      <c r="O371" s="210"/>
      <c r="P371" s="210"/>
      <c r="Q371" s="209"/>
      <c r="R371" s="210"/>
      <c r="S371" s="210"/>
      <c r="T371" s="15"/>
      <c r="U371" s="15"/>
      <c r="V371" s="15"/>
    </row>
    <row r="372" spans="1:22" x14ac:dyDescent="0.25">
      <c r="A372" s="166"/>
      <c r="B372" s="268"/>
      <c r="C372" s="524"/>
      <c r="D372" s="525"/>
      <c r="E372" s="525"/>
      <c r="F372" s="525"/>
      <c r="G372" s="525"/>
      <c r="H372" s="525"/>
      <c r="I372" s="525"/>
      <c r="J372" s="536"/>
      <c r="K372" s="536"/>
      <c r="L372" s="525"/>
      <c r="M372" s="525"/>
      <c r="N372" s="525"/>
      <c r="O372" s="536"/>
      <c r="P372" s="165"/>
      <c r="Q372" s="525"/>
      <c r="R372" s="536"/>
      <c r="S372" s="536"/>
      <c r="T372" s="15"/>
      <c r="U372" s="15"/>
      <c r="V372" s="15"/>
    </row>
    <row r="373" spans="1:22" x14ac:dyDescent="0.25">
      <c r="A373" s="166"/>
      <c r="B373" s="167"/>
      <c r="C373" s="168"/>
      <c r="D373" s="169"/>
      <c r="E373" s="169"/>
      <c r="F373" s="169"/>
      <c r="G373" s="169"/>
      <c r="H373" s="169"/>
      <c r="I373" s="169"/>
      <c r="J373" s="170"/>
      <c r="K373" s="170"/>
      <c r="L373" s="169"/>
      <c r="M373" s="169"/>
      <c r="N373" s="169"/>
      <c r="O373" s="170"/>
      <c r="P373" s="170"/>
      <c r="Q373" s="169"/>
      <c r="R373" s="170"/>
      <c r="S373" s="170"/>
      <c r="T373" s="15"/>
      <c r="U373" s="15"/>
      <c r="V373" s="15"/>
    </row>
    <row r="374" spans="1:22" x14ac:dyDescent="0.25">
      <c r="A374" s="166"/>
      <c r="B374" s="207"/>
      <c r="C374" s="208"/>
      <c r="D374" s="209"/>
      <c r="E374" s="209"/>
      <c r="F374" s="209"/>
      <c r="G374" s="209"/>
      <c r="H374" s="209"/>
      <c r="I374" s="209"/>
      <c r="J374" s="210"/>
      <c r="K374" s="210"/>
      <c r="L374" s="209"/>
      <c r="M374" s="209"/>
      <c r="N374" s="209"/>
      <c r="O374" s="210"/>
      <c r="P374" s="210"/>
      <c r="Q374" s="209"/>
      <c r="R374" s="210"/>
      <c r="S374" s="210"/>
      <c r="T374" s="15"/>
      <c r="U374" s="15"/>
      <c r="V374" s="15"/>
    </row>
    <row r="375" spans="1:22" x14ac:dyDescent="0.25">
      <c r="A375" s="166"/>
      <c r="B375" s="268"/>
      <c r="C375" s="524"/>
      <c r="D375" s="525"/>
      <c r="E375" s="525"/>
      <c r="F375" s="525"/>
      <c r="G375" s="525"/>
      <c r="H375" s="525"/>
      <c r="I375" s="525"/>
      <c r="J375" s="536"/>
      <c r="K375" s="536"/>
      <c r="L375" s="525"/>
      <c r="M375" s="525"/>
      <c r="N375" s="525"/>
      <c r="O375" s="536"/>
      <c r="P375" s="165"/>
      <c r="Q375" s="525"/>
      <c r="R375" s="536"/>
      <c r="S375" s="536"/>
      <c r="T375" s="15"/>
      <c r="U375" s="15"/>
      <c r="V375" s="15"/>
    </row>
    <row r="376" spans="1:22" x14ac:dyDescent="0.25">
      <c r="A376" s="166"/>
      <c r="B376" s="167"/>
      <c r="C376" s="168"/>
      <c r="D376" s="169"/>
      <c r="E376" s="169"/>
      <c r="F376" s="169"/>
      <c r="G376" s="169"/>
      <c r="H376" s="169"/>
      <c r="I376" s="169"/>
      <c r="J376" s="170"/>
      <c r="K376" s="170"/>
      <c r="L376" s="169"/>
      <c r="M376" s="169"/>
      <c r="N376" s="169"/>
      <c r="O376" s="170"/>
      <c r="P376" s="170"/>
      <c r="Q376" s="169"/>
      <c r="R376" s="170"/>
      <c r="S376" s="170"/>
      <c r="T376" s="15"/>
      <c r="U376" s="15"/>
      <c r="V376" s="15"/>
    </row>
    <row r="377" spans="1:22" x14ac:dyDescent="0.25">
      <c r="A377" s="166"/>
      <c r="B377" s="207"/>
      <c r="C377" s="208"/>
      <c r="D377" s="209"/>
      <c r="E377" s="209"/>
      <c r="F377" s="209"/>
      <c r="G377" s="209"/>
      <c r="H377" s="209"/>
      <c r="I377" s="209"/>
      <c r="J377" s="210"/>
      <c r="K377" s="210"/>
      <c r="L377" s="209"/>
      <c r="M377" s="209"/>
      <c r="N377" s="209"/>
      <c r="O377" s="210"/>
      <c r="P377" s="210"/>
      <c r="Q377" s="209"/>
      <c r="R377" s="210"/>
      <c r="S377" s="210"/>
      <c r="T377" s="15"/>
      <c r="U377" s="15"/>
      <c r="V377" s="15"/>
    </row>
    <row r="378" spans="1:22" x14ac:dyDescent="0.25">
      <c r="A378" s="166"/>
      <c r="B378" s="268"/>
      <c r="C378" s="524"/>
      <c r="D378" s="525"/>
      <c r="E378" s="525"/>
      <c r="F378" s="525"/>
      <c r="G378" s="525"/>
      <c r="H378" s="525"/>
      <c r="I378" s="525"/>
      <c r="J378" s="536"/>
      <c r="K378" s="536"/>
      <c r="L378" s="525"/>
      <c r="M378" s="525"/>
      <c r="N378" s="525"/>
      <c r="O378" s="536"/>
      <c r="P378" s="165"/>
      <c r="Q378" s="525"/>
      <c r="R378" s="536"/>
      <c r="S378" s="536"/>
      <c r="T378" s="15"/>
      <c r="U378" s="15"/>
      <c r="V378" s="15"/>
    </row>
    <row r="379" spans="1:22" x14ac:dyDescent="0.25">
      <c r="A379" s="166"/>
      <c r="B379" s="167"/>
      <c r="C379" s="168"/>
      <c r="D379" s="169"/>
      <c r="E379" s="169"/>
      <c r="F379" s="169"/>
      <c r="G379" s="169"/>
      <c r="H379" s="169"/>
      <c r="I379" s="169"/>
      <c r="J379" s="170"/>
      <c r="K379" s="170"/>
      <c r="L379" s="169"/>
      <c r="M379" s="169"/>
      <c r="N379" s="169"/>
      <c r="O379" s="170"/>
      <c r="P379" s="170"/>
      <c r="Q379" s="169"/>
      <c r="R379" s="170"/>
      <c r="S379" s="170"/>
      <c r="T379" s="15"/>
      <c r="U379" s="15"/>
      <c r="V379" s="15"/>
    </row>
    <row r="380" spans="1:22" x14ac:dyDescent="0.25">
      <c r="A380" s="166"/>
      <c r="B380" s="207"/>
      <c r="C380" s="208"/>
      <c r="D380" s="209"/>
      <c r="E380" s="209"/>
      <c r="F380" s="209"/>
      <c r="G380" s="209"/>
      <c r="H380" s="209"/>
      <c r="I380" s="209"/>
      <c r="J380" s="210"/>
      <c r="K380" s="210"/>
      <c r="L380" s="530"/>
      <c r="M380" s="530"/>
      <c r="N380" s="209"/>
      <c r="O380" s="210"/>
      <c r="P380" s="210"/>
      <c r="Q380" s="209"/>
      <c r="R380" s="210"/>
      <c r="S380" s="210"/>
      <c r="T380" s="15"/>
      <c r="U380" s="15"/>
      <c r="V380" s="15"/>
    </row>
    <row r="381" spans="1:22" x14ac:dyDescent="0.25">
      <c r="A381" s="166"/>
      <c r="B381" s="268"/>
      <c r="C381" s="524"/>
      <c r="D381" s="525"/>
      <c r="E381" s="525"/>
      <c r="F381" s="525"/>
      <c r="G381" s="525"/>
      <c r="H381" s="525"/>
      <c r="I381" s="525"/>
      <c r="J381" s="536"/>
      <c r="K381" s="536"/>
      <c r="L381" s="525"/>
      <c r="M381" s="525"/>
      <c r="N381" s="525"/>
      <c r="O381" s="536"/>
      <c r="P381" s="165"/>
      <c r="Q381" s="525"/>
      <c r="R381" s="536"/>
      <c r="S381" s="536"/>
      <c r="T381" s="15"/>
      <c r="U381" s="15"/>
      <c r="V381" s="15"/>
    </row>
    <row r="382" spans="1:22" x14ac:dyDescent="0.25">
      <c r="A382" s="166"/>
      <c r="B382" s="167"/>
      <c r="C382" s="168"/>
      <c r="D382" s="169"/>
      <c r="E382" s="169"/>
      <c r="F382" s="169"/>
      <c r="G382" s="169"/>
      <c r="H382" s="169"/>
      <c r="I382" s="169"/>
      <c r="J382" s="170"/>
      <c r="K382" s="170"/>
      <c r="L382" s="169"/>
      <c r="M382" s="169"/>
      <c r="N382" s="169"/>
      <c r="O382" s="170"/>
      <c r="P382" s="170"/>
      <c r="Q382" s="169"/>
      <c r="R382" s="170"/>
      <c r="S382" s="170"/>
      <c r="T382" s="15"/>
      <c r="U382" s="15"/>
      <c r="V382" s="15"/>
    </row>
    <row r="383" spans="1:22" ht="15.75" thickBot="1" x14ac:dyDescent="0.3">
      <c r="A383" s="166"/>
      <c r="B383" s="531"/>
      <c r="C383" s="532"/>
      <c r="D383" s="533"/>
      <c r="E383" s="533"/>
      <c r="F383" s="533"/>
      <c r="G383" s="533"/>
      <c r="H383" s="533"/>
      <c r="I383" s="533"/>
      <c r="J383" s="537"/>
      <c r="K383" s="537"/>
      <c r="L383" s="533"/>
      <c r="M383" s="533"/>
      <c r="N383" s="533"/>
      <c r="O383" s="537"/>
      <c r="P383" s="537"/>
      <c r="Q383" s="533"/>
      <c r="R383" s="537"/>
      <c r="S383" s="537"/>
      <c r="T383" s="15"/>
      <c r="U383" s="15"/>
      <c r="V383" s="15"/>
    </row>
    <row r="384" spans="1:22" ht="15.75" thickTop="1" x14ac:dyDescent="0.25">
      <c r="A384" s="166"/>
      <c r="B384" s="167"/>
      <c r="C384" s="168"/>
      <c r="D384" s="169"/>
      <c r="E384" s="169"/>
      <c r="F384" s="169"/>
      <c r="G384" s="169"/>
      <c r="H384" s="169"/>
      <c r="I384" s="169"/>
      <c r="J384" s="170"/>
      <c r="K384" s="170"/>
      <c r="L384" s="169"/>
      <c r="M384" s="169"/>
      <c r="N384" s="169"/>
      <c r="O384" s="170"/>
      <c r="P384" s="170"/>
      <c r="Q384" s="169"/>
      <c r="R384" s="170"/>
      <c r="S384" s="170"/>
      <c r="T384" s="15"/>
      <c r="U384" s="15"/>
      <c r="V384" s="15"/>
    </row>
    <row r="385" spans="1:22" x14ac:dyDescent="0.25">
      <c r="A385" s="166"/>
      <c r="B385" s="167"/>
      <c r="C385" s="168"/>
      <c r="D385" s="169"/>
      <c r="E385" s="169"/>
      <c r="F385" s="169"/>
      <c r="G385" s="169"/>
      <c r="H385" s="169"/>
      <c r="I385" s="169"/>
      <c r="J385" s="170"/>
      <c r="K385" s="170"/>
      <c r="L385" s="169"/>
      <c r="M385" s="169"/>
      <c r="N385" s="169"/>
      <c r="O385" s="170"/>
      <c r="P385" s="170"/>
      <c r="Q385" s="169"/>
      <c r="R385" s="170"/>
      <c r="S385" s="170"/>
      <c r="T385" s="15"/>
      <c r="U385" s="15"/>
      <c r="V385" s="15"/>
    </row>
    <row r="386" spans="1:22" x14ac:dyDescent="0.25">
      <c r="A386" s="166"/>
      <c r="B386" s="207"/>
      <c r="C386" s="208"/>
      <c r="D386" s="209"/>
      <c r="E386" s="209"/>
      <c r="F386" s="530"/>
      <c r="G386" s="530"/>
      <c r="H386" s="209"/>
      <c r="I386" s="209"/>
      <c r="J386" s="210"/>
      <c r="K386" s="210"/>
      <c r="L386" s="209"/>
      <c r="M386" s="209"/>
      <c r="N386" s="209"/>
      <c r="O386" s="210"/>
      <c r="P386" s="210"/>
      <c r="Q386" s="209"/>
      <c r="R386" s="210"/>
      <c r="S386" s="210"/>
      <c r="T386" s="15"/>
      <c r="U386" s="15"/>
      <c r="V386" s="15"/>
    </row>
    <row r="387" spans="1:22" x14ac:dyDescent="0.25">
      <c r="A387" s="166"/>
      <c r="B387" s="268"/>
      <c r="C387" s="524"/>
      <c r="D387" s="525"/>
      <c r="E387" s="525"/>
      <c r="F387" s="525"/>
      <c r="G387" s="525"/>
      <c r="H387" s="525"/>
      <c r="I387" s="525"/>
      <c r="J387" s="536"/>
      <c r="K387" s="536"/>
      <c r="L387" s="525"/>
      <c r="M387" s="525"/>
      <c r="N387" s="525"/>
      <c r="O387" s="536"/>
      <c r="P387" s="165"/>
      <c r="Q387" s="525"/>
      <c r="R387" s="536"/>
      <c r="S387" s="536"/>
      <c r="T387" s="15"/>
      <c r="U387" s="15"/>
      <c r="V387" s="15"/>
    </row>
    <row r="388" spans="1:22" x14ac:dyDescent="0.25">
      <c r="A388" s="166"/>
      <c r="B388" s="167"/>
      <c r="C388" s="168"/>
      <c r="D388" s="169"/>
      <c r="E388" s="169"/>
      <c r="F388" s="169"/>
      <c r="G388" s="169"/>
      <c r="H388" s="169"/>
      <c r="I388" s="169"/>
      <c r="J388" s="170"/>
      <c r="K388" s="170"/>
      <c r="L388" s="169"/>
      <c r="M388" s="169"/>
      <c r="N388" s="169"/>
      <c r="O388" s="170"/>
      <c r="P388" s="170"/>
      <c r="Q388" s="169"/>
      <c r="R388" s="170"/>
      <c r="S388" s="170"/>
      <c r="T388" s="15"/>
      <c r="U388" s="15"/>
      <c r="V388" s="15"/>
    </row>
    <row r="389" spans="1:22" x14ac:dyDescent="0.25">
      <c r="A389" s="166"/>
      <c r="B389" s="207"/>
      <c r="C389" s="534"/>
      <c r="D389" s="209"/>
      <c r="E389" s="209"/>
      <c r="F389" s="209"/>
      <c r="G389" s="209"/>
      <c r="H389" s="209"/>
      <c r="I389" s="209"/>
      <c r="J389" s="210"/>
      <c r="K389" s="210"/>
      <c r="L389" s="209"/>
      <c r="M389" s="209"/>
      <c r="N389" s="209"/>
      <c r="O389" s="210"/>
      <c r="P389" s="210"/>
      <c r="Q389" s="209"/>
      <c r="R389" s="210"/>
      <c r="S389" s="210"/>
      <c r="T389" s="15"/>
      <c r="U389" s="15"/>
      <c r="V389" s="15"/>
    </row>
    <row r="390" spans="1:22" x14ac:dyDescent="0.25">
      <c r="A390" s="166"/>
      <c r="B390" s="268"/>
      <c r="C390" s="524"/>
      <c r="D390" s="525"/>
      <c r="E390" s="525"/>
      <c r="F390" s="525"/>
      <c r="G390" s="525"/>
      <c r="H390" s="525"/>
      <c r="I390" s="525"/>
      <c r="J390" s="536"/>
      <c r="K390" s="536"/>
      <c r="L390" s="525"/>
      <c r="M390" s="525"/>
      <c r="N390" s="525"/>
      <c r="O390" s="536"/>
      <c r="P390" s="165"/>
      <c r="Q390" s="525"/>
      <c r="R390" s="536"/>
      <c r="S390" s="536"/>
      <c r="T390" s="15"/>
      <c r="U390" s="15"/>
      <c r="V390" s="15"/>
    </row>
    <row r="391" spans="1:22" x14ac:dyDescent="0.25">
      <c r="A391" s="166"/>
      <c r="B391" s="167"/>
      <c r="C391" s="168"/>
      <c r="D391" s="169"/>
      <c r="E391" s="169"/>
      <c r="F391" s="169"/>
      <c r="G391" s="169"/>
      <c r="H391" s="169"/>
      <c r="I391" s="169"/>
      <c r="J391" s="170"/>
      <c r="K391" s="170"/>
      <c r="L391" s="169"/>
      <c r="M391" s="169"/>
      <c r="N391" s="169"/>
      <c r="O391" s="170"/>
      <c r="P391" s="170"/>
      <c r="Q391" s="169"/>
      <c r="R391" s="170"/>
      <c r="S391" s="170"/>
      <c r="T391" s="15"/>
      <c r="U391" s="15"/>
      <c r="V391" s="15"/>
    </row>
    <row r="392" spans="1:22" x14ac:dyDescent="0.25">
      <c r="A392" s="166"/>
      <c r="B392" s="207"/>
      <c r="C392" s="208"/>
      <c r="D392" s="209"/>
      <c r="E392" s="209"/>
      <c r="F392" s="530"/>
      <c r="G392" s="209"/>
      <c r="H392" s="209"/>
      <c r="I392" s="209"/>
      <c r="J392" s="210"/>
      <c r="K392" s="210"/>
      <c r="L392" s="209"/>
      <c r="M392" s="209"/>
      <c r="N392" s="209"/>
      <c r="O392" s="210"/>
      <c r="P392" s="210"/>
      <c r="Q392" s="209"/>
      <c r="R392" s="210"/>
      <c r="S392" s="210"/>
      <c r="T392" s="15"/>
      <c r="U392" s="15"/>
      <c r="V392" s="15"/>
    </row>
    <row r="393" spans="1:22" x14ac:dyDescent="0.25">
      <c r="A393" s="166"/>
      <c r="B393" s="268"/>
      <c r="C393" s="524"/>
      <c r="D393" s="525"/>
      <c r="E393" s="525"/>
      <c r="F393" s="525"/>
      <c r="G393" s="525"/>
      <c r="H393" s="525"/>
      <c r="I393" s="525"/>
      <c r="J393" s="536"/>
      <c r="K393" s="536"/>
      <c r="L393" s="525"/>
      <c r="M393" s="525"/>
      <c r="N393" s="525"/>
      <c r="O393" s="536"/>
      <c r="P393" s="165"/>
      <c r="Q393" s="525"/>
      <c r="R393" s="536"/>
      <c r="S393" s="536"/>
      <c r="T393" s="15"/>
      <c r="U393" s="15"/>
      <c r="V393" s="15"/>
    </row>
    <row r="394" spans="1:22" x14ac:dyDescent="0.25">
      <c r="A394" s="166"/>
      <c r="B394" s="167"/>
      <c r="C394" s="168"/>
      <c r="D394" s="169"/>
      <c r="E394" s="169"/>
      <c r="F394" s="169"/>
      <c r="G394" s="169"/>
      <c r="H394" s="169"/>
      <c r="I394" s="169"/>
      <c r="J394" s="170"/>
      <c r="K394" s="170"/>
      <c r="L394" s="169"/>
      <c r="M394" s="169"/>
      <c r="N394" s="169"/>
      <c r="O394" s="170"/>
      <c r="P394" s="170"/>
      <c r="Q394" s="169"/>
      <c r="R394" s="170"/>
      <c r="S394" s="170"/>
      <c r="T394" s="15"/>
      <c r="U394" s="15"/>
      <c r="V394" s="15"/>
    </row>
    <row r="395" spans="1:22" x14ac:dyDescent="0.25">
      <c r="A395" s="166"/>
      <c r="B395" s="207"/>
      <c r="C395" s="208"/>
      <c r="D395" s="209"/>
      <c r="E395" s="209"/>
      <c r="F395" s="209"/>
      <c r="G395" s="209"/>
      <c r="H395" s="209"/>
      <c r="I395" s="209"/>
      <c r="J395" s="210"/>
      <c r="K395" s="210"/>
      <c r="L395" s="209"/>
      <c r="M395" s="209"/>
      <c r="N395" s="209"/>
      <c r="O395" s="210"/>
      <c r="P395" s="210"/>
      <c r="Q395" s="209"/>
      <c r="R395" s="210"/>
      <c r="S395" s="210"/>
      <c r="T395" s="15"/>
      <c r="U395" s="15"/>
      <c r="V395" s="15"/>
    </row>
    <row r="396" spans="1:22" x14ac:dyDescent="0.25">
      <c r="A396" s="166"/>
      <c r="B396" s="268"/>
      <c r="C396" s="524"/>
      <c r="D396" s="525"/>
      <c r="E396" s="525"/>
      <c r="F396" s="525"/>
      <c r="G396" s="525"/>
      <c r="H396" s="525"/>
      <c r="I396" s="525"/>
      <c r="J396" s="536"/>
      <c r="K396" s="536"/>
      <c r="L396" s="525"/>
      <c r="M396" s="525"/>
      <c r="N396" s="525"/>
      <c r="O396" s="536"/>
      <c r="P396" s="165"/>
      <c r="Q396" s="525"/>
      <c r="R396" s="536"/>
      <c r="S396" s="536"/>
      <c r="T396" s="15"/>
      <c r="U396" s="15"/>
      <c r="V396" s="15"/>
    </row>
    <row r="397" spans="1:22" x14ac:dyDescent="0.25">
      <c r="A397" s="166"/>
      <c r="B397" s="167"/>
      <c r="C397" s="168"/>
      <c r="D397" s="169"/>
      <c r="E397" s="169"/>
      <c r="F397" s="169"/>
      <c r="G397" s="169"/>
      <c r="H397" s="169"/>
      <c r="I397" s="169"/>
      <c r="J397" s="170"/>
      <c r="K397" s="170"/>
      <c r="L397" s="169"/>
      <c r="M397" s="169"/>
      <c r="N397" s="169"/>
      <c r="O397" s="170"/>
      <c r="P397" s="170"/>
      <c r="Q397" s="169"/>
      <c r="R397" s="170"/>
      <c r="S397" s="170"/>
      <c r="T397" s="15"/>
      <c r="U397" s="15"/>
      <c r="V397" s="15"/>
    </row>
    <row r="398" spans="1:22" x14ac:dyDescent="0.25">
      <c r="A398" s="166"/>
      <c r="B398" s="207"/>
      <c r="C398" s="208"/>
      <c r="D398" s="209"/>
      <c r="E398" s="209"/>
      <c r="F398" s="209"/>
      <c r="G398" s="209"/>
      <c r="H398" s="209"/>
      <c r="I398" s="209"/>
      <c r="J398" s="210"/>
      <c r="K398" s="210"/>
      <c r="L398" s="209"/>
      <c r="M398" s="209"/>
      <c r="N398" s="209"/>
      <c r="O398" s="210"/>
      <c r="P398" s="210"/>
      <c r="Q398" s="209"/>
      <c r="R398" s="210"/>
      <c r="S398" s="210"/>
      <c r="T398" s="15"/>
      <c r="U398" s="15"/>
      <c r="V398" s="15"/>
    </row>
    <row r="399" spans="1:22" x14ac:dyDescent="0.25">
      <c r="A399" s="166"/>
      <c r="B399" s="268"/>
      <c r="C399" s="524"/>
      <c r="D399" s="525"/>
      <c r="E399" s="525"/>
      <c r="F399" s="525"/>
      <c r="G399" s="525"/>
      <c r="H399" s="525"/>
      <c r="I399" s="525"/>
      <c r="J399" s="536"/>
      <c r="K399" s="536"/>
      <c r="L399" s="525"/>
      <c r="M399" s="525"/>
      <c r="N399" s="525"/>
      <c r="O399" s="536"/>
      <c r="P399" s="165"/>
      <c r="Q399" s="525"/>
      <c r="R399" s="536"/>
      <c r="S399" s="536"/>
      <c r="T399" s="15"/>
      <c r="U399" s="15"/>
      <c r="V399" s="15"/>
    </row>
    <row r="400" spans="1:22" x14ac:dyDescent="0.25">
      <c r="A400" s="166"/>
      <c r="B400" s="167"/>
      <c r="C400" s="168"/>
      <c r="D400" s="169"/>
      <c r="E400" s="169"/>
      <c r="F400" s="169"/>
      <c r="G400" s="169"/>
      <c r="H400" s="169"/>
      <c r="I400" s="169"/>
      <c r="J400" s="170"/>
      <c r="K400" s="170"/>
      <c r="L400" s="169"/>
      <c r="M400" s="169"/>
      <c r="N400" s="169"/>
      <c r="O400" s="170"/>
      <c r="P400" s="170"/>
      <c r="Q400" s="169"/>
      <c r="R400" s="170"/>
      <c r="S400" s="170"/>
      <c r="T400" s="15"/>
      <c r="U400" s="15"/>
      <c r="V400" s="15"/>
    </row>
    <row r="401" spans="1:22" ht="15.75" thickBot="1" x14ac:dyDescent="0.3">
      <c r="A401" s="540"/>
      <c r="B401" s="541"/>
      <c r="C401" s="542"/>
      <c r="D401" s="543"/>
      <c r="E401" s="543"/>
      <c r="F401" s="543"/>
      <c r="G401" s="543"/>
      <c r="H401" s="543"/>
      <c r="I401" s="543"/>
      <c r="J401" s="544"/>
      <c r="K401" s="544"/>
      <c r="L401" s="543"/>
      <c r="M401" s="543"/>
      <c r="N401" s="543"/>
      <c r="O401" s="544"/>
      <c r="P401" s="544"/>
      <c r="Q401" s="543"/>
      <c r="R401" s="544"/>
      <c r="S401" s="544"/>
      <c r="T401" s="15"/>
      <c r="U401" s="15"/>
      <c r="V401" s="15"/>
    </row>
    <row r="402" spans="1:22" x14ac:dyDescent="0.25">
      <c r="A402" s="523"/>
      <c r="B402" s="268"/>
      <c r="C402" s="524"/>
      <c r="D402" s="525"/>
      <c r="E402" s="525"/>
      <c r="F402" s="525"/>
      <c r="G402" s="525"/>
      <c r="H402" s="525"/>
      <c r="I402" s="525"/>
      <c r="J402" s="536"/>
      <c r="K402" s="536"/>
      <c r="L402" s="525"/>
      <c r="M402" s="525"/>
      <c r="N402" s="525"/>
      <c r="O402" s="536"/>
      <c r="P402" s="165"/>
      <c r="Q402" s="525"/>
      <c r="R402" s="536"/>
      <c r="S402" s="536"/>
      <c r="T402" s="15"/>
      <c r="U402" s="15"/>
      <c r="V402" s="15"/>
    </row>
    <row r="403" spans="1:22" x14ac:dyDescent="0.25">
      <c r="A403" s="166"/>
      <c r="B403" s="167"/>
      <c r="C403" s="168"/>
      <c r="D403" s="169"/>
      <c r="E403" s="169"/>
      <c r="F403" s="169"/>
      <c r="G403" s="169"/>
      <c r="H403" s="169"/>
      <c r="I403" s="169"/>
      <c r="J403" s="170"/>
      <c r="K403" s="170"/>
      <c r="L403" s="169"/>
      <c r="M403" s="169"/>
      <c r="N403" s="169"/>
      <c r="O403" s="170"/>
      <c r="P403" s="170"/>
      <c r="Q403" s="169"/>
      <c r="R403" s="170"/>
      <c r="S403" s="170"/>
      <c r="T403" s="15"/>
      <c r="U403" s="15"/>
      <c r="V403" s="15"/>
    </row>
    <row r="404" spans="1:22" x14ac:dyDescent="0.25">
      <c r="A404" s="166"/>
      <c r="B404" s="207"/>
      <c r="C404" s="208"/>
      <c r="D404" s="209"/>
      <c r="E404" s="209"/>
      <c r="F404" s="209"/>
      <c r="G404" s="209"/>
      <c r="H404" s="209"/>
      <c r="I404" s="209"/>
      <c r="J404" s="210"/>
      <c r="K404" s="210"/>
      <c r="L404" s="209"/>
      <c r="M404" s="209"/>
      <c r="N404" s="209"/>
      <c r="O404" s="210"/>
      <c r="P404" s="210"/>
      <c r="Q404" s="209"/>
      <c r="R404" s="210"/>
      <c r="S404" s="210"/>
      <c r="T404" s="15"/>
      <c r="U404" s="15"/>
      <c r="V404" s="15"/>
    </row>
    <row r="405" spans="1:22" x14ac:dyDescent="0.25">
      <c r="A405" s="166"/>
      <c r="B405" s="268"/>
      <c r="C405" s="524"/>
      <c r="D405" s="525"/>
      <c r="E405" s="525"/>
      <c r="F405" s="525"/>
      <c r="G405" s="525"/>
      <c r="H405" s="525"/>
      <c r="I405" s="525"/>
      <c r="J405" s="536"/>
      <c r="K405" s="536"/>
      <c r="L405" s="525"/>
      <c r="M405" s="525"/>
      <c r="N405" s="525"/>
      <c r="O405" s="536"/>
      <c r="P405" s="165"/>
      <c r="Q405" s="525"/>
      <c r="R405" s="536"/>
      <c r="S405" s="536"/>
      <c r="T405" s="15"/>
      <c r="U405" s="15"/>
      <c r="V405" s="15"/>
    </row>
    <row r="406" spans="1:22" x14ac:dyDescent="0.25">
      <c r="A406" s="166"/>
      <c r="B406" s="167"/>
      <c r="C406" s="168"/>
      <c r="D406" s="169"/>
      <c r="E406" s="169"/>
      <c r="F406" s="169"/>
      <c r="G406" s="169"/>
      <c r="H406" s="169"/>
      <c r="I406" s="169"/>
      <c r="J406" s="170"/>
      <c r="K406" s="170"/>
      <c r="L406" s="169"/>
      <c r="M406" s="169"/>
      <c r="N406" s="169"/>
      <c r="O406" s="170"/>
      <c r="P406" s="170"/>
      <c r="Q406" s="169"/>
      <c r="R406" s="170"/>
      <c r="S406" s="170"/>
      <c r="T406" s="15"/>
      <c r="U406" s="15"/>
      <c r="V406" s="15"/>
    </row>
    <row r="407" spans="1:22" x14ac:dyDescent="0.25">
      <c r="A407" s="166"/>
      <c r="B407" s="207"/>
      <c r="C407" s="208"/>
      <c r="D407" s="209"/>
      <c r="E407" s="209"/>
      <c r="F407" s="209"/>
      <c r="G407" s="209"/>
      <c r="H407" s="209"/>
      <c r="I407" s="209"/>
      <c r="J407" s="210"/>
      <c r="K407" s="210"/>
      <c r="L407" s="209"/>
      <c r="M407" s="209"/>
      <c r="N407" s="209"/>
      <c r="O407" s="210"/>
      <c r="P407" s="210"/>
      <c r="Q407" s="209"/>
      <c r="R407" s="210"/>
      <c r="S407" s="210"/>
      <c r="T407" s="15"/>
      <c r="U407" s="15"/>
      <c r="V407" s="15"/>
    </row>
    <row r="408" spans="1:22" x14ac:dyDescent="0.25">
      <c r="A408" s="166"/>
      <c r="B408" s="268"/>
      <c r="C408" s="524"/>
      <c r="D408" s="525"/>
      <c r="E408" s="525"/>
      <c r="F408" s="525"/>
      <c r="G408" s="525"/>
      <c r="H408" s="525"/>
      <c r="I408" s="525"/>
      <c r="J408" s="536"/>
      <c r="K408" s="536"/>
      <c r="L408" s="525"/>
      <c r="M408" s="525"/>
      <c r="N408" s="525"/>
      <c r="O408" s="536"/>
      <c r="P408" s="165"/>
      <c r="Q408" s="525"/>
      <c r="R408" s="536"/>
      <c r="S408" s="536"/>
      <c r="T408" s="15"/>
      <c r="U408" s="15"/>
      <c r="V408" s="15"/>
    </row>
    <row r="409" spans="1:22" x14ac:dyDescent="0.25">
      <c r="A409" s="166"/>
      <c r="B409" s="167"/>
      <c r="C409" s="168"/>
      <c r="D409" s="169"/>
      <c r="E409" s="169"/>
      <c r="F409" s="169"/>
      <c r="G409" s="169"/>
      <c r="H409" s="169"/>
      <c r="I409" s="169"/>
      <c r="J409" s="170"/>
      <c r="K409" s="170"/>
      <c r="L409" s="169"/>
      <c r="M409" s="169"/>
      <c r="N409" s="169"/>
      <c r="O409" s="170"/>
      <c r="P409" s="170"/>
      <c r="Q409" s="169"/>
      <c r="R409" s="170"/>
      <c r="S409" s="170"/>
      <c r="T409" s="15"/>
      <c r="U409" s="15"/>
      <c r="V409" s="15"/>
    </row>
    <row r="410" spans="1:22" x14ac:dyDescent="0.25">
      <c r="A410" s="166"/>
      <c r="B410" s="207"/>
      <c r="C410" s="208"/>
      <c r="D410" s="209"/>
      <c r="E410" s="209"/>
      <c r="F410" s="209"/>
      <c r="G410" s="209"/>
      <c r="H410" s="209"/>
      <c r="I410" s="209"/>
      <c r="J410" s="210"/>
      <c r="K410" s="210"/>
      <c r="L410" s="209"/>
      <c r="M410" s="209"/>
      <c r="N410" s="209"/>
      <c r="O410" s="210"/>
      <c r="P410" s="210"/>
      <c r="Q410" s="209"/>
      <c r="R410" s="210"/>
      <c r="S410" s="210"/>
      <c r="T410" s="15"/>
      <c r="U410" s="15"/>
      <c r="V410" s="15"/>
    </row>
    <row r="411" spans="1:22" x14ac:dyDescent="0.25">
      <c r="A411" s="166"/>
      <c r="B411" s="268"/>
      <c r="C411" s="524"/>
      <c r="D411" s="525"/>
      <c r="E411" s="525"/>
      <c r="F411" s="525"/>
      <c r="G411" s="525"/>
      <c r="H411" s="525"/>
      <c r="I411" s="525"/>
      <c r="J411" s="536"/>
      <c r="K411" s="536"/>
      <c r="L411" s="525"/>
      <c r="M411" s="525"/>
      <c r="N411" s="525"/>
      <c r="O411" s="536"/>
      <c r="P411" s="165"/>
      <c r="Q411" s="525"/>
      <c r="R411" s="536"/>
      <c r="S411" s="536"/>
      <c r="T411" s="15"/>
      <c r="U411" s="15"/>
      <c r="V411" s="15"/>
    </row>
    <row r="412" spans="1:22" x14ac:dyDescent="0.25">
      <c r="A412" s="166"/>
      <c r="B412" s="167"/>
      <c r="C412" s="168"/>
      <c r="D412" s="169"/>
      <c r="E412" s="169"/>
      <c r="F412" s="169"/>
      <c r="G412" s="169"/>
      <c r="H412" s="169"/>
      <c r="I412" s="169"/>
      <c r="J412" s="170"/>
      <c r="K412" s="170"/>
      <c r="L412" s="169"/>
      <c r="M412" s="169"/>
      <c r="N412" s="169"/>
      <c r="O412" s="170"/>
      <c r="P412" s="170"/>
      <c r="Q412" s="169"/>
      <c r="R412" s="170"/>
      <c r="S412" s="170"/>
      <c r="T412" s="15"/>
      <c r="U412" s="15"/>
      <c r="V412" s="15"/>
    </row>
    <row r="413" spans="1:22" x14ac:dyDescent="0.25">
      <c r="A413" s="166"/>
      <c r="B413" s="207"/>
      <c r="C413" s="208"/>
      <c r="D413" s="209"/>
      <c r="E413" s="209"/>
      <c r="F413" s="209"/>
      <c r="G413" s="209"/>
      <c r="H413" s="209"/>
      <c r="I413" s="209"/>
      <c r="J413" s="210"/>
      <c r="K413" s="210"/>
      <c r="L413" s="209"/>
      <c r="M413" s="209"/>
      <c r="N413" s="209"/>
      <c r="O413" s="210"/>
      <c r="P413" s="210"/>
      <c r="Q413" s="209"/>
      <c r="R413" s="210"/>
      <c r="S413" s="210"/>
      <c r="T413" s="15"/>
      <c r="U413" s="15"/>
      <c r="V413" s="15"/>
    </row>
    <row r="414" spans="1:22" x14ac:dyDescent="0.25">
      <c r="A414" s="166"/>
      <c r="B414" s="268"/>
      <c r="C414" s="524"/>
      <c r="D414" s="525"/>
      <c r="E414" s="525"/>
      <c r="F414" s="525"/>
      <c r="G414" s="525"/>
      <c r="H414" s="525"/>
      <c r="I414" s="525"/>
      <c r="J414" s="536"/>
      <c r="K414" s="536"/>
      <c r="L414" s="525"/>
      <c r="M414" s="525"/>
      <c r="N414" s="525"/>
      <c r="O414" s="536"/>
      <c r="P414" s="165"/>
      <c r="Q414" s="525"/>
      <c r="R414" s="536"/>
      <c r="S414" s="536"/>
      <c r="T414" s="15"/>
      <c r="U414" s="15"/>
      <c r="V414" s="15"/>
    </row>
    <row r="415" spans="1:22" x14ac:dyDescent="0.25">
      <c r="A415" s="166"/>
      <c r="B415" s="167"/>
      <c r="C415" s="168"/>
      <c r="D415" s="169"/>
      <c r="E415" s="169"/>
      <c r="F415" s="169"/>
      <c r="G415" s="169"/>
      <c r="H415" s="169"/>
      <c r="I415" s="169"/>
      <c r="J415" s="170"/>
      <c r="K415" s="170"/>
      <c r="L415" s="169"/>
      <c r="M415" s="169"/>
      <c r="N415" s="169"/>
      <c r="O415" s="170"/>
      <c r="P415" s="170"/>
      <c r="Q415" s="169"/>
      <c r="R415" s="170"/>
      <c r="S415" s="170"/>
      <c r="T415" s="15"/>
      <c r="U415" s="15"/>
      <c r="V415" s="15"/>
    </row>
    <row r="416" spans="1:22" x14ac:dyDescent="0.25">
      <c r="A416" s="166"/>
      <c r="B416" s="207"/>
      <c r="C416" s="208"/>
      <c r="D416" s="209"/>
      <c r="E416" s="209"/>
      <c r="F416" s="209"/>
      <c r="G416" s="209"/>
      <c r="H416" s="209"/>
      <c r="I416" s="209"/>
      <c r="J416" s="210"/>
      <c r="K416" s="210"/>
      <c r="L416" s="209"/>
      <c r="M416" s="209"/>
      <c r="N416" s="209"/>
      <c r="O416" s="210"/>
      <c r="P416" s="210"/>
      <c r="Q416" s="209"/>
      <c r="R416" s="210"/>
      <c r="S416" s="210"/>
      <c r="T416" s="15"/>
      <c r="U416" s="15"/>
      <c r="V416" s="15"/>
    </row>
    <row r="417" spans="1:22" x14ac:dyDescent="0.25">
      <c r="A417" s="166"/>
      <c r="B417" s="268"/>
      <c r="C417" s="524"/>
      <c r="D417" s="525"/>
      <c r="E417" s="525"/>
      <c r="F417" s="525"/>
      <c r="G417" s="525"/>
      <c r="H417" s="525"/>
      <c r="I417" s="525"/>
      <c r="J417" s="536"/>
      <c r="K417" s="536"/>
      <c r="L417" s="525"/>
      <c r="M417" s="525"/>
      <c r="N417" s="525"/>
      <c r="O417" s="536"/>
      <c r="P417" s="165"/>
      <c r="Q417" s="525"/>
      <c r="R417" s="536"/>
      <c r="S417" s="536"/>
      <c r="T417" s="15"/>
      <c r="U417" s="15"/>
      <c r="V417" s="15"/>
    </row>
    <row r="418" spans="1:22" x14ac:dyDescent="0.25">
      <c r="A418" s="166"/>
      <c r="B418" s="167"/>
      <c r="C418" s="168"/>
      <c r="D418" s="169"/>
      <c r="E418" s="169"/>
      <c r="F418" s="169"/>
      <c r="G418" s="169"/>
      <c r="H418" s="169"/>
      <c r="I418" s="169"/>
      <c r="J418" s="170"/>
      <c r="K418" s="170"/>
      <c r="L418" s="169"/>
      <c r="M418" s="169"/>
      <c r="N418" s="169"/>
      <c r="O418" s="170"/>
      <c r="P418" s="170"/>
      <c r="Q418" s="169"/>
      <c r="R418" s="170"/>
      <c r="S418" s="170"/>
      <c r="T418" s="15"/>
      <c r="U418" s="15"/>
      <c r="V418" s="15"/>
    </row>
    <row r="419" spans="1:22" ht="15.75" thickBot="1" x14ac:dyDescent="0.3">
      <c r="A419" s="166"/>
      <c r="B419" s="531"/>
      <c r="C419" s="532"/>
      <c r="D419" s="533"/>
      <c r="E419" s="533"/>
      <c r="F419" s="533"/>
      <c r="G419" s="533"/>
      <c r="H419" s="533"/>
      <c r="I419" s="533"/>
      <c r="J419" s="537"/>
      <c r="K419" s="537"/>
      <c r="L419" s="533"/>
      <c r="M419" s="533"/>
      <c r="N419" s="533"/>
      <c r="O419" s="537"/>
      <c r="P419" s="537"/>
      <c r="Q419" s="533"/>
      <c r="R419" s="537"/>
      <c r="S419" s="537"/>
      <c r="T419" s="15"/>
      <c r="U419" s="15"/>
      <c r="V419" s="15"/>
    </row>
    <row r="420" spans="1:22" ht="15.75" thickTop="1" x14ac:dyDescent="0.25">
      <c r="A420" s="166"/>
      <c r="B420" s="167"/>
      <c r="C420" s="168"/>
      <c r="D420" s="169"/>
      <c r="E420" s="169"/>
      <c r="F420" s="169"/>
      <c r="G420" s="169"/>
      <c r="H420" s="169"/>
      <c r="I420" s="169"/>
      <c r="J420" s="170"/>
      <c r="K420" s="170"/>
      <c r="L420" s="169"/>
      <c r="M420" s="169"/>
      <c r="N420" s="169"/>
      <c r="O420" s="170"/>
      <c r="P420" s="170"/>
      <c r="Q420" s="169"/>
      <c r="R420" s="170"/>
      <c r="S420" s="170"/>
      <c r="T420" s="15"/>
      <c r="U420" s="15"/>
      <c r="V420" s="15"/>
    </row>
    <row r="421" spans="1:22" x14ac:dyDescent="0.25">
      <c r="A421" s="166"/>
      <c r="B421" s="167"/>
      <c r="C421" s="168"/>
      <c r="D421" s="169"/>
      <c r="E421" s="169"/>
      <c r="F421" s="169"/>
      <c r="G421" s="169"/>
      <c r="H421" s="169"/>
      <c r="I421" s="169"/>
      <c r="J421" s="170"/>
      <c r="K421" s="170"/>
      <c r="L421" s="169"/>
      <c r="M421" s="169"/>
      <c r="N421" s="169"/>
      <c r="O421" s="170"/>
      <c r="P421" s="170"/>
      <c r="Q421" s="169"/>
      <c r="R421" s="170"/>
      <c r="S421" s="170"/>
      <c r="T421" s="15"/>
      <c r="U421" s="15"/>
      <c r="V421" s="15"/>
    </row>
    <row r="422" spans="1:22" x14ac:dyDescent="0.25">
      <c r="A422" s="166"/>
      <c r="B422" s="207"/>
      <c r="C422" s="208"/>
      <c r="D422" s="209"/>
      <c r="E422" s="209"/>
      <c r="F422" s="209"/>
      <c r="G422" s="209"/>
      <c r="H422" s="209"/>
      <c r="I422" s="209"/>
      <c r="J422" s="210"/>
      <c r="K422" s="210"/>
      <c r="L422" s="209"/>
      <c r="M422" s="209"/>
      <c r="N422" s="209"/>
      <c r="O422" s="210"/>
      <c r="P422" s="210"/>
      <c r="Q422" s="209"/>
      <c r="R422" s="210"/>
      <c r="S422" s="210"/>
      <c r="T422" s="15"/>
      <c r="U422" s="15"/>
      <c r="V422" s="15"/>
    </row>
    <row r="423" spans="1:22" x14ac:dyDescent="0.25">
      <c r="A423" s="166"/>
      <c r="B423" s="268"/>
      <c r="C423" s="524"/>
      <c r="D423" s="525"/>
      <c r="E423" s="525"/>
      <c r="F423" s="525"/>
      <c r="G423" s="525"/>
      <c r="H423" s="525"/>
      <c r="I423" s="525"/>
      <c r="J423" s="536"/>
      <c r="K423" s="536"/>
      <c r="L423" s="525"/>
      <c r="M423" s="525"/>
      <c r="N423" s="525"/>
      <c r="O423" s="536"/>
      <c r="P423" s="165"/>
      <c r="Q423" s="525"/>
      <c r="R423" s="536"/>
      <c r="S423" s="536"/>
      <c r="T423" s="15"/>
      <c r="U423" s="15"/>
      <c r="V423" s="15"/>
    </row>
    <row r="424" spans="1:22" x14ac:dyDescent="0.25">
      <c r="A424" s="166"/>
      <c r="B424" s="167"/>
      <c r="C424" s="168"/>
      <c r="D424" s="169"/>
      <c r="E424" s="169"/>
      <c r="F424" s="169"/>
      <c r="G424" s="169"/>
      <c r="H424" s="169"/>
      <c r="I424" s="169"/>
      <c r="J424" s="170"/>
      <c r="K424" s="170"/>
      <c r="L424" s="169"/>
      <c r="M424" s="169"/>
      <c r="N424" s="169"/>
      <c r="O424" s="170"/>
      <c r="P424" s="170"/>
      <c r="Q424" s="169"/>
      <c r="R424" s="170"/>
      <c r="S424" s="170"/>
      <c r="T424" s="15"/>
      <c r="U424" s="15"/>
      <c r="V424" s="15"/>
    </row>
    <row r="425" spans="1:22" x14ac:dyDescent="0.25">
      <c r="A425" s="166"/>
      <c r="B425" s="207"/>
      <c r="C425" s="208"/>
      <c r="D425" s="209"/>
      <c r="E425" s="209"/>
      <c r="F425" s="209"/>
      <c r="G425" s="209"/>
      <c r="H425" s="530"/>
      <c r="I425" s="209"/>
      <c r="J425" s="210"/>
      <c r="K425" s="210"/>
      <c r="L425" s="209"/>
      <c r="M425" s="209"/>
      <c r="N425" s="209"/>
      <c r="O425" s="210"/>
      <c r="P425" s="210"/>
      <c r="Q425" s="209"/>
      <c r="R425" s="210"/>
      <c r="S425" s="210"/>
      <c r="T425" s="15"/>
      <c r="U425" s="15"/>
      <c r="V425" s="15"/>
    </row>
    <row r="426" spans="1:22" x14ac:dyDescent="0.25">
      <c r="A426" s="166"/>
      <c r="B426" s="268"/>
      <c r="C426" s="524"/>
      <c r="D426" s="525"/>
      <c r="E426" s="525"/>
      <c r="F426" s="525"/>
      <c r="G426" s="525"/>
      <c r="H426" s="525"/>
      <c r="I426" s="525"/>
      <c r="J426" s="536"/>
      <c r="K426" s="536"/>
      <c r="L426" s="525"/>
      <c r="M426" s="525"/>
      <c r="N426" s="525"/>
      <c r="O426" s="536"/>
      <c r="P426" s="165"/>
      <c r="Q426" s="525"/>
      <c r="R426" s="536"/>
      <c r="S426" s="536"/>
      <c r="T426" s="15"/>
      <c r="U426" s="15"/>
      <c r="V426" s="15"/>
    </row>
    <row r="427" spans="1:22" x14ac:dyDescent="0.25">
      <c r="A427" s="166"/>
      <c r="B427" s="167"/>
      <c r="C427" s="168"/>
      <c r="D427" s="169"/>
      <c r="E427" s="169"/>
      <c r="F427" s="169"/>
      <c r="G427" s="169"/>
      <c r="H427" s="169"/>
      <c r="I427" s="169"/>
      <c r="J427" s="170"/>
      <c r="K427" s="170"/>
      <c r="L427" s="169"/>
      <c r="M427" s="169"/>
      <c r="N427" s="169"/>
      <c r="O427" s="170"/>
      <c r="P427" s="170"/>
      <c r="Q427" s="169"/>
      <c r="R427" s="170"/>
      <c r="S427" s="170"/>
      <c r="T427" s="15"/>
      <c r="U427" s="15"/>
      <c r="V427" s="15"/>
    </row>
    <row r="428" spans="1:22" x14ac:dyDescent="0.25">
      <c r="A428" s="166"/>
      <c r="B428" s="207"/>
      <c r="C428" s="208"/>
      <c r="D428" s="209"/>
      <c r="E428" s="209"/>
      <c r="F428" s="209"/>
      <c r="G428" s="209"/>
      <c r="H428" s="530"/>
      <c r="I428" s="209"/>
      <c r="J428" s="210"/>
      <c r="K428" s="210"/>
      <c r="L428" s="209"/>
      <c r="M428" s="209"/>
      <c r="N428" s="209"/>
      <c r="O428" s="210"/>
      <c r="P428" s="210"/>
      <c r="Q428" s="209"/>
      <c r="R428" s="210"/>
      <c r="S428" s="210"/>
      <c r="T428" s="15"/>
      <c r="U428" s="15"/>
      <c r="V428" s="15"/>
    </row>
    <row r="429" spans="1:22" x14ac:dyDescent="0.25">
      <c r="A429" s="166"/>
      <c r="B429" s="268"/>
      <c r="C429" s="524"/>
      <c r="D429" s="525"/>
      <c r="E429" s="525"/>
      <c r="F429" s="525"/>
      <c r="G429" s="525"/>
      <c r="H429" s="525"/>
      <c r="I429" s="525"/>
      <c r="J429" s="536"/>
      <c r="K429" s="536"/>
      <c r="L429" s="525"/>
      <c r="M429" s="525"/>
      <c r="N429" s="525"/>
      <c r="O429" s="536"/>
      <c r="P429" s="165"/>
      <c r="Q429" s="525"/>
      <c r="R429" s="536"/>
      <c r="S429" s="536"/>
      <c r="T429" s="15"/>
      <c r="U429" s="15"/>
      <c r="V429" s="15"/>
    </row>
    <row r="430" spans="1:22" x14ac:dyDescent="0.25">
      <c r="A430" s="166"/>
      <c r="B430" s="167"/>
      <c r="C430" s="168"/>
      <c r="D430" s="169"/>
      <c r="E430" s="169"/>
      <c r="F430" s="169"/>
      <c r="G430" s="169"/>
      <c r="H430" s="169"/>
      <c r="I430" s="169"/>
      <c r="J430" s="170"/>
      <c r="K430" s="170"/>
      <c r="L430" s="169"/>
      <c r="M430" s="169"/>
      <c r="N430" s="169"/>
      <c r="O430" s="170"/>
      <c r="P430" s="170"/>
      <c r="Q430" s="169"/>
      <c r="R430" s="170"/>
      <c r="S430" s="170"/>
      <c r="T430" s="15"/>
      <c r="U430" s="15"/>
      <c r="V430" s="15"/>
    </row>
    <row r="431" spans="1:22" x14ac:dyDescent="0.25">
      <c r="A431" s="166"/>
      <c r="B431" s="207"/>
      <c r="C431" s="208"/>
      <c r="D431" s="209"/>
      <c r="E431" s="209"/>
      <c r="F431" s="209"/>
      <c r="G431" s="209"/>
      <c r="H431" s="209"/>
      <c r="I431" s="209"/>
      <c r="J431" s="210"/>
      <c r="K431" s="210"/>
      <c r="L431" s="209"/>
      <c r="M431" s="209"/>
      <c r="N431" s="209"/>
      <c r="O431" s="210"/>
      <c r="P431" s="210"/>
      <c r="Q431" s="209"/>
      <c r="R431" s="210"/>
      <c r="S431" s="210"/>
      <c r="T431" s="15"/>
      <c r="U431" s="15"/>
      <c r="V431" s="15"/>
    </row>
    <row r="432" spans="1:22" x14ac:dyDescent="0.25">
      <c r="A432" s="166"/>
      <c r="B432" s="268"/>
      <c r="C432" s="524"/>
      <c r="D432" s="525"/>
      <c r="E432" s="525"/>
      <c r="F432" s="525"/>
      <c r="G432" s="525"/>
      <c r="H432" s="525"/>
      <c r="I432" s="525"/>
      <c r="J432" s="536"/>
      <c r="K432" s="536"/>
      <c r="L432" s="525"/>
      <c r="M432" s="525"/>
      <c r="N432" s="525"/>
      <c r="O432" s="536"/>
      <c r="P432" s="165"/>
      <c r="Q432" s="525"/>
      <c r="R432" s="536"/>
      <c r="S432" s="536"/>
      <c r="T432" s="15"/>
      <c r="U432" s="15"/>
      <c r="V432" s="15"/>
    </row>
    <row r="433" spans="1:22" x14ac:dyDescent="0.25">
      <c r="A433" s="166"/>
      <c r="B433" s="167"/>
      <c r="C433" s="168"/>
      <c r="D433" s="169"/>
      <c r="E433" s="169"/>
      <c r="F433" s="169"/>
      <c r="G433" s="169"/>
      <c r="H433" s="169"/>
      <c r="I433" s="169"/>
      <c r="J433" s="170"/>
      <c r="K433" s="170"/>
      <c r="L433" s="169"/>
      <c r="M433" s="169"/>
      <c r="N433" s="169"/>
      <c r="O433" s="170"/>
      <c r="P433" s="170"/>
      <c r="Q433" s="169"/>
      <c r="R433" s="170"/>
      <c r="S433" s="170"/>
      <c r="T433" s="15"/>
      <c r="U433" s="15"/>
      <c r="V433" s="15"/>
    </row>
    <row r="434" spans="1:22" x14ac:dyDescent="0.25">
      <c r="A434" s="166"/>
      <c r="B434" s="207"/>
      <c r="C434" s="208"/>
      <c r="D434" s="209"/>
      <c r="E434" s="209"/>
      <c r="F434" s="209"/>
      <c r="G434" s="209"/>
      <c r="H434" s="209"/>
      <c r="I434" s="209"/>
      <c r="J434" s="210"/>
      <c r="K434" s="210"/>
      <c r="L434" s="209"/>
      <c r="M434" s="209"/>
      <c r="N434" s="209"/>
      <c r="O434" s="210"/>
      <c r="P434" s="210"/>
      <c r="Q434" s="209"/>
      <c r="R434" s="210"/>
      <c r="S434" s="210"/>
      <c r="T434" s="15"/>
      <c r="U434" s="15"/>
      <c r="V434" s="15"/>
    </row>
    <row r="435" spans="1:22" x14ac:dyDescent="0.25">
      <c r="A435" s="166"/>
      <c r="B435" s="268"/>
      <c r="C435" s="524"/>
      <c r="D435" s="525"/>
      <c r="E435" s="525"/>
      <c r="F435" s="525"/>
      <c r="G435" s="525"/>
      <c r="H435" s="525"/>
      <c r="I435" s="525"/>
      <c r="J435" s="536"/>
      <c r="K435" s="536"/>
      <c r="L435" s="525"/>
      <c r="M435" s="525"/>
      <c r="N435" s="525"/>
      <c r="O435" s="536"/>
      <c r="P435" s="165"/>
      <c r="Q435" s="525"/>
      <c r="R435" s="536"/>
      <c r="S435" s="536"/>
      <c r="T435" s="15"/>
      <c r="U435" s="15"/>
      <c r="V435" s="15"/>
    </row>
    <row r="436" spans="1:22" x14ac:dyDescent="0.25">
      <c r="A436" s="166"/>
      <c r="B436" s="167"/>
      <c r="C436" s="168"/>
      <c r="D436" s="169"/>
      <c r="E436" s="169"/>
      <c r="F436" s="169"/>
      <c r="G436" s="169"/>
      <c r="H436" s="169"/>
      <c r="I436" s="169"/>
      <c r="J436" s="170"/>
      <c r="K436" s="170"/>
      <c r="L436" s="169"/>
      <c r="M436" s="169"/>
      <c r="N436" s="169"/>
      <c r="O436" s="170"/>
      <c r="P436" s="170"/>
      <c r="Q436" s="169"/>
      <c r="R436" s="170"/>
      <c r="S436" s="170"/>
      <c r="T436" s="15"/>
      <c r="U436" s="15"/>
      <c r="V436" s="15"/>
    </row>
    <row r="437" spans="1:22" ht="15.75" thickBot="1" x14ac:dyDescent="0.3">
      <c r="A437" s="540"/>
      <c r="B437" s="541"/>
      <c r="C437" s="542"/>
      <c r="D437" s="543"/>
      <c r="E437" s="543"/>
      <c r="F437" s="543"/>
      <c r="G437" s="543"/>
      <c r="H437" s="543"/>
      <c r="I437" s="543"/>
      <c r="J437" s="544"/>
      <c r="K437" s="544"/>
      <c r="L437" s="543"/>
      <c r="M437" s="543"/>
      <c r="N437" s="543"/>
      <c r="O437" s="544"/>
      <c r="P437" s="544"/>
      <c r="Q437" s="543"/>
      <c r="R437" s="544"/>
      <c r="S437" s="544"/>
      <c r="T437" s="15"/>
      <c r="U437" s="15"/>
      <c r="V437" s="15"/>
    </row>
    <row r="438" spans="1:22" x14ac:dyDescent="0.25">
      <c r="A438" s="523"/>
      <c r="B438" s="268"/>
      <c r="C438" s="524"/>
      <c r="D438" s="525"/>
      <c r="E438" s="525"/>
      <c r="F438" s="525"/>
      <c r="G438" s="525"/>
      <c r="H438" s="525"/>
      <c r="I438" s="525"/>
      <c r="J438" s="536"/>
      <c r="K438" s="536"/>
      <c r="L438" s="525"/>
      <c r="M438" s="525"/>
      <c r="N438" s="525"/>
      <c r="O438" s="536"/>
      <c r="P438" s="165"/>
      <c r="Q438" s="525"/>
      <c r="R438" s="536"/>
      <c r="S438" s="536"/>
      <c r="T438" s="15"/>
      <c r="U438" s="15"/>
      <c r="V438" s="15"/>
    </row>
    <row r="439" spans="1:22" x14ac:dyDescent="0.25">
      <c r="A439" s="166"/>
      <c r="B439" s="167"/>
      <c r="C439" s="168"/>
      <c r="D439" s="169"/>
      <c r="E439" s="169"/>
      <c r="F439" s="169"/>
      <c r="G439" s="169"/>
      <c r="H439" s="169"/>
      <c r="I439" s="169"/>
      <c r="J439" s="170"/>
      <c r="K439" s="170"/>
      <c r="L439" s="169"/>
      <c r="M439" s="169"/>
      <c r="N439" s="169"/>
      <c r="O439" s="170"/>
      <c r="P439" s="170"/>
      <c r="Q439" s="169"/>
      <c r="R439" s="170"/>
      <c r="S439" s="170"/>
      <c r="T439" s="15"/>
      <c r="U439" s="15"/>
      <c r="V439" s="15"/>
    </row>
    <row r="440" spans="1:22" x14ac:dyDescent="0.25">
      <c r="A440" s="166"/>
      <c r="B440" s="207"/>
      <c r="C440" s="208"/>
      <c r="D440" s="209"/>
      <c r="E440" s="209"/>
      <c r="F440" s="209"/>
      <c r="G440" s="209"/>
      <c r="H440" s="209"/>
      <c r="I440" s="209"/>
      <c r="J440" s="210"/>
      <c r="K440" s="210"/>
      <c r="L440" s="209"/>
      <c r="M440" s="209"/>
      <c r="N440" s="209"/>
      <c r="O440" s="210"/>
      <c r="P440" s="210"/>
      <c r="Q440" s="209"/>
      <c r="R440" s="210"/>
      <c r="S440" s="210"/>
      <c r="T440" s="15"/>
      <c r="U440" s="15"/>
      <c r="V440" s="15"/>
    </row>
    <row r="441" spans="1:22" x14ac:dyDescent="0.25">
      <c r="A441" s="166"/>
      <c r="B441" s="268"/>
      <c r="C441" s="524"/>
      <c r="D441" s="525"/>
      <c r="E441" s="525"/>
      <c r="F441" s="525"/>
      <c r="G441" s="525"/>
      <c r="H441" s="525"/>
      <c r="I441" s="525"/>
      <c r="J441" s="536"/>
      <c r="K441" s="536"/>
      <c r="L441" s="525"/>
      <c r="M441" s="525"/>
      <c r="N441" s="525"/>
      <c r="O441" s="536"/>
      <c r="P441" s="165"/>
      <c r="Q441" s="525"/>
      <c r="R441" s="536"/>
      <c r="S441" s="536"/>
      <c r="T441" s="15"/>
      <c r="U441" s="15"/>
      <c r="V441" s="15"/>
    </row>
    <row r="442" spans="1:22" x14ac:dyDescent="0.25">
      <c r="A442" s="166"/>
      <c r="B442" s="167"/>
      <c r="C442" s="168"/>
      <c r="D442" s="169"/>
      <c r="E442" s="169"/>
      <c r="F442" s="169"/>
      <c r="G442" s="169"/>
      <c r="H442" s="169"/>
      <c r="I442" s="169"/>
      <c r="J442" s="170"/>
      <c r="K442" s="170"/>
      <c r="L442" s="169"/>
      <c r="M442" s="169"/>
      <c r="N442" s="169"/>
      <c r="O442" s="170"/>
      <c r="P442" s="170"/>
      <c r="Q442" s="169"/>
      <c r="R442" s="170"/>
      <c r="S442" s="170"/>
      <c r="T442" s="15"/>
      <c r="U442" s="15"/>
      <c r="V442" s="15"/>
    </row>
    <row r="443" spans="1:22" x14ac:dyDescent="0.25">
      <c r="A443" s="166"/>
      <c r="B443" s="207"/>
      <c r="C443" s="208"/>
      <c r="D443" s="209"/>
      <c r="E443" s="209"/>
      <c r="F443" s="209"/>
      <c r="G443" s="209"/>
      <c r="H443" s="209"/>
      <c r="I443" s="209"/>
      <c r="J443" s="210"/>
      <c r="K443" s="210"/>
      <c r="L443" s="209"/>
      <c r="M443" s="209"/>
      <c r="N443" s="209"/>
      <c r="O443" s="210"/>
      <c r="P443" s="210"/>
      <c r="Q443" s="209"/>
      <c r="R443" s="210"/>
      <c r="S443" s="210"/>
      <c r="T443" s="15"/>
      <c r="U443" s="15"/>
      <c r="V443" s="15"/>
    </row>
    <row r="444" spans="1:22" x14ac:dyDescent="0.25">
      <c r="A444" s="166"/>
      <c r="B444" s="268"/>
      <c r="C444" s="524"/>
      <c r="D444" s="525"/>
      <c r="E444" s="525"/>
      <c r="F444" s="525"/>
      <c r="G444" s="525"/>
      <c r="H444" s="525"/>
      <c r="I444" s="525"/>
      <c r="J444" s="536"/>
      <c r="K444" s="536"/>
      <c r="L444" s="525"/>
      <c r="M444" s="525"/>
      <c r="N444" s="525"/>
      <c r="O444" s="536"/>
      <c r="P444" s="165"/>
      <c r="Q444" s="525"/>
      <c r="R444" s="536"/>
      <c r="S444" s="536"/>
      <c r="T444" s="15"/>
      <c r="U444" s="15"/>
      <c r="V444" s="15"/>
    </row>
    <row r="445" spans="1:22" x14ac:dyDescent="0.25">
      <c r="A445" s="166"/>
      <c r="B445" s="167"/>
      <c r="C445" s="168"/>
      <c r="D445" s="169"/>
      <c r="E445" s="169"/>
      <c r="F445" s="169"/>
      <c r="G445" s="169"/>
      <c r="H445" s="169"/>
      <c r="I445" s="169"/>
      <c r="J445" s="170"/>
      <c r="K445" s="170"/>
      <c r="L445" s="169"/>
      <c r="M445" s="169"/>
      <c r="N445" s="169"/>
      <c r="O445" s="170"/>
      <c r="P445" s="170"/>
      <c r="Q445" s="169"/>
      <c r="R445" s="170"/>
      <c r="S445" s="170"/>
      <c r="T445" s="15"/>
      <c r="U445" s="15"/>
      <c r="V445" s="15"/>
    </row>
    <row r="446" spans="1:22" x14ac:dyDescent="0.25">
      <c r="A446" s="166"/>
      <c r="B446" s="207"/>
      <c r="C446" s="208"/>
      <c r="D446" s="209"/>
      <c r="E446" s="209"/>
      <c r="F446" s="209"/>
      <c r="G446" s="209"/>
      <c r="H446" s="209"/>
      <c r="I446" s="209"/>
      <c r="J446" s="210"/>
      <c r="K446" s="210"/>
      <c r="L446" s="209"/>
      <c r="M446" s="209"/>
      <c r="N446" s="209"/>
      <c r="O446" s="210"/>
      <c r="P446" s="210"/>
      <c r="Q446" s="209"/>
      <c r="R446" s="210"/>
      <c r="S446" s="210"/>
      <c r="T446" s="15"/>
      <c r="U446" s="15"/>
      <c r="V446" s="15"/>
    </row>
    <row r="447" spans="1:22" x14ac:dyDescent="0.25">
      <c r="A447" s="166"/>
      <c r="B447" s="268"/>
      <c r="C447" s="524"/>
      <c r="D447" s="525"/>
      <c r="E447" s="525"/>
      <c r="F447" s="525"/>
      <c r="G447" s="525"/>
      <c r="H447" s="525"/>
      <c r="I447" s="525"/>
      <c r="J447" s="536"/>
      <c r="K447" s="536"/>
      <c r="L447" s="525"/>
      <c r="M447" s="525"/>
      <c r="N447" s="525"/>
      <c r="O447" s="536"/>
      <c r="P447" s="165"/>
      <c r="Q447" s="525"/>
      <c r="R447" s="536"/>
      <c r="S447" s="536"/>
      <c r="T447" s="15"/>
      <c r="U447" s="15"/>
      <c r="V447" s="15"/>
    </row>
    <row r="448" spans="1:22" x14ac:dyDescent="0.25">
      <c r="A448" s="166"/>
      <c r="B448" s="167"/>
      <c r="C448" s="168"/>
      <c r="D448" s="169"/>
      <c r="E448" s="169"/>
      <c r="F448" s="169"/>
      <c r="G448" s="169"/>
      <c r="H448" s="169"/>
      <c r="I448" s="169"/>
      <c r="J448" s="170"/>
      <c r="K448" s="170"/>
      <c r="L448" s="169"/>
      <c r="M448" s="169"/>
      <c r="N448" s="169"/>
      <c r="O448" s="170"/>
      <c r="P448" s="170"/>
      <c r="Q448" s="169"/>
      <c r="R448" s="170"/>
      <c r="S448" s="170"/>
      <c r="T448" s="15"/>
      <c r="U448" s="15"/>
      <c r="V448" s="15"/>
    </row>
    <row r="449" spans="1:22" x14ac:dyDescent="0.25">
      <c r="A449" s="166"/>
      <c r="B449" s="207"/>
      <c r="C449" s="208"/>
      <c r="D449" s="209"/>
      <c r="E449" s="209"/>
      <c r="F449" s="209"/>
      <c r="G449" s="209"/>
      <c r="H449" s="209"/>
      <c r="I449" s="209"/>
      <c r="J449" s="210"/>
      <c r="K449" s="210"/>
      <c r="L449" s="209"/>
      <c r="M449" s="209"/>
      <c r="N449" s="209"/>
      <c r="O449" s="210"/>
      <c r="P449" s="210"/>
      <c r="Q449" s="209"/>
      <c r="R449" s="210"/>
      <c r="S449" s="210"/>
      <c r="T449" s="15"/>
      <c r="U449" s="15"/>
      <c r="V449" s="15"/>
    </row>
    <row r="450" spans="1:22" x14ac:dyDescent="0.25">
      <c r="A450" s="166"/>
      <c r="B450" s="268"/>
      <c r="C450" s="524"/>
      <c r="D450" s="525"/>
      <c r="E450" s="525"/>
      <c r="F450" s="525"/>
      <c r="G450" s="525"/>
      <c r="H450" s="525"/>
      <c r="I450" s="525"/>
      <c r="J450" s="536"/>
      <c r="K450" s="536"/>
      <c r="L450" s="525"/>
      <c r="M450" s="525"/>
      <c r="N450" s="525"/>
      <c r="O450" s="536"/>
      <c r="P450" s="165"/>
      <c r="Q450" s="525"/>
      <c r="R450" s="536"/>
      <c r="S450" s="536"/>
      <c r="T450" s="15"/>
      <c r="U450" s="15"/>
      <c r="V450" s="15"/>
    </row>
    <row r="451" spans="1:22" x14ac:dyDescent="0.25">
      <c r="A451" s="166"/>
      <c r="B451" s="167"/>
      <c r="C451" s="168"/>
      <c r="D451" s="169"/>
      <c r="E451" s="169"/>
      <c r="F451" s="169"/>
      <c r="G451" s="169"/>
      <c r="H451" s="169"/>
      <c r="I451" s="169"/>
      <c r="J451" s="170"/>
      <c r="K451" s="170"/>
      <c r="L451" s="169"/>
      <c r="M451" s="169"/>
      <c r="N451" s="169"/>
      <c r="O451" s="170"/>
      <c r="P451" s="170"/>
      <c r="Q451" s="169"/>
      <c r="R451" s="170"/>
      <c r="S451" s="170"/>
      <c r="T451" s="15"/>
      <c r="U451" s="15"/>
      <c r="V451" s="15"/>
    </row>
    <row r="452" spans="1:22" x14ac:dyDescent="0.25">
      <c r="A452" s="166"/>
      <c r="B452" s="207"/>
      <c r="C452" s="534"/>
      <c r="D452" s="209"/>
      <c r="E452" s="209"/>
      <c r="F452" s="209"/>
      <c r="G452" s="209"/>
      <c r="H452" s="209"/>
      <c r="I452" s="209"/>
      <c r="J452" s="210"/>
      <c r="K452" s="210"/>
      <c r="L452" s="209"/>
      <c r="M452" s="209"/>
      <c r="N452" s="209"/>
      <c r="O452" s="210"/>
      <c r="P452" s="210"/>
      <c r="Q452" s="209"/>
      <c r="R452" s="210"/>
      <c r="S452" s="210"/>
      <c r="T452" s="15"/>
      <c r="U452" s="15"/>
      <c r="V452" s="15"/>
    </row>
    <row r="453" spans="1:22" x14ac:dyDescent="0.25">
      <c r="A453" s="166"/>
      <c r="B453" s="268"/>
      <c r="C453" s="524"/>
      <c r="D453" s="525"/>
      <c r="E453" s="525"/>
      <c r="F453" s="525"/>
      <c r="G453" s="525"/>
      <c r="H453" s="525"/>
      <c r="I453" s="525"/>
      <c r="J453" s="536"/>
      <c r="K453" s="536"/>
      <c r="L453" s="525"/>
      <c r="M453" s="525"/>
      <c r="N453" s="525"/>
      <c r="O453" s="536"/>
      <c r="P453" s="165"/>
      <c r="Q453" s="525"/>
      <c r="R453" s="536"/>
      <c r="S453" s="536"/>
      <c r="T453" s="15"/>
      <c r="U453" s="15"/>
      <c r="V453" s="15"/>
    </row>
    <row r="454" spans="1:22" x14ac:dyDescent="0.25">
      <c r="A454" s="166"/>
      <c r="B454" s="167"/>
      <c r="C454" s="168"/>
      <c r="D454" s="169"/>
      <c r="E454" s="169"/>
      <c r="F454" s="169"/>
      <c r="G454" s="169"/>
      <c r="H454" s="169"/>
      <c r="I454" s="169"/>
      <c r="J454" s="170"/>
      <c r="K454" s="170"/>
      <c r="L454" s="169"/>
      <c r="M454" s="169"/>
      <c r="N454" s="169"/>
      <c r="O454" s="170"/>
      <c r="P454" s="170"/>
      <c r="Q454" s="169"/>
      <c r="R454" s="170"/>
      <c r="S454" s="170"/>
      <c r="T454" s="15"/>
      <c r="U454" s="15"/>
      <c r="V454" s="15"/>
    </row>
    <row r="455" spans="1:22" ht="15.75" thickBot="1" x14ac:dyDescent="0.3">
      <c r="A455" s="166"/>
      <c r="B455" s="531"/>
      <c r="C455" s="532"/>
      <c r="D455" s="533"/>
      <c r="E455" s="533"/>
      <c r="F455" s="533"/>
      <c r="G455" s="533"/>
      <c r="H455" s="533"/>
      <c r="I455" s="533"/>
      <c r="J455" s="537"/>
      <c r="K455" s="537"/>
      <c r="L455" s="533"/>
      <c r="M455" s="533"/>
      <c r="N455" s="533"/>
      <c r="O455" s="537"/>
      <c r="P455" s="537"/>
      <c r="Q455" s="533"/>
      <c r="R455" s="537"/>
      <c r="S455" s="537"/>
      <c r="T455" s="15"/>
      <c r="U455" s="15"/>
      <c r="V455" s="15"/>
    </row>
    <row r="456" spans="1:22" ht="15.75" thickTop="1" x14ac:dyDescent="0.25">
      <c r="A456" s="166"/>
      <c r="B456" s="167"/>
      <c r="C456" s="168"/>
      <c r="D456" s="169"/>
      <c r="E456" s="169"/>
      <c r="F456" s="169"/>
      <c r="G456" s="169"/>
      <c r="H456" s="169"/>
      <c r="I456" s="169"/>
      <c r="J456" s="170"/>
      <c r="K456" s="170"/>
      <c r="L456" s="169"/>
      <c r="M456" s="169"/>
      <c r="N456" s="169"/>
      <c r="O456" s="170"/>
      <c r="P456" s="170"/>
      <c r="Q456" s="169"/>
      <c r="R456" s="170"/>
      <c r="S456" s="170"/>
      <c r="T456" s="15"/>
      <c r="U456" s="15"/>
      <c r="V456" s="15"/>
    </row>
    <row r="457" spans="1:22" x14ac:dyDescent="0.25">
      <c r="A457" s="166"/>
      <c r="B457" s="167"/>
      <c r="C457" s="168"/>
      <c r="D457" s="169"/>
      <c r="E457" s="169"/>
      <c r="F457" s="169"/>
      <c r="G457" s="169"/>
      <c r="H457" s="169"/>
      <c r="I457" s="169"/>
      <c r="J457" s="170"/>
      <c r="K457" s="170"/>
      <c r="L457" s="169"/>
      <c r="M457" s="169"/>
      <c r="N457" s="169"/>
      <c r="O457" s="170"/>
      <c r="P457" s="170"/>
      <c r="Q457" s="169"/>
      <c r="R457" s="170"/>
      <c r="S457" s="170"/>
      <c r="T457" s="15"/>
      <c r="U457" s="15"/>
      <c r="V457" s="15"/>
    </row>
    <row r="458" spans="1:22" x14ac:dyDescent="0.25">
      <c r="A458" s="166"/>
      <c r="B458" s="207"/>
      <c r="C458" s="534"/>
      <c r="D458" s="530"/>
      <c r="E458" s="530"/>
      <c r="F458" s="209"/>
      <c r="G458" s="209"/>
      <c r="H458" s="209"/>
      <c r="I458" s="209"/>
      <c r="J458" s="210"/>
      <c r="K458" s="210"/>
      <c r="L458" s="209"/>
      <c r="M458" s="209"/>
      <c r="N458" s="209"/>
      <c r="O458" s="210"/>
      <c r="P458" s="210"/>
      <c r="Q458" s="209"/>
      <c r="R458" s="210"/>
      <c r="S458" s="210"/>
      <c r="T458" s="15"/>
      <c r="U458" s="15"/>
      <c r="V458" s="15"/>
    </row>
    <row r="459" spans="1:22" x14ac:dyDescent="0.25">
      <c r="A459" s="166"/>
      <c r="B459" s="268"/>
      <c r="C459" s="524"/>
      <c r="D459" s="525"/>
      <c r="E459" s="525"/>
      <c r="F459" s="525"/>
      <c r="G459" s="525"/>
      <c r="H459" s="525"/>
      <c r="I459" s="525"/>
      <c r="J459" s="536"/>
      <c r="K459" s="536"/>
      <c r="L459" s="525"/>
      <c r="M459" s="525"/>
      <c r="N459" s="525"/>
      <c r="O459" s="536"/>
      <c r="P459" s="165"/>
      <c r="Q459" s="525"/>
      <c r="R459" s="536"/>
      <c r="S459" s="536"/>
      <c r="T459" s="15"/>
      <c r="U459" s="15"/>
      <c r="V459" s="15"/>
    </row>
    <row r="460" spans="1:22" x14ac:dyDescent="0.25">
      <c r="A460" s="166"/>
      <c r="B460" s="167"/>
      <c r="C460" s="168"/>
      <c r="D460" s="169"/>
      <c r="E460" s="169"/>
      <c r="F460" s="169"/>
      <c r="G460" s="169"/>
      <c r="H460" s="169"/>
      <c r="I460" s="169"/>
      <c r="J460" s="170"/>
      <c r="K460" s="170"/>
      <c r="L460" s="169"/>
      <c r="M460" s="169"/>
      <c r="N460" s="169"/>
      <c r="O460" s="170"/>
      <c r="P460" s="170"/>
      <c r="Q460" s="169"/>
      <c r="R460" s="170"/>
      <c r="S460" s="170"/>
      <c r="T460" s="15"/>
      <c r="U460" s="15"/>
      <c r="V460" s="15"/>
    </row>
    <row r="461" spans="1:22" x14ac:dyDescent="0.25">
      <c r="A461" s="166"/>
      <c r="B461" s="207"/>
      <c r="C461" s="208"/>
      <c r="D461" s="530"/>
      <c r="E461" s="209"/>
      <c r="F461" s="209"/>
      <c r="G461" s="209"/>
      <c r="H461" s="209"/>
      <c r="I461" s="209"/>
      <c r="J461" s="210"/>
      <c r="K461" s="210"/>
      <c r="L461" s="209"/>
      <c r="M461" s="209"/>
      <c r="N461" s="209"/>
      <c r="O461" s="210"/>
      <c r="P461" s="210"/>
      <c r="Q461" s="209"/>
      <c r="R461" s="210"/>
      <c r="S461" s="210"/>
      <c r="T461" s="15"/>
      <c r="U461" s="15"/>
      <c r="V461" s="15"/>
    </row>
    <row r="462" spans="1:22" x14ac:dyDescent="0.25">
      <c r="A462" s="166"/>
      <c r="B462" s="268"/>
      <c r="C462" s="524"/>
      <c r="D462" s="525"/>
      <c r="E462" s="525"/>
      <c r="F462" s="525"/>
      <c r="G462" s="525"/>
      <c r="H462" s="525"/>
      <c r="I462" s="525"/>
      <c r="J462" s="536"/>
      <c r="K462" s="536"/>
      <c r="L462" s="525"/>
      <c r="M462" s="525"/>
      <c r="N462" s="525"/>
      <c r="O462" s="536"/>
      <c r="P462" s="165"/>
      <c r="Q462" s="525"/>
      <c r="R462" s="536"/>
      <c r="S462" s="536"/>
      <c r="T462" s="15"/>
      <c r="U462" s="15"/>
      <c r="V462" s="15"/>
    </row>
    <row r="463" spans="1:22" x14ac:dyDescent="0.25">
      <c r="A463" s="166"/>
      <c r="B463" s="167"/>
      <c r="C463" s="168"/>
      <c r="D463" s="169"/>
      <c r="E463" s="169"/>
      <c r="F463" s="169"/>
      <c r="G463" s="169"/>
      <c r="H463" s="169"/>
      <c r="I463" s="169"/>
      <c r="J463" s="170"/>
      <c r="K463" s="170"/>
      <c r="L463" s="169"/>
      <c r="M463" s="169"/>
      <c r="N463" s="169"/>
      <c r="O463" s="170"/>
      <c r="P463" s="170"/>
      <c r="Q463" s="169"/>
      <c r="R463" s="170"/>
      <c r="S463" s="170"/>
      <c r="T463" s="15"/>
      <c r="U463" s="15"/>
      <c r="V463" s="15"/>
    </row>
    <row r="464" spans="1:22" x14ac:dyDescent="0.25">
      <c r="A464" s="166"/>
      <c r="B464" s="207"/>
      <c r="C464" s="208"/>
      <c r="D464" s="209"/>
      <c r="E464" s="209"/>
      <c r="F464" s="209"/>
      <c r="G464" s="530"/>
      <c r="H464" s="209"/>
      <c r="I464" s="209"/>
      <c r="J464" s="210"/>
      <c r="K464" s="210"/>
      <c r="L464" s="209"/>
      <c r="M464" s="209"/>
      <c r="N464" s="209"/>
      <c r="O464" s="210"/>
      <c r="P464" s="210"/>
      <c r="Q464" s="209"/>
      <c r="R464" s="210"/>
      <c r="S464" s="210"/>
      <c r="T464" s="15"/>
      <c r="U464" s="15"/>
      <c r="V464" s="15"/>
    </row>
    <row r="465" spans="1:22" x14ac:dyDescent="0.25">
      <c r="A465" s="166"/>
      <c r="B465" s="268"/>
      <c r="C465" s="524"/>
      <c r="D465" s="525"/>
      <c r="E465" s="525"/>
      <c r="F465" s="525"/>
      <c r="G465" s="525"/>
      <c r="H465" s="525"/>
      <c r="I465" s="525"/>
      <c r="J465" s="536"/>
      <c r="K465" s="536"/>
      <c r="L465" s="525"/>
      <c r="M465" s="525"/>
      <c r="N465" s="525"/>
      <c r="O465" s="536"/>
      <c r="P465" s="165"/>
      <c r="Q465" s="525"/>
      <c r="R465" s="536"/>
      <c r="S465" s="536"/>
      <c r="T465" s="15"/>
      <c r="U465" s="15"/>
      <c r="V465" s="15"/>
    </row>
    <row r="466" spans="1:22" x14ac:dyDescent="0.25">
      <c r="A466" s="166"/>
      <c r="B466" s="167"/>
      <c r="C466" s="168"/>
      <c r="D466" s="169"/>
      <c r="E466" s="169"/>
      <c r="F466" s="169"/>
      <c r="G466" s="169"/>
      <c r="H466" s="169"/>
      <c r="I466" s="169"/>
      <c r="J466" s="170"/>
      <c r="K466" s="170"/>
      <c r="L466" s="169"/>
      <c r="M466" s="169"/>
      <c r="N466" s="169"/>
      <c r="O466" s="170"/>
      <c r="P466" s="170"/>
      <c r="Q466" s="169"/>
      <c r="R466" s="170"/>
      <c r="S466" s="170"/>
      <c r="T466" s="15"/>
      <c r="U466" s="15"/>
      <c r="V466" s="15"/>
    </row>
    <row r="467" spans="1:22" x14ac:dyDescent="0.25">
      <c r="A467" s="166"/>
      <c r="B467" s="207"/>
      <c r="C467" s="208"/>
      <c r="D467" s="209"/>
      <c r="E467" s="209"/>
      <c r="F467" s="209"/>
      <c r="G467" s="209"/>
      <c r="H467" s="209"/>
      <c r="I467" s="209"/>
      <c r="J467" s="210"/>
      <c r="K467" s="210"/>
      <c r="L467" s="209"/>
      <c r="M467" s="209"/>
      <c r="N467" s="209"/>
      <c r="O467" s="210"/>
      <c r="P467" s="210"/>
      <c r="Q467" s="209"/>
      <c r="R467" s="210"/>
      <c r="S467" s="210"/>
      <c r="T467" s="15"/>
      <c r="U467" s="15"/>
      <c r="V467" s="15"/>
    </row>
    <row r="468" spans="1:22" x14ac:dyDescent="0.25">
      <c r="A468" s="166"/>
      <c r="B468" s="268"/>
      <c r="C468" s="524"/>
      <c r="D468" s="525"/>
      <c r="E468" s="525"/>
      <c r="F468" s="525"/>
      <c r="G468" s="525"/>
      <c r="H468" s="525"/>
      <c r="I468" s="525"/>
      <c r="J468" s="536"/>
      <c r="K468" s="536"/>
      <c r="L468" s="525"/>
      <c r="M468" s="525"/>
      <c r="N468" s="525"/>
      <c r="O468" s="536"/>
      <c r="P468" s="165"/>
      <c r="Q468" s="525"/>
      <c r="R468" s="536"/>
      <c r="S468" s="536"/>
      <c r="T468" s="15"/>
      <c r="U468" s="15"/>
      <c r="V468" s="15"/>
    </row>
    <row r="469" spans="1:22" x14ac:dyDescent="0.25">
      <c r="A469" s="166"/>
      <c r="B469" s="167"/>
      <c r="C469" s="168"/>
      <c r="D469" s="169"/>
      <c r="E469" s="169"/>
      <c r="F469" s="169"/>
      <c r="G469" s="169"/>
      <c r="H469" s="169"/>
      <c r="I469" s="169"/>
      <c r="J469" s="170"/>
      <c r="K469" s="170"/>
      <c r="L469" s="169"/>
      <c r="M469" s="169"/>
      <c r="N469" s="169"/>
      <c r="O469" s="170"/>
      <c r="P469" s="170"/>
      <c r="Q469" s="169"/>
      <c r="R469" s="170"/>
      <c r="S469" s="170"/>
      <c r="T469" s="15"/>
      <c r="U469" s="15"/>
      <c r="V469" s="15"/>
    </row>
    <row r="470" spans="1:22" x14ac:dyDescent="0.25">
      <c r="A470" s="166"/>
      <c r="B470" s="207"/>
      <c r="C470" s="534"/>
      <c r="D470" s="530"/>
      <c r="E470" s="530"/>
      <c r="F470" s="209"/>
      <c r="G470" s="209"/>
      <c r="H470" s="209"/>
      <c r="I470" s="209"/>
      <c r="J470" s="210"/>
      <c r="K470" s="210"/>
      <c r="L470" s="209"/>
      <c r="M470" s="209"/>
      <c r="N470" s="209"/>
      <c r="O470" s="210"/>
      <c r="P470" s="210"/>
      <c r="Q470" s="209"/>
      <c r="R470" s="210"/>
      <c r="S470" s="210"/>
      <c r="T470" s="15"/>
      <c r="U470" s="15"/>
      <c r="V470" s="15"/>
    </row>
    <row r="471" spans="1:22" x14ac:dyDescent="0.25">
      <c r="A471" s="166"/>
      <c r="B471" s="268"/>
      <c r="C471" s="524"/>
      <c r="D471" s="525"/>
      <c r="E471" s="525"/>
      <c r="F471" s="525"/>
      <c r="G471" s="525"/>
      <c r="H471" s="525"/>
      <c r="I471" s="525"/>
      <c r="J471" s="536"/>
      <c r="K471" s="536"/>
      <c r="L471" s="525"/>
      <c r="M471" s="525"/>
      <c r="N471" s="525"/>
      <c r="O471" s="536"/>
      <c r="P471" s="165"/>
      <c r="Q471" s="525"/>
      <c r="R471" s="536"/>
      <c r="S471" s="536"/>
      <c r="T471" s="15"/>
      <c r="U471" s="15"/>
      <c r="V471" s="15"/>
    </row>
    <row r="472" spans="1:22" x14ac:dyDescent="0.25">
      <c r="A472" s="166"/>
      <c r="B472" s="167"/>
      <c r="C472" s="168"/>
      <c r="D472" s="169"/>
      <c r="E472" s="169"/>
      <c r="F472" s="169"/>
      <c r="G472" s="169"/>
      <c r="H472" s="169"/>
      <c r="I472" s="169"/>
      <c r="J472" s="170"/>
      <c r="K472" s="170"/>
      <c r="L472" s="169"/>
      <c r="M472" s="169"/>
      <c r="N472" s="169"/>
      <c r="O472" s="170"/>
      <c r="P472" s="170"/>
      <c r="Q472" s="169"/>
      <c r="R472" s="170"/>
      <c r="S472" s="170"/>
      <c r="T472" s="15"/>
      <c r="U472" s="15"/>
      <c r="V472" s="15"/>
    </row>
    <row r="473" spans="1:22" ht="15.75" thickBot="1" x14ac:dyDescent="0.3">
      <c r="A473" s="540"/>
      <c r="B473" s="541"/>
      <c r="C473" s="542"/>
      <c r="D473" s="543"/>
      <c r="E473" s="543"/>
      <c r="F473" s="543"/>
      <c r="G473" s="543"/>
      <c r="H473" s="543"/>
      <c r="I473" s="543"/>
      <c r="J473" s="544"/>
      <c r="K473" s="544"/>
      <c r="L473" s="543"/>
      <c r="M473" s="543"/>
      <c r="N473" s="543"/>
      <c r="O473" s="544"/>
      <c r="P473" s="544"/>
      <c r="Q473" s="543"/>
      <c r="R473" s="544"/>
      <c r="S473" s="544"/>
      <c r="T473" s="15"/>
      <c r="U473" s="15"/>
      <c r="V473" s="15"/>
    </row>
    <row r="474" spans="1:22" x14ac:dyDescent="0.25">
      <c r="A474" s="523"/>
      <c r="B474" s="268"/>
      <c r="C474" s="524"/>
      <c r="D474" s="525"/>
      <c r="E474" s="525"/>
      <c r="F474" s="525"/>
      <c r="G474" s="525"/>
      <c r="H474" s="525"/>
      <c r="I474" s="525"/>
      <c r="J474" s="536"/>
      <c r="K474" s="536"/>
      <c r="L474" s="525"/>
      <c r="M474" s="525"/>
      <c r="N474" s="525"/>
      <c r="O474" s="536"/>
      <c r="P474" s="165"/>
      <c r="Q474" s="525"/>
      <c r="R474" s="536"/>
      <c r="S474" s="536"/>
      <c r="T474" s="15"/>
      <c r="U474" s="15"/>
      <c r="V474" s="15"/>
    </row>
    <row r="475" spans="1:22" x14ac:dyDescent="0.25">
      <c r="A475" s="166"/>
      <c r="B475" s="167"/>
      <c r="C475" s="168"/>
      <c r="D475" s="169"/>
      <c r="E475" s="169"/>
      <c r="F475" s="169"/>
      <c r="G475" s="169"/>
      <c r="H475" s="169"/>
      <c r="I475" s="169"/>
      <c r="J475" s="170"/>
      <c r="K475" s="170"/>
      <c r="L475" s="169"/>
      <c r="M475" s="169"/>
      <c r="N475" s="169"/>
      <c r="O475" s="170"/>
      <c r="P475" s="170"/>
      <c r="Q475" s="169"/>
      <c r="R475" s="170"/>
      <c r="S475" s="170"/>
      <c r="T475" s="15"/>
      <c r="U475" s="15"/>
      <c r="V475" s="15"/>
    </row>
    <row r="476" spans="1:22" x14ac:dyDescent="0.25">
      <c r="A476" s="166"/>
      <c r="B476" s="207"/>
      <c r="C476" s="208"/>
      <c r="D476" s="209"/>
      <c r="E476" s="209"/>
      <c r="F476" s="209"/>
      <c r="G476" s="209"/>
      <c r="H476" s="209"/>
      <c r="I476" s="209"/>
      <c r="J476" s="210"/>
      <c r="K476" s="210"/>
      <c r="L476" s="209"/>
      <c r="M476" s="209"/>
      <c r="N476" s="209"/>
      <c r="O476" s="210"/>
      <c r="P476" s="210"/>
      <c r="Q476" s="209"/>
      <c r="R476" s="210"/>
      <c r="S476" s="210"/>
      <c r="T476" s="15"/>
      <c r="U476" s="15"/>
      <c r="V476" s="15"/>
    </row>
    <row r="477" spans="1:22" x14ac:dyDescent="0.25">
      <c r="A477" s="166"/>
      <c r="B477" s="268"/>
      <c r="C477" s="524"/>
      <c r="D477" s="525"/>
      <c r="E477" s="525"/>
      <c r="F477" s="525"/>
      <c r="G477" s="525"/>
      <c r="H477" s="525"/>
      <c r="I477" s="525"/>
      <c r="J477" s="536"/>
      <c r="K477" s="536"/>
      <c r="L477" s="525"/>
      <c r="M477" s="525"/>
      <c r="N477" s="525"/>
      <c r="O477" s="536"/>
      <c r="P477" s="165"/>
      <c r="Q477" s="525"/>
      <c r="R477" s="536"/>
      <c r="S477" s="536"/>
      <c r="T477" s="15"/>
      <c r="U477" s="15"/>
      <c r="V477" s="15"/>
    </row>
    <row r="478" spans="1:22" x14ac:dyDescent="0.25">
      <c r="A478" s="166"/>
      <c r="B478" s="167"/>
      <c r="C478" s="168"/>
      <c r="D478" s="169"/>
      <c r="E478" s="169"/>
      <c r="F478" s="169"/>
      <c r="G478" s="169"/>
      <c r="H478" s="169"/>
      <c r="I478" s="169"/>
      <c r="J478" s="170"/>
      <c r="K478" s="170"/>
      <c r="L478" s="169"/>
      <c r="M478" s="169"/>
      <c r="N478" s="169"/>
      <c r="O478" s="170"/>
      <c r="P478" s="170"/>
      <c r="Q478" s="169"/>
      <c r="R478" s="170"/>
      <c r="S478" s="170"/>
      <c r="T478" s="15"/>
      <c r="U478" s="15"/>
      <c r="V478" s="15"/>
    </row>
    <row r="479" spans="1:22" x14ac:dyDescent="0.25">
      <c r="A479" s="166"/>
      <c r="B479" s="207"/>
      <c r="C479" s="208"/>
      <c r="D479" s="209"/>
      <c r="E479" s="209"/>
      <c r="F479" s="209"/>
      <c r="G479" s="209"/>
      <c r="H479" s="209"/>
      <c r="I479" s="209"/>
      <c r="J479" s="210"/>
      <c r="K479" s="210"/>
      <c r="L479" s="209"/>
      <c r="M479" s="209"/>
      <c r="N479" s="209"/>
      <c r="O479" s="210"/>
      <c r="P479" s="210"/>
      <c r="Q479" s="209"/>
      <c r="R479" s="210"/>
      <c r="S479" s="210"/>
      <c r="T479" s="15"/>
      <c r="U479" s="15"/>
      <c r="V479" s="15"/>
    </row>
    <row r="480" spans="1:22" x14ac:dyDescent="0.25">
      <c r="A480" s="166"/>
      <c r="B480" s="268"/>
      <c r="C480" s="524"/>
      <c r="D480" s="525"/>
      <c r="E480" s="525"/>
      <c r="F480" s="525"/>
      <c r="G480" s="525"/>
      <c r="H480" s="525"/>
      <c r="I480" s="525"/>
      <c r="J480" s="536"/>
      <c r="K480" s="536"/>
      <c r="L480" s="525"/>
      <c r="M480" s="525"/>
      <c r="N480" s="525"/>
      <c r="O480" s="536"/>
      <c r="P480" s="165"/>
      <c r="Q480" s="525"/>
      <c r="R480" s="536"/>
      <c r="S480" s="536"/>
      <c r="T480" s="15"/>
      <c r="U480" s="15"/>
      <c r="V480" s="15"/>
    </row>
    <row r="481" spans="1:22" x14ac:dyDescent="0.25">
      <c r="A481" s="166"/>
      <c r="B481" s="167"/>
      <c r="C481" s="168"/>
      <c r="D481" s="169"/>
      <c r="E481" s="169"/>
      <c r="F481" s="169"/>
      <c r="G481" s="169"/>
      <c r="H481" s="169"/>
      <c r="I481" s="169"/>
      <c r="J481" s="170"/>
      <c r="K481" s="170"/>
      <c r="L481" s="169"/>
      <c r="M481" s="169"/>
      <c r="N481" s="169"/>
      <c r="O481" s="170"/>
      <c r="P481" s="170"/>
      <c r="Q481" s="169"/>
      <c r="R481" s="170"/>
      <c r="S481" s="170"/>
      <c r="T481" s="15"/>
      <c r="U481" s="15"/>
      <c r="V481" s="15"/>
    </row>
    <row r="482" spans="1:22" x14ac:dyDescent="0.25">
      <c r="A482" s="166"/>
      <c r="B482" s="207"/>
      <c r="C482" s="208"/>
      <c r="D482" s="209"/>
      <c r="E482" s="209"/>
      <c r="F482" s="209"/>
      <c r="G482" s="209"/>
      <c r="H482" s="209"/>
      <c r="I482" s="209"/>
      <c r="J482" s="210"/>
      <c r="K482" s="210"/>
      <c r="L482" s="209"/>
      <c r="M482" s="209"/>
      <c r="N482" s="209"/>
      <c r="O482" s="210"/>
      <c r="P482" s="210"/>
      <c r="Q482" s="209"/>
      <c r="R482" s="210"/>
      <c r="S482" s="210"/>
      <c r="T482" s="15"/>
      <c r="U482" s="15"/>
      <c r="V482" s="15"/>
    </row>
    <row r="483" spans="1:22" x14ac:dyDescent="0.25">
      <c r="A483" s="166"/>
      <c r="B483" s="268"/>
      <c r="C483" s="524"/>
      <c r="D483" s="525"/>
      <c r="E483" s="525"/>
      <c r="F483" s="525"/>
      <c r="G483" s="525"/>
      <c r="H483" s="525"/>
      <c r="I483" s="525"/>
      <c r="J483" s="536"/>
      <c r="K483" s="536"/>
      <c r="L483" s="525"/>
      <c r="M483" s="525"/>
      <c r="N483" s="525"/>
      <c r="O483" s="536"/>
      <c r="P483" s="165"/>
      <c r="Q483" s="525"/>
      <c r="R483" s="536"/>
      <c r="S483" s="536"/>
      <c r="T483" s="15"/>
      <c r="U483" s="15"/>
      <c r="V483" s="15"/>
    </row>
    <row r="484" spans="1:22" x14ac:dyDescent="0.25">
      <c r="A484" s="166"/>
      <c r="B484" s="167"/>
      <c r="C484" s="168"/>
      <c r="D484" s="169"/>
      <c r="E484" s="169"/>
      <c r="F484" s="169"/>
      <c r="G484" s="169"/>
      <c r="H484" s="169"/>
      <c r="I484" s="169"/>
      <c r="J484" s="170"/>
      <c r="K484" s="170"/>
      <c r="L484" s="169"/>
      <c r="M484" s="169"/>
      <c r="N484" s="169"/>
      <c r="O484" s="170"/>
      <c r="P484" s="170"/>
      <c r="Q484" s="169"/>
      <c r="R484" s="170"/>
      <c r="S484" s="170"/>
      <c r="T484" s="15"/>
      <c r="U484" s="15"/>
      <c r="V484" s="15"/>
    </row>
    <row r="485" spans="1:22" x14ac:dyDescent="0.25">
      <c r="A485" s="166"/>
      <c r="B485" s="207"/>
      <c r="C485" s="208"/>
      <c r="D485" s="209"/>
      <c r="E485" s="209"/>
      <c r="F485" s="209"/>
      <c r="G485" s="209"/>
      <c r="H485" s="209"/>
      <c r="I485" s="209"/>
      <c r="J485" s="210"/>
      <c r="K485" s="210"/>
      <c r="L485" s="209"/>
      <c r="M485" s="209"/>
      <c r="N485" s="209"/>
      <c r="O485" s="210"/>
      <c r="P485" s="210"/>
      <c r="Q485" s="209"/>
      <c r="R485" s="210"/>
      <c r="S485" s="210"/>
      <c r="T485" s="15"/>
      <c r="U485" s="15"/>
      <c r="V485" s="15"/>
    </row>
    <row r="486" spans="1:22" x14ac:dyDescent="0.25">
      <c r="A486" s="166"/>
      <c r="B486" s="268"/>
      <c r="C486" s="524"/>
      <c r="D486" s="525"/>
      <c r="E486" s="525"/>
      <c r="F486" s="525"/>
      <c r="G486" s="525"/>
      <c r="H486" s="525"/>
      <c r="I486" s="525"/>
      <c r="J486" s="536"/>
      <c r="K486" s="536"/>
      <c r="L486" s="525"/>
      <c r="M486" s="525"/>
      <c r="N486" s="525"/>
      <c r="O486" s="536"/>
      <c r="P486" s="165"/>
      <c r="Q486" s="525"/>
      <c r="R486" s="536"/>
      <c r="S486" s="536"/>
      <c r="T486" s="15"/>
      <c r="U486" s="15"/>
      <c r="V486" s="15"/>
    </row>
    <row r="487" spans="1:22" x14ac:dyDescent="0.25">
      <c r="A487" s="166"/>
      <c r="B487" s="167"/>
      <c r="C487" s="168"/>
      <c r="D487" s="169"/>
      <c r="E487" s="169"/>
      <c r="F487" s="169"/>
      <c r="G487" s="169"/>
      <c r="H487" s="169"/>
      <c r="I487" s="169"/>
      <c r="J487" s="170"/>
      <c r="K487" s="170"/>
      <c r="L487" s="169"/>
      <c r="M487" s="169"/>
      <c r="N487" s="169"/>
      <c r="O487" s="170"/>
      <c r="P487" s="170"/>
      <c r="Q487" s="169"/>
      <c r="R487" s="170"/>
      <c r="S487" s="170"/>
      <c r="T487" s="15"/>
      <c r="U487" s="15"/>
      <c r="V487" s="15"/>
    </row>
    <row r="488" spans="1:22" x14ac:dyDescent="0.25">
      <c r="A488" s="166"/>
      <c r="B488" s="207"/>
      <c r="C488" s="208"/>
      <c r="D488" s="209"/>
      <c r="E488" s="209"/>
      <c r="F488" s="209"/>
      <c r="G488" s="209"/>
      <c r="H488" s="209"/>
      <c r="I488" s="209"/>
      <c r="J488" s="210"/>
      <c r="K488" s="210"/>
      <c r="L488" s="209"/>
      <c r="M488" s="209"/>
      <c r="N488" s="209"/>
      <c r="O488" s="210"/>
      <c r="P488" s="210"/>
      <c r="Q488" s="209"/>
      <c r="R488" s="210"/>
      <c r="S488" s="210"/>
      <c r="T488" s="15"/>
      <c r="U488" s="15"/>
      <c r="V488" s="15"/>
    </row>
    <row r="489" spans="1:22" x14ac:dyDescent="0.25">
      <c r="A489" s="166"/>
      <c r="B489" s="268"/>
      <c r="C489" s="524"/>
      <c r="D489" s="525"/>
      <c r="E489" s="525"/>
      <c r="F489" s="525"/>
      <c r="G489" s="525"/>
      <c r="H489" s="525"/>
      <c r="I489" s="525"/>
      <c r="J489" s="536"/>
      <c r="K489" s="536"/>
      <c r="L489" s="525"/>
      <c r="M489" s="525"/>
      <c r="N489" s="525"/>
      <c r="O489" s="536"/>
      <c r="P489" s="165"/>
      <c r="Q489" s="525"/>
      <c r="R489" s="536"/>
      <c r="S489" s="536"/>
      <c r="T489" s="15"/>
      <c r="U489" s="15"/>
      <c r="V489" s="15"/>
    </row>
    <row r="490" spans="1:22" x14ac:dyDescent="0.25">
      <c r="A490" s="166"/>
      <c r="B490" s="167"/>
      <c r="C490" s="168"/>
      <c r="D490" s="169"/>
      <c r="E490" s="169"/>
      <c r="F490" s="169"/>
      <c r="G490" s="169"/>
      <c r="H490" s="169"/>
      <c r="I490" s="169"/>
      <c r="J490" s="170"/>
      <c r="K490" s="170"/>
      <c r="L490" s="169"/>
      <c r="M490" s="169"/>
      <c r="N490" s="169"/>
      <c r="O490" s="170"/>
      <c r="P490" s="170"/>
      <c r="Q490" s="169"/>
      <c r="R490" s="170"/>
      <c r="S490" s="170"/>
      <c r="T490" s="15"/>
      <c r="U490" s="15"/>
      <c r="V490" s="15"/>
    </row>
    <row r="491" spans="1:22" ht="15.75" thickBot="1" x14ac:dyDescent="0.3">
      <c r="A491" s="166"/>
      <c r="B491" s="531"/>
      <c r="C491" s="532"/>
      <c r="D491" s="533"/>
      <c r="E491" s="533"/>
      <c r="F491" s="533"/>
      <c r="G491" s="533"/>
      <c r="H491" s="533"/>
      <c r="I491" s="533"/>
      <c r="J491" s="537"/>
      <c r="K491" s="537"/>
      <c r="L491" s="533"/>
      <c r="M491" s="533"/>
      <c r="N491" s="533"/>
      <c r="O491" s="537"/>
      <c r="P491" s="537"/>
      <c r="Q491" s="533"/>
      <c r="R491" s="537"/>
      <c r="S491" s="537"/>
      <c r="T491" s="15"/>
      <c r="U491" s="15"/>
      <c r="V491" s="15"/>
    </row>
    <row r="492" spans="1:22" ht="15.75" thickTop="1" x14ac:dyDescent="0.25">
      <c r="A492" s="166"/>
      <c r="B492" s="167"/>
      <c r="C492" s="168"/>
      <c r="D492" s="169"/>
      <c r="E492" s="169"/>
      <c r="F492" s="169"/>
      <c r="G492" s="169"/>
      <c r="H492" s="169"/>
      <c r="I492" s="169"/>
      <c r="J492" s="170"/>
      <c r="K492" s="170"/>
      <c r="L492" s="169"/>
      <c r="M492" s="169"/>
      <c r="N492" s="169"/>
      <c r="O492" s="170"/>
      <c r="P492" s="170"/>
      <c r="Q492" s="169"/>
      <c r="R492" s="170"/>
      <c r="S492" s="170"/>
      <c r="T492" s="15"/>
      <c r="U492" s="15"/>
      <c r="V492" s="15"/>
    </row>
    <row r="493" spans="1:22" x14ac:dyDescent="0.25">
      <c r="A493" s="166"/>
      <c r="B493" s="167"/>
      <c r="C493" s="168"/>
      <c r="D493" s="169"/>
      <c r="E493" s="169"/>
      <c r="F493" s="169"/>
      <c r="G493" s="169"/>
      <c r="H493" s="169"/>
      <c r="I493" s="169"/>
      <c r="J493" s="170"/>
      <c r="K493" s="170"/>
      <c r="L493" s="169"/>
      <c r="M493" s="169"/>
      <c r="N493" s="169"/>
      <c r="O493" s="170"/>
      <c r="P493" s="170"/>
      <c r="Q493" s="169"/>
      <c r="R493" s="170"/>
      <c r="S493" s="170"/>
      <c r="T493" s="15"/>
      <c r="U493" s="15"/>
      <c r="V493" s="15"/>
    </row>
    <row r="494" spans="1:22" x14ac:dyDescent="0.25">
      <c r="A494" s="166"/>
      <c r="B494" s="207"/>
      <c r="C494" s="208"/>
      <c r="D494" s="209"/>
      <c r="E494" s="209"/>
      <c r="F494" s="209"/>
      <c r="G494" s="209"/>
      <c r="H494" s="209"/>
      <c r="I494" s="209"/>
      <c r="J494" s="210"/>
      <c r="K494" s="210"/>
      <c r="L494" s="209"/>
      <c r="M494" s="209"/>
      <c r="N494" s="209"/>
      <c r="O494" s="210"/>
      <c r="P494" s="210"/>
      <c r="Q494" s="209"/>
      <c r="R494" s="210"/>
      <c r="S494" s="210"/>
      <c r="T494" s="15"/>
      <c r="U494" s="15"/>
      <c r="V494" s="15"/>
    </row>
    <row r="495" spans="1:22" x14ac:dyDescent="0.25">
      <c r="A495" s="166"/>
      <c r="B495" s="268"/>
      <c r="C495" s="524"/>
      <c r="D495" s="525"/>
      <c r="E495" s="525"/>
      <c r="F495" s="525"/>
      <c r="G495" s="525"/>
      <c r="H495" s="525"/>
      <c r="I495" s="525"/>
      <c r="J495" s="536"/>
      <c r="K495" s="536"/>
      <c r="L495" s="525"/>
      <c r="M495" s="525"/>
      <c r="N495" s="525"/>
      <c r="O495" s="536"/>
      <c r="P495" s="165"/>
      <c r="Q495" s="525"/>
      <c r="R495" s="536"/>
      <c r="S495" s="536"/>
      <c r="T495" s="15"/>
      <c r="U495" s="15"/>
      <c r="V495" s="15"/>
    </row>
    <row r="496" spans="1:22" x14ac:dyDescent="0.25">
      <c r="A496" s="166"/>
      <c r="B496" s="167"/>
      <c r="C496" s="168"/>
      <c r="D496" s="169"/>
      <c r="E496" s="169"/>
      <c r="F496" s="169"/>
      <c r="G496" s="169"/>
      <c r="H496" s="169"/>
      <c r="I496" s="169"/>
      <c r="J496" s="170"/>
      <c r="K496" s="170"/>
      <c r="L496" s="169"/>
      <c r="M496" s="169"/>
      <c r="N496" s="169"/>
      <c r="O496" s="170"/>
      <c r="P496" s="170"/>
      <c r="Q496" s="169"/>
      <c r="R496" s="170"/>
      <c r="S496" s="170"/>
      <c r="T496" s="15"/>
      <c r="U496" s="15"/>
      <c r="V496" s="15"/>
    </row>
    <row r="497" spans="1:22" x14ac:dyDescent="0.25">
      <c r="A497" s="166"/>
      <c r="B497" s="207"/>
      <c r="C497" s="208"/>
      <c r="D497" s="209"/>
      <c r="E497" s="209"/>
      <c r="F497" s="209"/>
      <c r="G497" s="209"/>
      <c r="H497" s="209"/>
      <c r="I497" s="209"/>
      <c r="J497" s="210"/>
      <c r="K497" s="210"/>
      <c r="L497" s="209"/>
      <c r="M497" s="209"/>
      <c r="N497" s="209"/>
      <c r="O497" s="210"/>
      <c r="P497" s="210"/>
      <c r="Q497" s="209"/>
      <c r="R497" s="210"/>
      <c r="S497" s="210"/>
      <c r="T497" s="15"/>
      <c r="U497" s="15"/>
      <c r="V497" s="15"/>
    </row>
    <row r="498" spans="1:22" x14ac:dyDescent="0.25">
      <c r="A498" s="166"/>
      <c r="B498" s="268"/>
      <c r="C498" s="524"/>
      <c r="D498" s="525"/>
      <c r="E498" s="525"/>
      <c r="F498" s="525"/>
      <c r="G498" s="525"/>
      <c r="H498" s="525"/>
      <c r="I498" s="525"/>
      <c r="J498" s="536"/>
      <c r="K498" s="536"/>
      <c r="L498" s="525"/>
      <c r="M498" s="525"/>
      <c r="N498" s="525"/>
      <c r="O498" s="536"/>
      <c r="P498" s="165"/>
      <c r="Q498" s="525"/>
      <c r="R498" s="536"/>
      <c r="S498" s="536"/>
      <c r="T498" s="15"/>
      <c r="U498" s="15"/>
      <c r="V498" s="15"/>
    </row>
    <row r="499" spans="1:22" x14ac:dyDescent="0.25">
      <c r="A499" s="166"/>
      <c r="B499" s="167"/>
      <c r="C499" s="168"/>
      <c r="D499" s="169"/>
      <c r="E499" s="169"/>
      <c r="F499" s="169"/>
      <c r="G499" s="169"/>
      <c r="H499" s="169"/>
      <c r="I499" s="169"/>
      <c r="J499" s="170"/>
      <c r="K499" s="170"/>
      <c r="L499" s="169"/>
      <c r="M499" s="169"/>
      <c r="N499" s="169"/>
      <c r="O499" s="170"/>
      <c r="P499" s="170"/>
      <c r="Q499" s="169"/>
      <c r="R499" s="170"/>
      <c r="S499" s="170"/>
      <c r="T499" s="15"/>
      <c r="U499" s="15"/>
      <c r="V499" s="15"/>
    </row>
    <row r="500" spans="1:22" x14ac:dyDescent="0.25">
      <c r="A500" s="166"/>
      <c r="B500" s="207"/>
      <c r="C500" s="208"/>
      <c r="D500" s="209"/>
      <c r="E500" s="209"/>
      <c r="F500" s="209"/>
      <c r="G500" s="209"/>
      <c r="H500" s="209"/>
      <c r="I500" s="209"/>
      <c r="J500" s="210"/>
      <c r="K500" s="210"/>
      <c r="L500" s="209"/>
      <c r="M500" s="209"/>
      <c r="N500" s="209"/>
      <c r="O500" s="210"/>
      <c r="P500" s="210"/>
      <c r="Q500" s="209"/>
      <c r="R500" s="210"/>
      <c r="S500" s="210"/>
      <c r="T500" s="15"/>
      <c r="U500" s="15"/>
      <c r="V500" s="15"/>
    </row>
    <row r="501" spans="1:22" x14ac:dyDescent="0.25">
      <c r="A501" s="166"/>
      <c r="B501" s="268"/>
      <c r="C501" s="524"/>
      <c r="D501" s="525"/>
      <c r="E501" s="525"/>
      <c r="F501" s="525"/>
      <c r="G501" s="525"/>
      <c r="H501" s="525"/>
      <c r="I501" s="525"/>
      <c r="J501" s="536"/>
      <c r="K501" s="536"/>
      <c r="L501" s="525"/>
      <c r="M501" s="525"/>
      <c r="N501" s="525"/>
      <c r="O501" s="536"/>
      <c r="P501" s="165"/>
      <c r="Q501" s="525"/>
      <c r="R501" s="536"/>
      <c r="S501" s="536"/>
      <c r="T501" s="15"/>
      <c r="U501" s="15"/>
      <c r="V501" s="15"/>
    </row>
    <row r="502" spans="1:22" x14ac:dyDescent="0.25">
      <c r="A502" s="166"/>
      <c r="B502" s="167"/>
      <c r="C502" s="168"/>
      <c r="D502" s="169"/>
      <c r="E502" s="169"/>
      <c r="F502" s="169"/>
      <c r="G502" s="169"/>
      <c r="H502" s="169"/>
      <c r="I502" s="169"/>
      <c r="J502" s="170"/>
      <c r="K502" s="170"/>
      <c r="L502" s="169"/>
      <c r="M502" s="169"/>
      <c r="N502" s="169"/>
      <c r="O502" s="170"/>
      <c r="P502" s="170"/>
      <c r="Q502" s="169"/>
      <c r="R502" s="170"/>
      <c r="S502" s="170"/>
      <c r="T502" s="15"/>
      <c r="U502" s="15"/>
      <c r="V502" s="15"/>
    </row>
    <row r="503" spans="1:22" x14ac:dyDescent="0.25">
      <c r="A503" s="166"/>
      <c r="B503" s="207"/>
      <c r="C503" s="208"/>
      <c r="D503" s="209"/>
      <c r="E503" s="209"/>
      <c r="F503" s="209"/>
      <c r="G503" s="209"/>
      <c r="H503" s="209"/>
      <c r="I503" s="209"/>
      <c r="J503" s="210"/>
      <c r="K503" s="210"/>
      <c r="L503" s="209"/>
      <c r="M503" s="209"/>
      <c r="N503" s="209"/>
      <c r="O503" s="210"/>
      <c r="P503" s="210"/>
      <c r="Q503" s="209"/>
      <c r="R503" s="210"/>
      <c r="S503" s="210"/>
      <c r="T503" s="15"/>
      <c r="U503" s="15"/>
      <c r="V503" s="15"/>
    </row>
    <row r="504" spans="1:22" x14ac:dyDescent="0.25">
      <c r="A504" s="166"/>
      <c r="B504" s="268"/>
      <c r="C504" s="524"/>
      <c r="D504" s="525"/>
      <c r="E504" s="525"/>
      <c r="F504" s="525"/>
      <c r="G504" s="525"/>
      <c r="H504" s="525"/>
      <c r="I504" s="525"/>
      <c r="J504" s="536"/>
      <c r="K504" s="536"/>
      <c r="L504" s="525"/>
      <c r="M504" s="525"/>
      <c r="N504" s="525"/>
      <c r="O504" s="536"/>
      <c r="P504" s="165"/>
      <c r="Q504" s="525"/>
      <c r="R504" s="536"/>
      <c r="S504" s="536"/>
      <c r="T504" s="15"/>
      <c r="U504" s="15"/>
      <c r="V504" s="15"/>
    </row>
    <row r="505" spans="1:22" x14ac:dyDescent="0.25">
      <c r="A505" s="166"/>
      <c r="B505" s="167"/>
      <c r="C505" s="168"/>
      <c r="D505" s="169"/>
      <c r="E505" s="169"/>
      <c r="F505" s="169"/>
      <c r="G505" s="169"/>
      <c r="H505" s="169"/>
      <c r="I505" s="169"/>
      <c r="J505" s="170"/>
      <c r="K505" s="170"/>
      <c r="L505" s="169"/>
      <c r="M505" s="169"/>
      <c r="N505" s="169"/>
      <c r="O505" s="170"/>
      <c r="P505" s="170"/>
      <c r="Q505" s="169"/>
      <c r="R505" s="170"/>
      <c r="S505" s="170"/>
      <c r="T505" s="15"/>
      <c r="U505" s="15"/>
      <c r="V505" s="15"/>
    </row>
    <row r="506" spans="1:22" x14ac:dyDescent="0.25">
      <c r="A506" s="166"/>
      <c r="B506" s="207"/>
      <c r="C506" s="208"/>
      <c r="D506" s="209"/>
      <c r="E506" s="209"/>
      <c r="F506" s="209"/>
      <c r="G506" s="209"/>
      <c r="H506" s="209"/>
      <c r="I506" s="209"/>
      <c r="J506" s="210"/>
      <c r="K506" s="210"/>
      <c r="L506" s="209"/>
      <c r="M506" s="209"/>
      <c r="N506" s="209"/>
      <c r="O506" s="210"/>
      <c r="P506" s="210"/>
      <c r="Q506" s="209"/>
      <c r="R506" s="210"/>
      <c r="S506" s="210"/>
      <c r="T506" s="15"/>
      <c r="U506" s="15"/>
      <c r="V506" s="15"/>
    </row>
    <row r="507" spans="1:22" x14ac:dyDescent="0.25">
      <c r="A507" s="166"/>
      <c r="B507" s="268"/>
      <c r="C507" s="524"/>
      <c r="D507" s="525"/>
      <c r="E507" s="525"/>
      <c r="F507" s="525"/>
      <c r="G507" s="525"/>
      <c r="H507" s="525"/>
      <c r="I507" s="525"/>
      <c r="J507" s="536"/>
      <c r="K507" s="536"/>
      <c r="L507" s="525"/>
      <c r="M507" s="525"/>
      <c r="N507" s="525"/>
      <c r="O507" s="536"/>
      <c r="P507" s="165"/>
      <c r="Q507" s="525"/>
      <c r="R507" s="536"/>
      <c r="S507" s="536"/>
      <c r="T507" s="15"/>
      <c r="U507" s="15"/>
      <c r="V507" s="15"/>
    </row>
    <row r="508" spans="1:22" x14ac:dyDescent="0.25">
      <c r="A508" s="166"/>
      <c r="B508" s="167"/>
      <c r="C508" s="168"/>
      <c r="D508" s="169"/>
      <c r="E508" s="169"/>
      <c r="F508" s="169"/>
      <c r="G508" s="169"/>
      <c r="H508" s="169"/>
      <c r="I508" s="169"/>
      <c r="J508" s="170"/>
      <c r="K508" s="170"/>
      <c r="L508" s="169"/>
      <c r="M508" s="169"/>
      <c r="N508" s="169"/>
      <c r="O508" s="170"/>
      <c r="P508" s="170"/>
      <c r="Q508" s="169"/>
      <c r="R508" s="170"/>
      <c r="S508" s="170"/>
      <c r="T508" s="15"/>
      <c r="U508" s="15"/>
      <c r="V508" s="15"/>
    </row>
    <row r="509" spans="1:22" ht="15.75" thickBot="1" x14ac:dyDescent="0.3">
      <c r="A509" s="540"/>
      <c r="B509" s="541"/>
      <c r="C509" s="542"/>
      <c r="D509" s="543"/>
      <c r="E509" s="543"/>
      <c r="F509" s="543"/>
      <c r="G509" s="543"/>
      <c r="H509" s="543"/>
      <c r="I509" s="543"/>
      <c r="J509" s="544"/>
      <c r="K509" s="544"/>
      <c r="L509" s="543"/>
      <c r="M509" s="543"/>
      <c r="N509" s="543"/>
      <c r="O509" s="544"/>
      <c r="P509" s="544"/>
      <c r="Q509" s="543"/>
      <c r="R509" s="544"/>
      <c r="S509" s="544"/>
      <c r="T509" s="15"/>
      <c r="U509" s="15"/>
      <c r="V509" s="15"/>
    </row>
    <row r="510" spans="1:22" x14ac:dyDescent="0.25">
      <c r="A510" s="523"/>
      <c r="B510" s="268"/>
      <c r="C510" s="524"/>
      <c r="D510" s="525"/>
      <c r="E510" s="525"/>
      <c r="F510" s="525"/>
      <c r="G510" s="525"/>
      <c r="H510" s="525"/>
      <c r="I510" s="525"/>
      <c r="J510" s="536"/>
      <c r="K510" s="536"/>
      <c r="L510" s="525"/>
      <c r="M510" s="525"/>
      <c r="N510" s="525"/>
      <c r="O510" s="536"/>
      <c r="P510" s="165"/>
      <c r="Q510" s="525"/>
      <c r="R510" s="536"/>
      <c r="S510" s="536"/>
      <c r="T510" s="15"/>
      <c r="U510" s="15"/>
      <c r="V510" s="15"/>
    </row>
    <row r="511" spans="1:22" x14ac:dyDescent="0.25">
      <c r="A511" s="166"/>
      <c r="B511" s="167"/>
      <c r="C511" s="168"/>
      <c r="D511" s="169"/>
      <c r="E511" s="169"/>
      <c r="F511" s="169"/>
      <c r="G511" s="169"/>
      <c r="H511" s="169"/>
      <c r="I511" s="169"/>
      <c r="J511" s="170"/>
      <c r="K511" s="170"/>
      <c r="L511" s="169"/>
      <c r="M511" s="169"/>
      <c r="N511" s="169"/>
      <c r="O511" s="170"/>
      <c r="P511" s="170"/>
      <c r="Q511" s="169"/>
      <c r="R511" s="170"/>
      <c r="S511" s="170"/>
      <c r="T511" s="15"/>
      <c r="U511" s="15"/>
      <c r="V511" s="15"/>
    </row>
    <row r="512" spans="1:22" x14ac:dyDescent="0.25">
      <c r="A512" s="166"/>
      <c r="B512" s="207"/>
      <c r="C512" s="208"/>
      <c r="D512" s="209"/>
      <c r="E512" s="209"/>
      <c r="F512" s="209"/>
      <c r="G512" s="209"/>
      <c r="H512" s="530"/>
      <c r="I512" s="209"/>
      <c r="J512" s="210"/>
      <c r="K512" s="210"/>
      <c r="L512" s="209"/>
      <c r="M512" s="209"/>
      <c r="N512" s="209"/>
      <c r="O512" s="210"/>
      <c r="P512" s="210"/>
      <c r="Q512" s="209"/>
      <c r="R512" s="210"/>
      <c r="S512" s="210"/>
      <c r="T512" s="15"/>
      <c r="U512" s="15"/>
      <c r="V512" s="15"/>
    </row>
    <row r="513" spans="1:22" x14ac:dyDescent="0.25">
      <c r="A513" s="166"/>
      <c r="B513" s="268"/>
      <c r="C513" s="524"/>
      <c r="D513" s="525"/>
      <c r="E513" s="525"/>
      <c r="F513" s="525"/>
      <c r="G513" s="525"/>
      <c r="H513" s="525"/>
      <c r="I513" s="525"/>
      <c r="J513" s="536"/>
      <c r="K513" s="536"/>
      <c r="L513" s="525"/>
      <c r="M513" s="525"/>
      <c r="N513" s="525"/>
      <c r="O513" s="536"/>
      <c r="P513" s="165"/>
      <c r="Q513" s="525"/>
      <c r="R513" s="536"/>
      <c r="S513" s="536"/>
      <c r="T513" s="15"/>
      <c r="U513" s="15"/>
      <c r="V513" s="15"/>
    </row>
    <row r="514" spans="1:22" x14ac:dyDescent="0.25">
      <c r="A514" s="166"/>
      <c r="B514" s="167"/>
      <c r="C514" s="168"/>
      <c r="D514" s="169"/>
      <c r="E514" s="169"/>
      <c r="F514" s="169"/>
      <c r="G514" s="169"/>
      <c r="H514" s="169"/>
      <c r="I514" s="169"/>
      <c r="J514" s="170"/>
      <c r="K514" s="170"/>
      <c r="L514" s="169"/>
      <c r="M514" s="169"/>
      <c r="N514" s="169"/>
      <c r="O514" s="170"/>
      <c r="P514" s="170"/>
      <c r="Q514" s="169"/>
      <c r="R514" s="170"/>
      <c r="S514" s="170"/>
      <c r="T514" s="15"/>
      <c r="U514" s="15"/>
      <c r="V514" s="15"/>
    </row>
    <row r="515" spans="1:22" x14ac:dyDescent="0.25">
      <c r="A515" s="166"/>
      <c r="B515" s="207"/>
      <c r="C515" s="208"/>
      <c r="D515" s="209"/>
      <c r="E515" s="209"/>
      <c r="F515" s="209"/>
      <c r="G515" s="209"/>
      <c r="H515" s="209"/>
      <c r="I515" s="209"/>
      <c r="J515" s="210"/>
      <c r="K515" s="210"/>
      <c r="L515" s="209"/>
      <c r="M515" s="209"/>
      <c r="N515" s="209"/>
      <c r="O515" s="210"/>
      <c r="P515" s="210"/>
      <c r="Q515" s="209"/>
      <c r="R515" s="210"/>
      <c r="S515" s="210"/>
      <c r="T515" s="15"/>
      <c r="U515" s="15"/>
      <c r="V515" s="15"/>
    </row>
    <row r="516" spans="1:22" x14ac:dyDescent="0.25">
      <c r="A516" s="166"/>
      <c r="B516" s="268"/>
      <c r="C516" s="524"/>
      <c r="D516" s="525"/>
      <c r="E516" s="525"/>
      <c r="F516" s="525"/>
      <c r="G516" s="525"/>
      <c r="H516" s="525"/>
      <c r="I516" s="525"/>
      <c r="J516" s="536"/>
      <c r="K516" s="536"/>
      <c r="L516" s="525"/>
      <c r="M516" s="525"/>
      <c r="N516" s="525"/>
      <c r="O516" s="536"/>
      <c r="P516" s="165"/>
      <c r="Q516" s="525"/>
      <c r="R516" s="536"/>
      <c r="S516" s="536"/>
      <c r="T516" s="15"/>
      <c r="U516" s="15"/>
      <c r="V516" s="15"/>
    </row>
    <row r="517" spans="1:22" x14ac:dyDescent="0.25">
      <c r="A517" s="166"/>
      <c r="B517" s="167"/>
      <c r="C517" s="168"/>
      <c r="D517" s="169"/>
      <c r="E517" s="169"/>
      <c r="F517" s="169"/>
      <c r="G517" s="169"/>
      <c r="H517" s="169"/>
      <c r="I517" s="169"/>
      <c r="J517" s="170"/>
      <c r="K517" s="170"/>
      <c r="L517" s="169"/>
      <c r="M517" s="169"/>
      <c r="N517" s="169"/>
      <c r="O517" s="170"/>
      <c r="P517" s="170"/>
      <c r="Q517" s="169"/>
      <c r="R517" s="170"/>
      <c r="S517" s="170"/>
      <c r="T517" s="15"/>
      <c r="U517" s="15"/>
      <c r="V517" s="15"/>
    </row>
    <row r="518" spans="1:22" x14ac:dyDescent="0.25">
      <c r="A518" s="166"/>
      <c r="B518" s="207"/>
      <c r="C518" s="208"/>
      <c r="D518" s="209"/>
      <c r="E518" s="209"/>
      <c r="F518" s="209"/>
      <c r="G518" s="209"/>
      <c r="H518" s="209"/>
      <c r="I518" s="209"/>
      <c r="J518" s="210"/>
      <c r="K518" s="210"/>
      <c r="L518" s="209"/>
      <c r="M518" s="209"/>
      <c r="N518" s="209"/>
      <c r="O518" s="210"/>
      <c r="P518" s="210"/>
      <c r="Q518" s="209"/>
      <c r="R518" s="210"/>
      <c r="S518" s="210"/>
      <c r="T518" s="15"/>
      <c r="U518" s="15"/>
      <c r="V518" s="15"/>
    </row>
    <row r="519" spans="1:22" x14ac:dyDescent="0.25">
      <c r="A519" s="166"/>
      <c r="B519" s="268"/>
      <c r="C519" s="524"/>
      <c r="D519" s="525"/>
      <c r="E519" s="525"/>
      <c r="F519" s="525"/>
      <c r="G519" s="525"/>
      <c r="H519" s="525"/>
      <c r="I519" s="525"/>
      <c r="J519" s="536"/>
      <c r="K519" s="536"/>
      <c r="L519" s="525"/>
      <c r="M519" s="525"/>
      <c r="N519" s="525"/>
      <c r="O519" s="536"/>
      <c r="P519" s="165"/>
      <c r="Q519" s="525"/>
      <c r="R519" s="536"/>
      <c r="S519" s="536"/>
      <c r="T519" s="15"/>
      <c r="U519" s="15"/>
      <c r="V519" s="15"/>
    </row>
    <row r="520" spans="1:22" x14ac:dyDescent="0.25">
      <c r="A520" s="166"/>
      <c r="B520" s="167"/>
      <c r="C520" s="168"/>
      <c r="D520" s="169"/>
      <c r="E520" s="169"/>
      <c r="F520" s="169"/>
      <c r="G520" s="169"/>
      <c r="H520" s="169"/>
      <c r="I520" s="169"/>
      <c r="J520" s="170"/>
      <c r="K520" s="170"/>
      <c r="L520" s="169"/>
      <c r="M520" s="169"/>
      <c r="N520" s="169"/>
      <c r="O520" s="170"/>
      <c r="P520" s="170"/>
      <c r="Q520" s="169"/>
      <c r="R520" s="170"/>
      <c r="S520" s="170"/>
      <c r="T520" s="15"/>
      <c r="U520" s="15"/>
      <c r="V520" s="15"/>
    </row>
    <row r="521" spans="1:22" x14ac:dyDescent="0.25">
      <c r="A521" s="166"/>
      <c r="B521" s="207"/>
      <c r="C521" s="208"/>
      <c r="D521" s="209"/>
      <c r="E521" s="530"/>
      <c r="F521" s="209"/>
      <c r="G521" s="209"/>
      <c r="H521" s="209"/>
      <c r="I521" s="209"/>
      <c r="J521" s="210"/>
      <c r="K521" s="210"/>
      <c r="L521" s="209"/>
      <c r="M521" s="209"/>
      <c r="N521" s="209"/>
      <c r="O521" s="210"/>
      <c r="P521" s="210"/>
      <c r="Q521" s="209"/>
      <c r="R521" s="210"/>
      <c r="S521" s="210"/>
      <c r="T521" s="15"/>
      <c r="U521" s="15"/>
      <c r="V521" s="15"/>
    </row>
    <row r="522" spans="1:22" x14ac:dyDescent="0.25">
      <c r="A522" s="166"/>
      <c r="B522" s="268"/>
      <c r="C522" s="524"/>
      <c r="D522" s="525"/>
      <c r="E522" s="525"/>
      <c r="F522" s="525"/>
      <c r="G522" s="525"/>
      <c r="H522" s="525"/>
      <c r="I522" s="525"/>
      <c r="J522" s="536"/>
      <c r="K522" s="536"/>
      <c r="L522" s="525"/>
      <c r="M522" s="525"/>
      <c r="N522" s="525"/>
      <c r="O522" s="536"/>
      <c r="P522" s="165"/>
      <c r="Q522" s="525"/>
      <c r="R522" s="536"/>
      <c r="S522" s="536"/>
      <c r="T522" s="15"/>
      <c r="U522" s="15"/>
      <c r="V522" s="15"/>
    </row>
    <row r="523" spans="1:22" x14ac:dyDescent="0.25">
      <c r="A523" s="166"/>
      <c r="B523" s="167"/>
      <c r="C523" s="168"/>
      <c r="D523" s="169"/>
      <c r="E523" s="169"/>
      <c r="F523" s="169"/>
      <c r="G523" s="169"/>
      <c r="H523" s="169"/>
      <c r="I523" s="169"/>
      <c r="J523" s="170"/>
      <c r="K523" s="170"/>
      <c r="L523" s="169"/>
      <c r="M523" s="169"/>
      <c r="N523" s="169"/>
      <c r="O523" s="170"/>
      <c r="P523" s="170"/>
      <c r="Q523" s="169"/>
      <c r="R523" s="170"/>
      <c r="S523" s="170"/>
      <c r="T523" s="15"/>
      <c r="U523" s="15"/>
      <c r="V523" s="15"/>
    </row>
    <row r="524" spans="1:22" x14ac:dyDescent="0.25">
      <c r="A524" s="166"/>
      <c r="B524" s="207"/>
      <c r="C524" s="208"/>
      <c r="D524" s="209"/>
      <c r="E524" s="209"/>
      <c r="F524" s="209"/>
      <c r="G524" s="209"/>
      <c r="H524" s="209"/>
      <c r="I524" s="209"/>
      <c r="J524" s="210"/>
      <c r="K524" s="210"/>
      <c r="L524" s="209"/>
      <c r="M524" s="209"/>
      <c r="N524" s="209"/>
      <c r="O524" s="210"/>
      <c r="P524" s="210"/>
      <c r="Q524" s="209"/>
      <c r="R524" s="210"/>
      <c r="S524" s="210"/>
      <c r="T524" s="15"/>
      <c r="U524" s="15"/>
      <c r="V524" s="15"/>
    </row>
    <row r="525" spans="1:22" x14ac:dyDescent="0.25">
      <c r="A525" s="166"/>
      <c r="B525" s="268"/>
      <c r="C525" s="524"/>
      <c r="D525" s="525"/>
      <c r="E525" s="525"/>
      <c r="F525" s="525"/>
      <c r="G525" s="525"/>
      <c r="H525" s="525"/>
      <c r="I525" s="525"/>
      <c r="J525" s="536"/>
      <c r="K525" s="536"/>
      <c r="L525" s="525"/>
      <c r="M525" s="525"/>
      <c r="N525" s="525"/>
      <c r="O525" s="536"/>
      <c r="P525" s="165"/>
      <c r="Q525" s="525"/>
      <c r="R525" s="536"/>
      <c r="S525" s="536"/>
      <c r="T525" s="15"/>
      <c r="U525" s="15"/>
      <c r="V525" s="15"/>
    </row>
    <row r="526" spans="1:22" x14ac:dyDescent="0.25">
      <c r="A526" s="166"/>
      <c r="B526" s="167"/>
      <c r="C526" s="168"/>
      <c r="D526" s="169"/>
      <c r="E526" s="169"/>
      <c r="F526" s="169"/>
      <c r="G526" s="169"/>
      <c r="H526" s="169"/>
      <c r="I526" s="169"/>
      <c r="J526" s="170"/>
      <c r="K526" s="170"/>
      <c r="L526" s="169"/>
      <c r="M526" s="169"/>
      <c r="N526" s="169"/>
      <c r="O526" s="170"/>
      <c r="P526" s="170"/>
      <c r="Q526" s="169"/>
      <c r="R526" s="170"/>
      <c r="S526" s="170"/>
      <c r="T526" s="15"/>
      <c r="U526" s="15"/>
      <c r="V526" s="15"/>
    </row>
    <row r="527" spans="1:22" ht="15.75" thickBot="1" x14ac:dyDescent="0.3">
      <c r="A527" s="166"/>
      <c r="B527" s="531"/>
      <c r="C527" s="532"/>
      <c r="D527" s="533"/>
      <c r="E527" s="533"/>
      <c r="F527" s="533"/>
      <c r="G527" s="533"/>
      <c r="H527" s="533"/>
      <c r="I527" s="533"/>
      <c r="J527" s="537"/>
      <c r="K527" s="537"/>
      <c r="L527" s="533"/>
      <c r="M527" s="533"/>
      <c r="N527" s="533"/>
      <c r="O527" s="537"/>
      <c r="P527" s="537"/>
      <c r="Q527" s="533"/>
      <c r="R527" s="537"/>
      <c r="S527" s="537"/>
      <c r="T527" s="15"/>
      <c r="U527" s="15"/>
      <c r="V527" s="15"/>
    </row>
    <row r="528" spans="1:22" ht="15.75" thickTop="1" x14ac:dyDescent="0.25">
      <c r="A528" s="166"/>
      <c r="B528" s="167"/>
      <c r="C528" s="168"/>
      <c r="D528" s="169"/>
      <c r="E528" s="169"/>
      <c r="F528" s="169"/>
      <c r="G528" s="169"/>
      <c r="H528" s="169"/>
      <c r="I528" s="169"/>
      <c r="J528" s="170"/>
      <c r="K528" s="170"/>
      <c r="L528" s="169"/>
      <c r="M528" s="169"/>
      <c r="N528" s="169"/>
      <c r="O528" s="170"/>
      <c r="P528" s="170"/>
      <c r="Q528" s="169"/>
      <c r="R528" s="170"/>
      <c r="S528" s="170"/>
      <c r="T528" s="15"/>
      <c r="U528" s="15"/>
      <c r="V528" s="15"/>
    </row>
    <row r="529" spans="1:22" x14ac:dyDescent="0.25">
      <c r="A529" s="166"/>
      <c r="B529" s="167"/>
      <c r="C529" s="168"/>
      <c r="D529" s="169"/>
      <c r="E529" s="169"/>
      <c r="F529" s="169"/>
      <c r="G529" s="169"/>
      <c r="H529" s="169"/>
      <c r="I529" s="169"/>
      <c r="J529" s="170"/>
      <c r="K529" s="170"/>
      <c r="L529" s="169"/>
      <c r="M529" s="169"/>
      <c r="N529" s="169"/>
      <c r="O529" s="170"/>
      <c r="P529" s="170"/>
      <c r="Q529" s="169"/>
      <c r="R529" s="170"/>
      <c r="S529" s="170"/>
      <c r="T529" s="15"/>
      <c r="U529" s="15"/>
      <c r="V529" s="15"/>
    </row>
    <row r="530" spans="1:22" x14ac:dyDescent="0.25">
      <c r="A530" s="166"/>
      <c r="B530" s="207"/>
      <c r="C530" s="208"/>
      <c r="D530" s="209"/>
      <c r="E530" s="209"/>
      <c r="F530" s="209"/>
      <c r="G530" s="209"/>
      <c r="H530" s="209"/>
      <c r="I530" s="209"/>
      <c r="J530" s="210"/>
      <c r="K530" s="210"/>
      <c r="L530" s="209"/>
      <c r="M530" s="209"/>
      <c r="N530" s="209"/>
      <c r="O530" s="210"/>
      <c r="P530" s="210"/>
      <c r="Q530" s="209"/>
      <c r="R530" s="210"/>
      <c r="S530" s="210"/>
      <c r="T530" s="15"/>
      <c r="U530" s="15"/>
      <c r="V530" s="15"/>
    </row>
    <row r="531" spans="1:22" x14ac:dyDescent="0.25">
      <c r="A531" s="166"/>
      <c r="B531" s="268"/>
      <c r="C531" s="524"/>
      <c r="D531" s="525"/>
      <c r="E531" s="525"/>
      <c r="F531" s="525"/>
      <c r="G531" s="525"/>
      <c r="H531" s="525"/>
      <c r="I531" s="525"/>
      <c r="J531" s="536"/>
      <c r="K531" s="536"/>
      <c r="L531" s="525"/>
      <c r="M531" s="525"/>
      <c r="N531" s="525"/>
      <c r="O531" s="536"/>
      <c r="P531" s="165"/>
      <c r="Q531" s="525"/>
      <c r="R531" s="536"/>
      <c r="S531" s="536"/>
      <c r="T531" s="15"/>
      <c r="U531" s="15"/>
      <c r="V531" s="15"/>
    </row>
    <row r="532" spans="1:22" x14ac:dyDescent="0.25">
      <c r="A532" s="166"/>
      <c r="B532" s="167"/>
      <c r="C532" s="168"/>
      <c r="D532" s="169"/>
      <c r="E532" s="169"/>
      <c r="F532" s="169"/>
      <c r="G532" s="169"/>
      <c r="H532" s="169"/>
      <c r="I532" s="169"/>
      <c r="J532" s="170"/>
      <c r="K532" s="170"/>
      <c r="L532" s="169"/>
      <c r="M532" s="169"/>
      <c r="N532" s="169"/>
      <c r="O532" s="170"/>
      <c r="P532" s="170"/>
      <c r="Q532" s="169"/>
      <c r="R532" s="170"/>
      <c r="S532" s="170"/>
      <c r="T532" s="15"/>
      <c r="U532" s="15"/>
      <c r="V532" s="15"/>
    </row>
    <row r="533" spans="1:22" x14ac:dyDescent="0.25">
      <c r="A533" s="166"/>
      <c r="B533" s="207"/>
      <c r="C533" s="208"/>
      <c r="D533" s="209"/>
      <c r="E533" s="209"/>
      <c r="F533" s="209"/>
      <c r="G533" s="209"/>
      <c r="H533" s="209"/>
      <c r="I533" s="209"/>
      <c r="J533" s="210"/>
      <c r="K533" s="210"/>
      <c r="L533" s="209"/>
      <c r="M533" s="209"/>
      <c r="N533" s="209"/>
      <c r="O533" s="210"/>
      <c r="P533" s="210"/>
      <c r="Q533" s="209"/>
      <c r="R533" s="210"/>
      <c r="S533" s="210"/>
      <c r="T533" s="15"/>
      <c r="U533" s="15"/>
      <c r="V533" s="15"/>
    </row>
    <row r="534" spans="1:22" x14ac:dyDescent="0.25">
      <c r="A534" s="166"/>
      <c r="B534" s="268"/>
      <c r="C534" s="524"/>
      <c r="D534" s="525"/>
      <c r="E534" s="525"/>
      <c r="F534" s="525"/>
      <c r="G534" s="525"/>
      <c r="H534" s="525"/>
      <c r="I534" s="525"/>
      <c r="J534" s="536"/>
      <c r="K534" s="536"/>
      <c r="L534" s="525"/>
      <c r="M534" s="525"/>
      <c r="N534" s="525"/>
      <c r="O534" s="536"/>
      <c r="P534" s="165"/>
      <c r="Q534" s="525"/>
      <c r="R534" s="536"/>
      <c r="S534" s="536"/>
      <c r="T534" s="15"/>
      <c r="U534" s="15"/>
      <c r="V534" s="15"/>
    </row>
    <row r="535" spans="1:22" x14ac:dyDescent="0.25">
      <c r="A535" s="166"/>
      <c r="B535" s="167"/>
      <c r="C535" s="168"/>
      <c r="D535" s="169"/>
      <c r="E535" s="169"/>
      <c r="F535" s="169"/>
      <c r="G535" s="169"/>
      <c r="H535" s="169"/>
      <c r="I535" s="169"/>
      <c r="J535" s="170"/>
      <c r="K535" s="170"/>
      <c r="L535" s="169"/>
      <c r="M535" s="169"/>
      <c r="N535" s="169"/>
      <c r="O535" s="170"/>
      <c r="P535" s="170"/>
      <c r="Q535" s="169"/>
      <c r="R535" s="170"/>
      <c r="S535" s="170"/>
      <c r="T535" s="15"/>
      <c r="U535" s="15"/>
      <c r="V535" s="15"/>
    </row>
    <row r="536" spans="1:22" x14ac:dyDescent="0.25">
      <c r="A536" s="166"/>
      <c r="B536" s="207"/>
      <c r="C536" s="208"/>
      <c r="D536" s="209"/>
      <c r="E536" s="209"/>
      <c r="F536" s="530"/>
      <c r="G536" s="209"/>
      <c r="H536" s="209"/>
      <c r="I536" s="209"/>
      <c r="J536" s="210"/>
      <c r="K536" s="210"/>
      <c r="L536" s="209"/>
      <c r="M536" s="209"/>
      <c r="N536" s="209"/>
      <c r="O536" s="210"/>
      <c r="P536" s="210"/>
      <c r="Q536" s="209"/>
      <c r="R536" s="210"/>
      <c r="S536" s="210"/>
      <c r="T536" s="15"/>
      <c r="U536" s="15"/>
      <c r="V536" s="15"/>
    </row>
    <row r="537" spans="1:22" x14ac:dyDescent="0.25">
      <c r="A537" s="166"/>
      <c r="B537" s="268"/>
      <c r="C537" s="524"/>
      <c r="D537" s="525"/>
      <c r="E537" s="525"/>
      <c r="F537" s="525"/>
      <c r="G537" s="525"/>
      <c r="H537" s="525"/>
      <c r="I537" s="525"/>
      <c r="J537" s="536"/>
      <c r="K537" s="536"/>
      <c r="L537" s="525"/>
      <c r="M537" s="525"/>
      <c r="N537" s="525"/>
      <c r="O537" s="536"/>
      <c r="P537" s="165"/>
      <c r="Q537" s="525"/>
      <c r="R537" s="536"/>
      <c r="S537" s="536"/>
      <c r="T537" s="15"/>
      <c r="U537" s="15"/>
      <c r="V537" s="15"/>
    </row>
    <row r="538" spans="1:22" x14ac:dyDescent="0.25">
      <c r="A538" s="166"/>
      <c r="B538" s="167"/>
      <c r="C538" s="168"/>
      <c r="D538" s="169"/>
      <c r="E538" s="169"/>
      <c r="F538" s="169"/>
      <c r="G538" s="169"/>
      <c r="H538" s="169"/>
      <c r="I538" s="169"/>
      <c r="J538" s="170"/>
      <c r="K538" s="170"/>
      <c r="L538" s="169"/>
      <c r="M538" s="169"/>
      <c r="N538" s="169"/>
      <c r="O538" s="170"/>
      <c r="P538" s="170"/>
      <c r="Q538" s="169"/>
      <c r="R538" s="170"/>
      <c r="S538" s="170"/>
      <c r="T538" s="15"/>
      <c r="U538" s="15"/>
      <c r="V538" s="15"/>
    </row>
    <row r="539" spans="1:22" x14ac:dyDescent="0.25">
      <c r="A539" s="166"/>
      <c r="B539" s="207"/>
      <c r="C539" s="208"/>
      <c r="D539" s="209"/>
      <c r="E539" s="530"/>
      <c r="F539" s="209"/>
      <c r="G539" s="209"/>
      <c r="H539" s="209"/>
      <c r="I539" s="209"/>
      <c r="J539" s="210"/>
      <c r="K539" s="210"/>
      <c r="L539" s="209"/>
      <c r="M539" s="209"/>
      <c r="N539" s="209"/>
      <c r="O539" s="210"/>
      <c r="P539" s="210"/>
      <c r="Q539" s="209"/>
      <c r="R539" s="210"/>
      <c r="S539" s="210"/>
      <c r="T539" s="15"/>
      <c r="U539" s="15"/>
      <c r="V539" s="15"/>
    </row>
    <row r="540" spans="1:22" x14ac:dyDescent="0.25">
      <c r="A540" s="166"/>
      <c r="B540" s="268"/>
      <c r="C540" s="524"/>
      <c r="D540" s="525"/>
      <c r="E540" s="525"/>
      <c r="F540" s="525"/>
      <c r="G540" s="525"/>
      <c r="H540" s="525"/>
      <c r="I540" s="525"/>
      <c r="J540" s="536"/>
      <c r="K540" s="536"/>
      <c r="L540" s="525"/>
      <c r="M540" s="525"/>
      <c r="N540" s="525"/>
      <c r="O540" s="536"/>
      <c r="P540" s="165"/>
      <c r="Q540" s="525"/>
      <c r="R540" s="536"/>
      <c r="S540" s="536"/>
      <c r="T540" s="15"/>
      <c r="U540" s="15"/>
      <c r="V540" s="15"/>
    </row>
    <row r="541" spans="1:22" x14ac:dyDescent="0.25">
      <c r="A541" s="166"/>
      <c r="B541" s="167"/>
      <c r="C541" s="168"/>
      <c r="D541" s="169"/>
      <c r="E541" s="169"/>
      <c r="F541" s="169"/>
      <c r="G541" s="169"/>
      <c r="H541" s="169"/>
      <c r="I541" s="169"/>
      <c r="J541" s="170"/>
      <c r="K541" s="170"/>
      <c r="L541" s="169"/>
      <c r="M541" s="169"/>
      <c r="N541" s="169"/>
      <c r="O541" s="170"/>
      <c r="P541" s="170"/>
      <c r="Q541" s="169"/>
      <c r="R541" s="170"/>
      <c r="S541" s="170"/>
      <c r="T541" s="15"/>
      <c r="U541" s="15"/>
      <c r="V541" s="15"/>
    </row>
    <row r="542" spans="1:22" x14ac:dyDescent="0.25">
      <c r="A542" s="166"/>
      <c r="B542" s="207"/>
      <c r="C542" s="208"/>
      <c r="D542" s="209"/>
      <c r="E542" s="209"/>
      <c r="F542" s="209"/>
      <c r="G542" s="209"/>
      <c r="H542" s="209"/>
      <c r="I542" s="209"/>
      <c r="J542" s="210"/>
      <c r="K542" s="210"/>
      <c r="L542" s="209"/>
      <c r="M542" s="209"/>
      <c r="N542" s="209"/>
      <c r="O542" s="210"/>
      <c r="P542" s="210"/>
      <c r="Q542" s="209"/>
      <c r="R542" s="210"/>
      <c r="S542" s="210"/>
      <c r="T542" s="15"/>
      <c r="U542" s="15"/>
      <c r="V542" s="15"/>
    </row>
    <row r="543" spans="1:22" x14ac:dyDescent="0.25">
      <c r="A543" s="166"/>
      <c r="B543" s="268"/>
      <c r="C543" s="524"/>
      <c r="D543" s="525"/>
      <c r="E543" s="525"/>
      <c r="F543" s="525"/>
      <c r="G543" s="525"/>
      <c r="H543" s="525"/>
      <c r="I543" s="525"/>
      <c r="J543" s="536"/>
      <c r="K543" s="536"/>
      <c r="L543" s="525"/>
      <c r="M543" s="525"/>
      <c r="N543" s="525"/>
      <c r="O543" s="536"/>
      <c r="P543" s="165"/>
      <c r="Q543" s="525"/>
      <c r="R543" s="536"/>
      <c r="S543" s="536"/>
      <c r="T543" s="15"/>
      <c r="U543" s="15"/>
      <c r="V543" s="15"/>
    </row>
    <row r="544" spans="1:22" x14ac:dyDescent="0.25">
      <c r="A544" s="166"/>
      <c r="B544" s="167"/>
      <c r="C544" s="168"/>
      <c r="D544" s="169"/>
      <c r="E544" s="169"/>
      <c r="F544" s="169"/>
      <c r="G544" s="169"/>
      <c r="H544" s="169"/>
      <c r="I544" s="169"/>
      <c r="J544" s="170"/>
      <c r="K544" s="170"/>
      <c r="L544" s="169"/>
      <c r="M544" s="169"/>
      <c r="N544" s="169"/>
      <c r="O544" s="170"/>
      <c r="P544" s="170"/>
      <c r="Q544" s="169"/>
      <c r="R544" s="170"/>
      <c r="S544" s="170"/>
      <c r="T544" s="15"/>
      <c r="U544" s="15"/>
      <c r="V544" s="15"/>
    </row>
    <row r="545" spans="1:22" ht="15.75" thickBot="1" x14ac:dyDescent="0.3">
      <c r="A545" s="540"/>
      <c r="B545" s="541"/>
      <c r="C545" s="542"/>
      <c r="D545" s="543"/>
      <c r="E545" s="543"/>
      <c r="F545" s="543"/>
      <c r="G545" s="543"/>
      <c r="H545" s="543"/>
      <c r="I545" s="543"/>
      <c r="J545" s="544"/>
      <c r="K545" s="544"/>
      <c r="L545" s="543"/>
      <c r="M545" s="543"/>
      <c r="N545" s="543"/>
      <c r="O545" s="544"/>
      <c r="P545" s="544"/>
      <c r="Q545" s="543"/>
      <c r="R545" s="544"/>
      <c r="S545" s="544"/>
      <c r="T545" s="15"/>
      <c r="U545" s="15"/>
      <c r="V545" s="15"/>
    </row>
    <row r="546" spans="1:22" x14ac:dyDescent="0.25">
      <c r="A546" s="523"/>
      <c r="B546" s="268"/>
      <c r="C546" s="524"/>
      <c r="D546" s="525"/>
      <c r="E546" s="525"/>
      <c r="F546" s="525"/>
      <c r="G546" s="525"/>
      <c r="H546" s="525"/>
      <c r="I546" s="525"/>
      <c r="J546" s="536"/>
      <c r="K546" s="536"/>
      <c r="L546" s="525"/>
      <c r="M546" s="525"/>
      <c r="N546" s="525"/>
      <c r="O546" s="536"/>
      <c r="P546" s="165"/>
      <c r="Q546" s="525"/>
      <c r="R546" s="536"/>
      <c r="S546" s="536"/>
      <c r="T546" s="15"/>
      <c r="U546" s="15"/>
      <c r="V546" s="15"/>
    </row>
    <row r="547" spans="1:22" x14ac:dyDescent="0.25">
      <c r="A547" s="166"/>
      <c r="B547" s="167"/>
      <c r="C547" s="168"/>
      <c r="D547" s="169"/>
      <c r="E547" s="169"/>
      <c r="F547" s="169"/>
      <c r="G547" s="169"/>
      <c r="H547" s="169"/>
      <c r="I547" s="169"/>
      <c r="J547" s="170"/>
      <c r="K547" s="170"/>
      <c r="L547" s="169"/>
      <c r="M547" s="169"/>
      <c r="N547" s="169"/>
      <c r="O547" s="170"/>
      <c r="P547" s="170"/>
      <c r="Q547" s="169"/>
      <c r="R547" s="170"/>
      <c r="S547" s="170"/>
      <c r="T547" s="15"/>
      <c r="U547" s="15"/>
      <c r="V547" s="15"/>
    </row>
    <row r="548" spans="1:22" x14ac:dyDescent="0.25">
      <c r="A548" s="166"/>
      <c r="B548" s="207"/>
      <c r="C548" s="208"/>
      <c r="D548" s="209"/>
      <c r="E548" s="209"/>
      <c r="F548" s="209"/>
      <c r="G548" s="209"/>
      <c r="H548" s="209"/>
      <c r="I548" s="209"/>
      <c r="J548" s="210"/>
      <c r="K548" s="210"/>
      <c r="L548" s="209"/>
      <c r="M548" s="209"/>
      <c r="N548" s="209"/>
      <c r="O548" s="210"/>
      <c r="P548" s="210"/>
      <c r="Q548" s="209"/>
      <c r="R548" s="210"/>
      <c r="S548" s="210"/>
      <c r="T548" s="15"/>
      <c r="U548" s="15"/>
      <c r="V548" s="15"/>
    </row>
    <row r="549" spans="1:22" x14ac:dyDescent="0.25">
      <c r="A549" s="166"/>
      <c r="B549" s="268"/>
      <c r="C549" s="524"/>
      <c r="D549" s="525"/>
      <c r="E549" s="525"/>
      <c r="F549" s="525"/>
      <c r="G549" s="525"/>
      <c r="H549" s="525"/>
      <c r="I549" s="525"/>
      <c r="J549" s="536"/>
      <c r="K549" s="536"/>
      <c r="L549" s="525"/>
      <c r="M549" s="525"/>
      <c r="N549" s="525"/>
      <c r="O549" s="536"/>
      <c r="P549" s="165"/>
      <c r="Q549" s="525"/>
      <c r="R549" s="536"/>
      <c r="S549" s="536"/>
      <c r="T549" s="15"/>
      <c r="U549" s="15"/>
      <c r="V549" s="15"/>
    </row>
    <row r="550" spans="1:22" x14ac:dyDescent="0.25">
      <c r="A550" s="166"/>
      <c r="B550" s="167"/>
      <c r="C550" s="168"/>
      <c r="D550" s="169"/>
      <c r="E550" s="169"/>
      <c r="F550" s="169"/>
      <c r="G550" s="169"/>
      <c r="H550" s="169"/>
      <c r="I550" s="169"/>
      <c r="J550" s="170"/>
      <c r="K550" s="170"/>
      <c r="L550" s="169"/>
      <c r="M550" s="169"/>
      <c r="N550" s="169"/>
      <c r="O550" s="170"/>
      <c r="P550" s="170"/>
      <c r="Q550" s="169"/>
      <c r="R550" s="170"/>
      <c r="S550" s="170"/>
      <c r="T550" s="15"/>
      <c r="U550" s="15"/>
      <c r="V550" s="15"/>
    </row>
    <row r="551" spans="1:22" x14ac:dyDescent="0.25">
      <c r="A551" s="166"/>
      <c r="B551" s="207"/>
      <c r="C551" s="208"/>
      <c r="D551" s="209"/>
      <c r="E551" s="209"/>
      <c r="F551" s="209"/>
      <c r="G551" s="209"/>
      <c r="H551" s="209"/>
      <c r="I551" s="209"/>
      <c r="J551" s="210"/>
      <c r="K551" s="210"/>
      <c r="L551" s="209"/>
      <c r="M551" s="209"/>
      <c r="N551" s="209"/>
      <c r="O551" s="210"/>
      <c r="P551" s="210"/>
      <c r="Q551" s="209"/>
      <c r="R551" s="210"/>
      <c r="S551" s="210"/>
      <c r="T551" s="15"/>
      <c r="U551" s="15"/>
      <c r="V551" s="15"/>
    </row>
    <row r="552" spans="1:22" x14ac:dyDescent="0.25">
      <c r="A552" s="166"/>
      <c r="B552" s="268"/>
      <c r="C552" s="524"/>
      <c r="D552" s="525"/>
      <c r="E552" s="525"/>
      <c r="F552" s="525"/>
      <c r="G552" s="525"/>
      <c r="H552" s="525"/>
      <c r="I552" s="525"/>
      <c r="J552" s="536"/>
      <c r="K552" s="536"/>
      <c r="L552" s="525"/>
      <c r="M552" s="525"/>
      <c r="N552" s="525"/>
      <c r="O552" s="536"/>
      <c r="P552" s="165"/>
      <c r="Q552" s="525"/>
      <c r="R552" s="536"/>
      <c r="S552" s="536"/>
      <c r="T552" s="15"/>
      <c r="U552" s="15"/>
      <c r="V552" s="15"/>
    </row>
    <row r="553" spans="1:22" x14ac:dyDescent="0.25">
      <c r="A553" s="166"/>
      <c r="B553" s="167"/>
      <c r="C553" s="168"/>
      <c r="D553" s="169"/>
      <c r="E553" s="169"/>
      <c r="F553" s="169"/>
      <c r="G553" s="169"/>
      <c r="H553" s="169"/>
      <c r="I553" s="169"/>
      <c r="J553" s="170"/>
      <c r="K553" s="170"/>
      <c r="L553" s="169"/>
      <c r="M553" s="169"/>
      <c r="N553" s="169"/>
      <c r="O553" s="170"/>
      <c r="P553" s="170"/>
      <c r="Q553" s="169"/>
      <c r="R553" s="170"/>
      <c r="S553" s="170"/>
      <c r="T553" s="15"/>
      <c r="U553" s="15"/>
      <c r="V553" s="15"/>
    </row>
    <row r="554" spans="1:22" x14ac:dyDescent="0.25">
      <c r="A554" s="166"/>
      <c r="B554" s="207"/>
      <c r="C554" s="208"/>
      <c r="D554" s="209"/>
      <c r="E554" s="209"/>
      <c r="F554" s="209"/>
      <c r="G554" s="209"/>
      <c r="H554" s="209"/>
      <c r="I554" s="209"/>
      <c r="J554" s="210"/>
      <c r="K554" s="210"/>
      <c r="L554" s="209"/>
      <c r="M554" s="209"/>
      <c r="N554" s="209"/>
      <c r="O554" s="210"/>
      <c r="P554" s="210"/>
      <c r="Q554" s="209"/>
      <c r="R554" s="210"/>
      <c r="S554" s="210"/>
      <c r="T554" s="15"/>
      <c r="U554" s="15"/>
      <c r="V554" s="15"/>
    </row>
    <row r="555" spans="1:22" x14ac:dyDescent="0.25">
      <c r="A555" s="166"/>
      <c r="B555" s="268"/>
      <c r="C555" s="524"/>
      <c r="D555" s="525"/>
      <c r="E555" s="525"/>
      <c r="F555" s="525"/>
      <c r="G555" s="525"/>
      <c r="H555" s="525"/>
      <c r="I555" s="525"/>
      <c r="J555" s="536"/>
      <c r="K555" s="536"/>
      <c r="L555" s="525"/>
      <c r="M555" s="525"/>
      <c r="N555" s="525"/>
      <c r="O555" s="536"/>
      <c r="P555" s="165"/>
      <c r="Q555" s="525"/>
      <c r="R555" s="536"/>
      <c r="S555" s="536"/>
      <c r="T555" s="15"/>
      <c r="U555" s="15"/>
      <c r="V555" s="15"/>
    </row>
    <row r="556" spans="1:22" x14ac:dyDescent="0.25">
      <c r="A556" s="166"/>
      <c r="B556" s="167"/>
      <c r="C556" s="168"/>
      <c r="D556" s="169"/>
      <c r="E556" s="169"/>
      <c r="F556" s="169"/>
      <c r="G556" s="169"/>
      <c r="H556" s="169"/>
      <c r="I556" s="169"/>
      <c r="J556" s="170"/>
      <c r="K556" s="170"/>
      <c r="L556" s="169"/>
      <c r="M556" s="169"/>
      <c r="N556" s="169"/>
      <c r="O556" s="170"/>
      <c r="P556" s="170"/>
      <c r="Q556" s="169"/>
      <c r="R556" s="170"/>
      <c r="S556" s="170"/>
      <c r="T556" s="15"/>
      <c r="U556" s="15"/>
      <c r="V556" s="15"/>
    </row>
    <row r="557" spans="1:22" x14ac:dyDescent="0.25">
      <c r="A557" s="166"/>
      <c r="B557" s="207"/>
      <c r="C557" s="208"/>
      <c r="D557" s="209"/>
      <c r="E557" s="209"/>
      <c r="F557" s="209"/>
      <c r="G557" s="209"/>
      <c r="H557" s="209"/>
      <c r="I557" s="209"/>
      <c r="J557" s="210"/>
      <c r="K557" s="210"/>
      <c r="L557" s="209"/>
      <c r="M557" s="209"/>
      <c r="N557" s="209"/>
      <c r="O557" s="210"/>
      <c r="P557" s="210"/>
      <c r="Q557" s="209"/>
      <c r="R557" s="210"/>
      <c r="S557" s="210"/>
      <c r="T557" s="15"/>
      <c r="U557" s="15"/>
      <c r="V557" s="15"/>
    </row>
    <row r="558" spans="1:22" x14ac:dyDescent="0.25">
      <c r="A558" s="166"/>
      <c r="B558" s="268"/>
      <c r="C558" s="524"/>
      <c r="D558" s="525"/>
      <c r="E558" s="525"/>
      <c r="F558" s="525"/>
      <c r="G558" s="525"/>
      <c r="H558" s="525"/>
      <c r="I558" s="525"/>
      <c r="J558" s="536"/>
      <c r="K558" s="536"/>
      <c r="L558" s="525"/>
      <c r="M558" s="525"/>
      <c r="N558" s="525"/>
      <c r="O558" s="536"/>
      <c r="P558" s="165"/>
      <c r="Q558" s="525"/>
      <c r="R558" s="536"/>
      <c r="S558" s="536"/>
      <c r="T558" s="15"/>
      <c r="U558" s="15"/>
      <c r="V558" s="15"/>
    </row>
    <row r="559" spans="1:22" x14ac:dyDescent="0.25">
      <c r="A559" s="166"/>
      <c r="B559" s="167"/>
      <c r="C559" s="168"/>
      <c r="D559" s="169"/>
      <c r="E559" s="169"/>
      <c r="F559" s="169"/>
      <c r="G559" s="169"/>
      <c r="H559" s="169"/>
      <c r="I559" s="169"/>
      <c r="J559" s="170"/>
      <c r="K559" s="170"/>
      <c r="L559" s="169"/>
      <c r="M559" s="169"/>
      <c r="N559" s="169"/>
      <c r="O559" s="170"/>
      <c r="P559" s="170"/>
      <c r="Q559" s="169"/>
      <c r="R559" s="170"/>
      <c r="S559" s="170"/>
      <c r="T559" s="15"/>
      <c r="U559" s="15"/>
      <c r="V559" s="15"/>
    </row>
    <row r="560" spans="1:22" x14ac:dyDescent="0.25">
      <c r="A560" s="166"/>
      <c r="B560" s="207"/>
      <c r="C560" s="208"/>
      <c r="D560" s="209"/>
      <c r="E560" s="209"/>
      <c r="F560" s="209"/>
      <c r="G560" s="209"/>
      <c r="H560" s="209"/>
      <c r="I560" s="209"/>
      <c r="J560" s="210"/>
      <c r="K560" s="210"/>
      <c r="L560" s="209"/>
      <c r="M560" s="209"/>
      <c r="N560" s="209"/>
      <c r="O560" s="210"/>
      <c r="P560" s="210"/>
      <c r="Q560" s="209"/>
      <c r="R560" s="210"/>
      <c r="S560" s="210"/>
      <c r="T560" s="15"/>
      <c r="U560" s="15"/>
      <c r="V560" s="15"/>
    </row>
    <row r="561" spans="1:22" x14ac:dyDescent="0.25">
      <c r="A561" s="166"/>
      <c r="B561" s="268"/>
      <c r="C561" s="524"/>
      <c r="D561" s="525"/>
      <c r="E561" s="525"/>
      <c r="F561" s="525"/>
      <c r="G561" s="525"/>
      <c r="H561" s="525"/>
      <c r="I561" s="525"/>
      <c r="J561" s="536"/>
      <c r="K561" s="536"/>
      <c r="L561" s="525"/>
      <c r="M561" s="525"/>
      <c r="N561" s="525"/>
      <c r="O561" s="536"/>
      <c r="P561" s="165"/>
      <c r="Q561" s="525"/>
      <c r="R561" s="536"/>
      <c r="S561" s="536"/>
      <c r="T561" s="15"/>
      <c r="U561" s="15"/>
      <c r="V561" s="15"/>
    </row>
    <row r="562" spans="1:22" x14ac:dyDescent="0.25">
      <c r="A562" s="166"/>
      <c r="B562" s="167"/>
      <c r="C562" s="168"/>
      <c r="D562" s="169"/>
      <c r="E562" s="169"/>
      <c r="F562" s="169"/>
      <c r="G562" s="169"/>
      <c r="H562" s="169"/>
      <c r="I562" s="169"/>
      <c r="J562" s="170"/>
      <c r="K562" s="170"/>
      <c r="L562" s="169"/>
      <c r="M562" s="169"/>
      <c r="N562" s="169"/>
      <c r="O562" s="170"/>
      <c r="P562" s="170"/>
      <c r="Q562" s="169"/>
      <c r="R562" s="170"/>
      <c r="S562" s="170"/>
      <c r="T562" s="15"/>
      <c r="U562" s="15"/>
      <c r="V562" s="15"/>
    </row>
    <row r="563" spans="1:22" ht="15.75" thickBot="1" x14ac:dyDescent="0.3">
      <c r="A563" s="166"/>
      <c r="B563" s="531"/>
      <c r="C563" s="532"/>
      <c r="D563" s="533"/>
      <c r="E563" s="533"/>
      <c r="F563" s="533"/>
      <c r="G563" s="533"/>
      <c r="H563" s="533"/>
      <c r="I563" s="533"/>
      <c r="J563" s="537"/>
      <c r="K563" s="537"/>
      <c r="L563" s="533"/>
      <c r="M563" s="533"/>
      <c r="N563" s="533"/>
      <c r="O563" s="537"/>
      <c r="P563" s="537"/>
      <c r="Q563" s="533"/>
      <c r="R563" s="537"/>
      <c r="S563" s="537"/>
      <c r="T563" s="15"/>
      <c r="U563" s="15"/>
      <c r="V563" s="15"/>
    </row>
    <row r="564" spans="1:22" ht="15.75" thickTop="1" x14ac:dyDescent="0.25">
      <c r="A564" s="166"/>
      <c r="B564" s="167"/>
      <c r="C564" s="168"/>
      <c r="D564" s="169"/>
      <c r="E564" s="169"/>
      <c r="F564" s="169"/>
      <c r="G564" s="169"/>
      <c r="H564" s="169"/>
      <c r="I564" s="169"/>
      <c r="J564" s="170"/>
      <c r="K564" s="170"/>
      <c r="L564" s="169"/>
      <c r="M564" s="169"/>
      <c r="N564" s="169"/>
      <c r="O564" s="170"/>
      <c r="P564" s="170"/>
      <c r="Q564" s="169"/>
      <c r="R564" s="170"/>
      <c r="S564" s="170"/>
      <c r="T564" s="15"/>
      <c r="U564" s="15"/>
      <c r="V564" s="15"/>
    </row>
    <row r="565" spans="1:22" x14ac:dyDescent="0.25">
      <c r="A565" s="166"/>
      <c r="B565" s="167"/>
      <c r="C565" s="168"/>
      <c r="D565" s="169"/>
      <c r="E565" s="169"/>
      <c r="F565" s="169"/>
      <c r="G565" s="169"/>
      <c r="H565" s="169"/>
      <c r="I565" s="169"/>
      <c r="J565" s="170"/>
      <c r="K565" s="170"/>
      <c r="L565" s="169"/>
      <c r="M565" s="169"/>
      <c r="N565" s="169"/>
      <c r="O565" s="170"/>
      <c r="P565" s="170"/>
      <c r="Q565" s="169"/>
      <c r="R565" s="170"/>
      <c r="S565" s="170"/>
      <c r="T565" s="15"/>
      <c r="U565" s="15"/>
      <c r="V565" s="15"/>
    </row>
    <row r="566" spans="1:22" x14ac:dyDescent="0.25">
      <c r="A566" s="166"/>
      <c r="B566" s="207"/>
      <c r="C566" s="208"/>
      <c r="D566" s="209"/>
      <c r="E566" s="209"/>
      <c r="F566" s="209"/>
      <c r="G566" s="209"/>
      <c r="H566" s="530"/>
      <c r="I566" s="209"/>
      <c r="J566" s="210"/>
      <c r="K566" s="210"/>
      <c r="L566" s="209"/>
      <c r="M566" s="209"/>
      <c r="N566" s="209"/>
      <c r="O566" s="210"/>
      <c r="P566" s="210"/>
      <c r="Q566" s="209"/>
      <c r="R566" s="210"/>
      <c r="S566" s="210"/>
      <c r="T566" s="15"/>
      <c r="U566" s="15"/>
      <c r="V566" s="15"/>
    </row>
    <row r="567" spans="1:22" x14ac:dyDescent="0.25">
      <c r="A567" s="166"/>
      <c r="B567" s="268"/>
      <c r="C567" s="524"/>
      <c r="D567" s="525"/>
      <c r="E567" s="525"/>
      <c r="F567" s="525"/>
      <c r="G567" s="525"/>
      <c r="H567" s="525"/>
      <c r="I567" s="525"/>
      <c r="J567" s="536"/>
      <c r="K567" s="536"/>
      <c r="L567" s="525"/>
      <c r="M567" s="525"/>
      <c r="N567" s="525"/>
      <c r="O567" s="536"/>
      <c r="P567" s="165"/>
      <c r="Q567" s="525"/>
      <c r="R567" s="536"/>
      <c r="S567" s="536"/>
      <c r="T567" s="15"/>
      <c r="U567" s="15"/>
      <c r="V567" s="15"/>
    </row>
    <row r="568" spans="1:22" x14ac:dyDescent="0.25">
      <c r="A568" s="166"/>
      <c r="B568" s="167"/>
      <c r="C568" s="168"/>
      <c r="D568" s="169"/>
      <c r="E568" s="169"/>
      <c r="F568" s="169"/>
      <c r="G568" s="169"/>
      <c r="H568" s="169"/>
      <c r="I568" s="169"/>
      <c r="J568" s="170"/>
      <c r="K568" s="170"/>
      <c r="L568" s="169"/>
      <c r="M568" s="169"/>
      <c r="N568" s="169"/>
      <c r="O568" s="170"/>
      <c r="P568" s="170"/>
      <c r="Q568" s="169"/>
      <c r="R568" s="170"/>
      <c r="S568" s="170"/>
      <c r="T568" s="15"/>
      <c r="U568" s="15"/>
      <c r="V568" s="15"/>
    </row>
    <row r="569" spans="1:22" x14ac:dyDescent="0.25">
      <c r="A569" s="166"/>
      <c r="B569" s="207"/>
      <c r="C569" s="208"/>
      <c r="D569" s="209"/>
      <c r="E569" s="530"/>
      <c r="F569" s="209"/>
      <c r="G569" s="209"/>
      <c r="H569" s="209"/>
      <c r="I569" s="209"/>
      <c r="J569" s="210"/>
      <c r="K569" s="210"/>
      <c r="L569" s="209"/>
      <c r="M569" s="209"/>
      <c r="N569" s="209"/>
      <c r="O569" s="210"/>
      <c r="P569" s="210"/>
      <c r="Q569" s="209"/>
      <c r="R569" s="210"/>
      <c r="S569" s="210"/>
      <c r="T569" s="15"/>
      <c r="U569" s="15"/>
      <c r="V569" s="15"/>
    </row>
    <row r="570" spans="1:22" x14ac:dyDescent="0.25">
      <c r="A570" s="166"/>
      <c r="B570" s="268"/>
      <c r="C570" s="524"/>
      <c r="D570" s="525"/>
      <c r="E570" s="525"/>
      <c r="F570" s="525"/>
      <c r="G570" s="525"/>
      <c r="H570" s="525"/>
      <c r="I570" s="525"/>
      <c r="J570" s="536"/>
      <c r="K570" s="536"/>
      <c r="L570" s="525"/>
      <c r="M570" s="525"/>
      <c r="N570" s="525"/>
      <c r="O570" s="536"/>
      <c r="P570" s="165"/>
      <c r="Q570" s="525"/>
      <c r="R570" s="536"/>
      <c r="S570" s="536"/>
      <c r="T570" s="15"/>
      <c r="U570" s="15"/>
      <c r="V570" s="15"/>
    </row>
    <row r="571" spans="1:22" x14ac:dyDescent="0.25">
      <c r="A571" s="166"/>
      <c r="B571" s="167"/>
      <c r="C571" s="168"/>
      <c r="D571" s="169"/>
      <c r="E571" s="169"/>
      <c r="F571" s="169"/>
      <c r="G571" s="169"/>
      <c r="H571" s="169"/>
      <c r="I571" s="169"/>
      <c r="J571" s="170"/>
      <c r="K571" s="170"/>
      <c r="L571" s="169"/>
      <c r="M571" s="169"/>
      <c r="N571" s="169"/>
      <c r="O571" s="170"/>
      <c r="P571" s="170"/>
      <c r="Q571" s="169"/>
      <c r="R571" s="170"/>
      <c r="S571" s="170"/>
      <c r="T571" s="15"/>
      <c r="U571" s="15"/>
      <c r="V571" s="15"/>
    </row>
    <row r="572" spans="1:22" x14ac:dyDescent="0.25">
      <c r="A572" s="166"/>
      <c r="B572" s="207"/>
      <c r="C572" s="208"/>
      <c r="D572" s="209"/>
      <c r="E572" s="530"/>
      <c r="F572" s="209"/>
      <c r="G572" s="209"/>
      <c r="H572" s="530"/>
      <c r="I572" s="209"/>
      <c r="J572" s="210"/>
      <c r="K572" s="210"/>
      <c r="L572" s="209"/>
      <c r="M572" s="209"/>
      <c r="N572" s="209"/>
      <c r="O572" s="210"/>
      <c r="P572" s="210"/>
      <c r="Q572" s="209"/>
      <c r="R572" s="210"/>
      <c r="S572" s="210"/>
      <c r="T572" s="15"/>
      <c r="U572" s="15"/>
      <c r="V572" s="15"/>
    </row>
    <row r="573" spans="1:22" x14ac:dyDescent="0.25">
      <c r="A573" s="166"/>
      <c r="B573" s="268"/>
      <c r="C573" s="524"/>
      <c r="D573" s="525"/>
      <c r="E573" s="525"/>
      <c r="F573" s="525"/>
      <c r="G573" s="525"/>
      <c r="H573" s="525"/>
      <c r="I573" s="525"/>
      <c r="J573" s="536"/>
      <c r="K573" s="536"/>
      <c r="L573" s="525"/>
      <c r="M573" s="525"/>
      <c r="N573" s="525"/>
      <c r="O573" s="536"/>
      <c r="P573" s="165"/>
      <c r="Q573" s="525"/>
      <c r="R573" s="536"/>
      <c r="S573" s="536"/>
      <c r="T573" s="15"/>
      <c r="U573" s="15"/>
      <c r="V573" s="15"/>
    </row>
    <row r="574" spans="1:22" x14ac:dyDescent="0.25">
      <c r="A574" s="166"/>
      <c r="B574" s="167"/>
      <c r="C574" s="168"/>
      <c r="D574" s="169"/>
      <c r="E574" s="169"/>
      <c r="F574" s="169"/>
      <c r="G574" s="169"/>
      <c r="H574" s="169"/>
      <c r="I574" s="169"/>
      <c r="J574" s="170"/>
      <c r="K574" s="170"/>
      <c r="L574" s="169"/>
      <c r="M574" s="169"/>
      <c r="N574" s="169"/>
      <c r="O574" s="170"/>
      <c r="P574" s="170"/>
      <c r="Q574" s="169"/>
      <c r="R574" s="170"/>
      <c r="S574" s="170"/>
      <c r="T574" s="15"/>
      <c r="U574" s="15"/>
      <c r="V574" s="15"/>
    </row>
    <row r="575" spans="1:22" x14ac:dyDescent="0.25">
      <c r="A575" s="166"/>
      <c r="B575" s="207"/>
      <c r="C575" s="208"/>
      <c r="D575" s="209"/>
      <c r="E575" s="209"/>
      <c r="F575" s="209"/>
      <c r="G575" s="209"/>
      <c r="H575" s="209"/>
      <c r="I575" s="209"/>
      <c r="J575" s="210"/>
      <c r="K575" s="210"/>
      <c r="L575" s="209"/>
      <c r="M575" s="209"/>
      <c r="N575" s="209"/>
      <c r="O575" s="210"/>
      <c r="P575" s="210"/>
      <c r="Q575" s="209"/>
      <c r="R575" s="210"/>
      <c r="S575" s="210"/>
      <c r="T575" s="15"/>
      <c r="U575" s="15"/>
      <c r="V575" s="15"/>
    </row>
    <row r="576" spans="1:22" x14ac:dyDescent="0.25">
      <c r="A576" s="166"/>
      <c r="B576" s="268"/>
      <c r="C576" s="524"/>
      <c r="D576" s="525"/>
      <c r="E576" s="525"/>
      <c r="F576" s="525"/>
      <c r="G576" s="525"/>
      <c r="H576" s="525"/>
      <c r="I576" s="525"/>
      <c r="J576" s="536"/>
      <c r="K576" s="536"/>
      <c r="L576" s="525"/>
      <c r="M576" s="525"/>
      <c r="N576" s="525"/>
      <c r="O576" s="536"/>
      <c r="P576" s="165"/>
      <c r="Q576" s="525"/>
      <c r="R576" s="536"/>
      <c r="S576" s="536"/>
      <c r="T576" s="15"/>
      <c r="U576" s="15"/>
      <c r="V576" s="15"/>
    </row>
    <row r="577" spans="1:22" x14ac:dyDescent="0.25">
      <c r="A577" s="166"/>
      <c r="B577" s="167"/>
      <c r="C577" s="168"/>
      <c r="D577" s="169"/>
      <c r="E577" s="169"/>
      <c r="F577" s="169"/>
      <c r="G577" s="169"/>
      <c r="H577" s="169"/>
      <c r="I577" s="169"/>
      <c r="J577" s="170"/>
      <c r="K577" s="170"/>
      <c r="L577" s="169"/>
      <c r="M577" s="169"/>
      <c r="N577" s="169"/>
      <c r="O577" s="170"/>
      <c r="P577" s="170"/>
      <c r="Q577" s="169"/>
      <c r="R577" s="170"/>
      <c r="S577" s="170"/>
      <c r="T577" s="15"/>
      <c r="U577" s="15"/>
      <c r="V577" s="15"/>
    </row>
    <row r="578" spans="1:22" x14ac:dyDescent="0.25">
      <c r="A578" s="166"/>
      <c r="B578" s="207"/>
      <c r="C578" s="208"/>
      <c r="D578" s="209"/>
      <c r="E578" s="209"/>
      <c r="F578" s="209"/>
      <c r="G578" s="209"/>
      <c r="H578" s="209"/>
      <c r="I578" s="209"/>
      <c r="J578" s="210"/>
      <c r="K578" s="210"/>
      <c r="L578" s="209"/>
      <c r="M578" s="209"/>
      <c r="N578" s="209"/>
      <c r="O578" s="210"/>
      <c r="P578" s="210"/>
      <c r="Q578" s="209"/>
      <c r="R578" s="210"/>
      <c r="S578" s="210"/>
      <c r="T578" s="15"/>
      <c r="U578" s="15"/>
      <c r="V578" s="15"/>
    </row>
    <row r="579" spans="1:22" x14ac:dyDescent="0.25">
      <c r="A579" s="166"/>
      <c r="B579" s="268"/>
      <c r="C579" s="524"/>
      <c r="D579" s="525"/>
      <c r="E579" s="525"/>
      <c r="F579" s="525"/>
      <c r="G579" s="525"/>
      <c r="H579" s="525"/>
      <c r="I579" s="525"/>
      <c r="J579" s="536"/>
      <c r="K579" s="536"/>
      <c r="L579" s="525"/>
      <c r="M579" s="525"/>
      <c r="N579" s="525"/>
      <c r="O579" s="536"/>
      <c r="P579" s="165"/>
      <c r="Q579" s="525"/>
      <c r="R579" s="536"/>
      <c r="S579" s="536"/>
      <c r="T579" s="15"/>
      <c r="U579" s="15"/>
      <c r="V579" s="15"/>
    </row>
    <row r="580" spans="1:22" x14ac:dyDescent="0.25">
      <c r="A580" s="166"/>
      <c r="B580" s="167"/>
      <c r="C580" s="168"/>
      <c r="D580" s="169"/>
      <c r="E580" s="169"/>
      <c r="F580" s="169"/>
      <c r="G580" s="169"/>
      <c r="H580" s="169"/>
      <c r="I580" s="169"/>
      <c r="J580" s="170"/>
      <c r="K580" s="170"/>
      <c r="L580" s="169"/>
      <c r="M580" s="169"/>
      <c r="N580" s="169"/>
      <c r="O580" s="170"/>
      <c r="P580" s="170"/>
      <c r="Q580" s="169"/>
      <c r="R580" s="170"/>
      <c r="S580" s="170"/>
      <c r="T580" s="15"/>
      <c r="U580" s="15"/>
      <c r="V580" s="15"/>
    </row>
    <row r="581" spans="1:22" ht="15.75" thickBot="1" x14ac:dyDescent="0.3">
      <c r="A581" s="540"/>
      <c r="B581" s="541"/>
      <c r="C581" s="542"/>
      <c r="D581" s="543"/>
      <c r="E581" s="543"/>
      <c r="F581" s="543"/>
      <c r="G581" s="543"/>
      <c r="H581" s="543"/>
      <c r="I581" s="543"/>
      <c r="J581" s="544"/>
      <c r="K581" s="544"/>
      <c r="L581" s="543"/>
      <c r="M581" s="543"/>
      <c r="N581" s="543"/>
      <c r="O581" s="544"/>
      <c r="P581" s="544"/>
      <c r="Q581" s="543"/>
      <c r="R581" s="544"/>
      <c r="S581" s="544"/>
      <c r="T581" s="15"/>
      <c r="U581" s="15"/>
      <c r="V581" s="15"/>
    </row>
    <row r="582" spans="1:22" x14ac:dyDescent="0.25">
      <c r="A582" s="523"/>
      <c r="B582" s="268"/>
      <c r="C582" s="524"/>
      <c r="D582" s="525"/>
      <c r="E582" s="525"/>
      <c r="F582" s="525"/>
      <c r="G582" s="525"/>
      <c r="H582" s="525"/>
      <c r="I582" s="525"/>
      <c r="J582" s="536"/>
      <c r="K582" s="536"/>
      <c r="L582" s="525"/>
      <c r="M582" s="525"/>
      <c r="N582" s="525"/>
      <c r="O582" s="536"/>
      <c r="P582" s="165"/>
      <c r="Q582" s="525"/>
      <c r="R582" s="536"/>
      <c r="S582" s="536"/>
      <c r="T582" s="15"/>
      <c r="U582" s="15"/>
      <c r="V582" s="15"/>
    </row>
    <row r="583" spans="1:22" x14ac:dyDescent="0.25">
      <c r="A583" s="166"/>
      <c r="B583" s="167"/>
      <c r="C583" s="168"/>
      <c r="D583" s="169"/>
      <c r="E583" s="169"/>
      <c r="F583" s="169"/>
      <c r="G583" s="169"/>
      <c r="H583" s="169"/>
      <c r="I583" s="169"/>
      <c r="J583" s="170"/>
      <c r="K583" s="170"/>
      <c r="L583" s="169"/>
      <c r="M583" s="169"/>
      <c r="N583" s="169"/>
      <c r="O583" s="170"/>
      <c r="P583" s="170"/>
      <c r="Q583" s="169"/>
      <c r="R583" s="170"/>
      <c r="S583" s="170"/>
      <c r="T583" s="15"/>
      <c r="U583" s="15"/>
      <c r="V583" s="15"/>
    </row>
    <row r="584" spans="1:22" x14ac:dyDescent="0.25">
      <c r="A584" s="166"/>
      <c r="B584" s="207"/>
      <c r="C584" s="208"/>
      <c r="D584" s="209"/>
      <c r="E584" s="209"/>
      <c r="F584" s="209"/>
      <c r="G584" s="209"/>
      <c r="H584" s="209"/>
      <c r="I584" s="209"/>
      <c r="J584" s="210"/>
      <c r="K584" s="210"/>
      <c r="L584" s="209"/>
      <c r="M584" s="209"/>
      <c r="N584" s="209"/>
      <c r="O584" s="210"/>
      <c r="P584" s="210"/>
      <c r="Q584" s="209"/>
      <c r="R584" s="210"/>
      <c r="S584" s="210"/>
      <c r="T584" s="15"/>
      <c r="U584" s="15"/>
      <c r="V584" s="15"/>
    </row>
    <row r="585" spans="1:22" x14ac:dyDescent="0.25">
      <c r="A585" s="166"/>
      <c r="B585" s="268"/>
      <c r="C585" s="524"/>
      <c r="D585" s="525"/>
      <c r="E585" s="525"/>
      <c r="F585" s="525"/>
      <c r="G585" s="525"/>
      <c r="H585" s="525"/>
      <c r="I585" s="525"/>
      <c r="J585" s="536"/>
      <c r="K585" s="536"/>
      <c r="L585" s="525"/>
      <c r="M585" s="525"/>
      <c r="N585" s="525"/>
      <c r="O585" s="536"/>
      <c r="P585" s="165"/>
      <c r="Q585" s="525"/>
      <c r="R585" s="536"/>
      <c r="S585" s="536"/>
      <c r="T585" s="15"/>
      <c r="U585" s="15"/>
      <c r="V585" s="15"/>
    </row>
    <row r="586" spans="1:22" x14ac:dyDescent="0.25">
      <c r="A586" s="166"/>
      <c r="B586" s="167"/>
      <c r="C586" s="168"/>
      <c r="D586" s="169"/>
      <c r="E586" s="169"/>
      <c r="F586" s="169"/>
      <c r="G586" s="169"/>
      <c r="H586" s="169"/>
      <c r="I586" s="169"/>
      <c r="J586" s="170"/>
      <c r="K586" s="170"/>
      <c r="L586" s="169"/>
      <c r="M586" s="169"/>
      <c r="N586" s="169"/>
      <c r="O586" s="170"/>
      <c r="P586" s="170"/>
      <c r="Q586" s="169"/>
      <c r="R586" s="170"/>
      <c r="S586" s="170"/>
      <c r="T586" s="15"/>
      <c r="U586" s="15"/>
      <c r="V586" s="15"/>
    </row>
    <row r="587" spans="1:22" x14ac:dyDescent="0.25">
      <c r="A587" s="166"/>
      <c r="B587" s="207"/>
      <c r="C587" s="208"/>
      <c r="D587" s="209"/>
      <c r="E587" s="209"/>
      <c r="F587" s="209"/>
      <c r="G587" s="209"/>
      <c r="H587" s="209"/>
      <c r="I587" s="209"/>
      <c r="J587" s="210"/>
      <c r="K587" s="210"/>
      <c r="L587" s="209"/>
      <c r="M587" s="209"/>
      <c r="N587" s="209"/>
      <c r="O587" s="210"/>
      <c r="P587" s="210"/>
      <c r="Q587" s="209"/>
      <c r="R587" s="210"/>
      <c r="S587" s="210"/>
      <c r="T587" s="15"/>
      <c r="U587" s="15"/>
      <c r="V587" s="15"/>
    </row>
    <row r="588" spans="1:22" x14ac:dyDescent="0.25">
      <c r="A588" s="166"/>
      <c r="B588" s="268"/>
      <c r="C588" s="524"/>
      <c r="D588" s="525"/>
      <c r="E588" s="525"/>
      <c r="F588" s="525"/>
      <c r="G588" s="525"/>
      <c r="H588" s="525"/>
      <c r="I588" s="525"/>
      <c r="J588" s="536"/>
      <c r="K588" s="536"/>
      <c r="L588" s="525"/>
      <c r="M588" s="525"/>
      <c r="N588" s="525"/>
      <c r="O588" s="536"/>
      <c r="P588" s="165"/>
      <c r="Q588" s="525"/>
      <c r="R588" s="536"/>
      <c r="S588" s="536"/>
      <c r="T588" s="15"/>
      <c r="U588" s="15"/>
      <c r="V588" s="15"/>
    </row>
    <row r="589" spans="1:22" x14ac:dyDescent="0.25">
      <c r="A589" s="166"/>
      <c r="B589" s="167"/>
      <c r="C589" s="168"/>
      <c r="D589" s="169"/>
      <c r="E589" s="169"/>
      <c r="F589" s="169"/>
      <c r="G589" s="169"/>
      <c r="H589" s="169"/>
      <c r="I589" s="169"/>
      <c r="J589" s="170"/>
      <c r="K589" s="170"/>
      <c r="L589" s="169"/>
      <c r="M589" s="169"/>
      <c r="N589" s="169"/>
      <c r="O589" s="170"/>
      <c r="P589" s="170"/>
      <c r="Q589" s="169"/>
      <c r="R589" s="170"/>
      <c r="S589" s="170"/>
      <c r="T589" s="15"/>
      <c r="U589" s="15"/>
      <c r="V589" s="15"/>
    </row>
    <row r="590" spans="1:22" x14ac:dyDescent="0.25">
      <c r="A590" s="166"/>
      <c r="B590" s="207"/>
      <c r="C590" s="208"/>
      <c r="D590" s="209"/>
      <c r="E590" s="209"/>
      <c r="F590" s="209"/>
      <c r="G590" s="209"/>
      <c r="H590" s="209"/>
      <c r="I590" s="209"/>
      <c r="J590" s="210"/>
      <c r="K590" s="210"/>
      <c r="L590" s="209"/>
      <c r="M590" s="209"/>
      <c r="N590" s="209"/>
      <c r="O590" s="210"/>
      <c r="P590" s="210"/>
      <c r="Q590" s="209"/>
      <c r="R590" s="210"/>
      <c r="S590" s="210"/>
      <c r="T590" s="15"/>
      <c r="U590" s="15"/>
      <c r="V590" s="15"/>
    </row>
    <row r="591" spans="1:22" x14ac:dyDescent="0.25">
      <c r="A591" s="166"/>
      <c r="B591" s="268"/>
      <c r="C591" s="524"/>
      <c r="D591" s="525"/>
      <c r="E591" s="525"/>
      <c r="F591" s="525"/>
      <c r="G591" s="525"/>
      <c r="H591" s="525"/>
      <c r="I591" s="525"/>
      <c r="J591" s="536"/>
      <c r="K591" s="536"/>
      <c r="L591" s="525"/>
      <c r="M591" s="525"/>
      <c r="N591" s="525"/>
      <c r="O591" s="536"/>
      <c r="P591" s="165"/>
      <c r="Q591" s="525"/>
      <c r="R591" s="536"/>
      <c r="S591" s="536"/>
      <c r="T591" s="15"/>
      <c r="U591" s="15"/>
      <c r="V591" s="15"/>
    </row>
    <row r="592" spans="1:22" x14ac:dyDescent="0.25">
      <c r="A592" s="166"/>
      <c r="B592" s="167"/>
      <c r="C592" s="168"/>
      <c r="D592" s="169"/>
      <c r="E592" s="169"/>
      <c r="F592" s="169"/>
      <c r="G592" s="169"/>
      <c r="H592" s="169"/>
      <c r="I592" s="169"/>
      <c r="J592" s="170"/>
      <c r="K592" s="170"/>
      <c r="L592" s="169"/>
      <c r="M592" s="169"/>
      <c r="N592" s="169"/>
      <c r="O592" s="170"/>
      <c r="P592" s="170"/>
      <c r="Q592" s="169"/>
      <c r="R592" s="170"/>
      <c r="S592" s="170"/>
      <c r="T592" s="15"/>
      <c r="U592" s="15"/>
      <c r="V592" s="15"/>
    </row>
    <row r="593" spans="1:22" x14ac:dyDescent="0.25">
      <c r="A593" s="166"/>
      <c r="B593" s="207"/>
      <c r="C593" s="208"/>
      <c r="D593" s="209"/>
      <c r="E593" s="209"/>
      <c r="F593" s="209"/>
      <c r="G593" s="209"/>
      <c r="H593" s="209"/>
      <c r="I593" s="209"/>
      <c r="J593" s="210"/>
      <c r="K593" s="210"/>
      <c r="L593" s="209"/>
      <c r="M593" s="209"/>
      <c r="N593" s="209"/>
      <c r="O593" s="210"/>
      <c r="P593" s="210"/>
      <c r="Q593" s="209"/>
      <c r="R593" s="210"/>
      <c r="S593" s="210"/>
      <c r="T593" s="15"/>
      <c r="U593" s="15"/>
      <c r="V593" s="15"/>
    </row>
    <row r="594" spans="1:22" x14ac:dyDescent="0.25">
      <c r="A594" s="166"/>
      <c r="B594" s="268"/>
      <c r="C594" s="524"/>
      <c r="D594" s="525"/>
      <c r="E594" s="525"/>
      <c r="F594" s="525"/>
      <c r="G594" s="525"/>
      <c r="H594" s="525"/>
      <c r="I594" s="525"/>
      <c r="J594" s="536"/>
      <c r="K594" s="536"/>
      <c r="L594" s="525"/>
      <c r="M594" s="525"/>
      <c r="N594" s="525"/>
      <c r="O594" s="536"/>
      <c r="P594" s="165"/>
      <c r="Q594" s="525"/>
      <c r="R594" s="536"/>
      <c r="S594" s="536"/>
      <c r="T594" s="15"/>
      <c r="U594" s="15"/>
      <c r="V594" s="15"/>
    </row>
    <row r="595" spans="1:22" x14ac:dyDescent="0.25">
      <c r="A595" s="166"/>
      <c r="B595" s="167"/>
      <c r="C595" s="168"/>
      <c r="D595" s="169"/>
      <c r="E595" s="169"/>
      <c r="F595" s="169"/>
      <c r="G595" s="169"/>
      <c r="H595" s="169"/>
      <c r="I595" s="169"/>
      <c r="J595" s="170"/>
      <c r="K595" s="170"/>
      <c r="L595" s="169"/>
      <c r="M595" s="169"/>
      <c r="N595" s="169"/>
      <c r="O595" s="170"/>
      <c r="P595" s="170"/>
      <c r="Q595" s="169"/>
      <c r="R595" s="170"/>
      <c r="S595" s="170"/>
      <c r="T595" s="15"/>
      <c r="U595" s="15"/>
      <c r="V595" s="15"/>
    </row>
    <row r="596" spans="1:22" x14ac:dyDescent="0.25">
      <c r="A596" s="166"/>
      <c r="B596" s="207"/>
      <c r="C596" s="208"/>
      <c r="D596" s="209"/>
      <c r="E596" s="209"/>
      <c r="F596" s="209"/>
      <c r="G596" s="209"/>
      <c r="H596" s="209"/>
      <c r="I596" s="209"/>
      <c r="J596" s="210"/>
      <c r="K596" s="210"/>
      <c r="L596" s="209"/>
      <c r="M596" s="209"/>
      <c r="N596" s="209"/>
      <c r="O596" s="210"/>
      <c r="P596" s="210"/>
      <c r="Q596" s="209"/>
      <c r="R596" s="210"/>
      <c r="S596" s="210"/>
      <c r="T596" s="15"/>
      <c r="U596" s="15"/>
      <c r="V596" s="15"/>
    </row>
    <row r="597" spans="1:22" x14ac:dyDescent="0.25">
      <c r="A597" s="166"/>
      <c r="B597" s="268"/>
      <c r="C597" s="524"/>
      <c r="D597" s="525"/>
      <c r="E597" s="525"/>
      <c r="F597" s="525"/>
      <c r="G597" s="525"/>
      <c r="H597" s="525"/>
      <c r="I597" s="525"/>
      <c r="J597" s="536"/>
      <c r="K597" s="536"/>
      <c r="L597" s="525"/>
      <c r="M597" s="525"/>
      <c r="N597" s="525"/>
      <c r="O597" s="536"/>
      <c r="P597" s="165"/>
      <c r="Q597" s="525"/>
      <c r="R597" s="536"/>
      <c r="S597" s="536"/>
      <c r="T597" s="15"/>
      <c r="U597" s="15"/>
      <c r="V597" s="15"/>
    </row>
    <row r="598" spans="1:22" x14ac:dyDescent="0.25">
      <c r="A598" s="166"/>
      <c r="B598" s="167"/>
      <c r="C598" s="168"/>
      <c r="D598" s="169"/>
      <c r="E598" s="169"/>
      <c r="F598" s="169"/>
      <c r="G598" s="169"/>
      <c r="H598" s="169"/>
      <c r="I598" s="169"/>
      <c r="J598" s="170"/>
      <c r="K598" s="170"/>
      <c r="L598" s="169"/>
      <c r="M598" s="169"/>
      <c r="N598" s="169"/>
      <c r="O598" s="170"/>
      <c r="P598" s="170"/>
      <c r="Q598" s="169"/>
      <c r="R598" s="170"/>
      <c r="S598" s="170"/>
      <c r="T598" s="15"/>
      <c r="U598" s="15"/>
      <c r="V598" s="15"/>
    </row>
    <row r="599" spans="1:22" ht="15.75" thickBot="1" x14ac:dyDescent="0.3">
      <c r="A599" s="166"/>
      <c r="B599" s="531"/>
      <c r="C599" s="532"/>
      <c r="D599" s="533"/>
      <c r="E599" s="533"/>
      <c r="F599" s="533"/>
      <c r="G599" s="533"/>
      <c r="H599" s="533"/>
      <c r="I599" s="533"/>
      <c r="J599" s="537"/>
      <c r="K599" s="537"/>
      <c r="L599" s="533"/>
      <c r="M599" s="533"/>
      <c r="N599" s="533"/>
      <c r="O599" s="537"/>
      <c r="P599" s="537"/>
      <c r="Q599" s="533"/>
      <c r="R599" s="537"/>
      <c r="S599" s="537"/>
      <c r="T599" s="15"/>
      <c r="U599" s="15"/>
      <c r="V599" s="15"/>
    </row>
    <row r="600" spans="1:22" ht="15.75" thickTop="1" x14ac:dyDescent="0.25">
      <c r="A600" s="166"/>
      <c r="B600" s="167"/>
      <c r="C600" s="168"/>
      <c r="D600" s="169"/>
      <c r="E600" s="169"/>
      <c r="F600" s="169"/>
      <c r="G600" s="169"/>
      <c r="H600" s="169"/>
      <c r="I600" s="169"/>
      <c r="J600" s="170"/>
      <c r="K600" s="170"/>
      <c r="L600" s="169"/>
      <c r="M600" s="169"/>
      <c r="N600" s="169"/>
      <c r="O600" s="170"/>
      <c r="P600" s="170"/>
      <c r="Q600" s="169"/>
      <c r="R600" s="170"/>
      <c r="S600" s="170"/>
      <c r="T600" s="15"/>
      <c r="U600" s="15"/>
      <c r="V600" s="15"/>
    </row>
    <row r="601" spans="1:22" x14ac:dyDescent="0.25">
      <c r="A601" s="166"/>
      <c r="B601" s="167"/>
      <c r="C601" s="168"/>
      <c r="D601" s="169"/>
      <c r="E601" s="169"/>
      <c r="F601" s="169"/>
      <c r="G601" s="169"/>
      <c r="H601" s="169"/>
      <c r="I601" s="169"/>
      <c r="J601" s="170"/>
      <c r="K601" s="170"/>
      <c r="L601" s="169"/>
      <c r="M601" s="169"/>
      <c r="N601" s="169"/>
      <c r="O601" s="170"/>
      <c r="P601" s="170"/>
      <c r="Q601" s="169"/>
      <c r="R601" s="170"/>
      <c r="S601" s="170"/>
      <c r="T601" s="15"/>
      <c r="U601" s="15"/>
      <c r="V601" s="15"/>
    </row>
    <row r="602" spans="1:22" x14ac:dyDescent="0.25">
      <c r="A602" s="166"/>
      <c r="B602" s="207"/>
      <c r="C602" s="208"/>
      <c r="D602" s="209"/>
      <c r="E602" s="209"/>
      <c r="F602" s="209"/>
      <c r="G602" s="209"/>
      <c r="H602" s="209"/>
      <c r="I602" s="209"/>
      <c r="J602" s="210"/>
      <c r="K602" s="210"/>
      <c r="L602" s="209"/>
      <c r="M602" s="209"/>
      <c r="N602" s="209"/>
      <c r="O602" s="210"/>
      <c r="P602" s="210"/>
      <c r="Q602" s="209"/>
      <c r="R602" s="210"/>
      <c r="S602" s="210"/>
      <c r="T602" s="15"/>
      <c r="U602" s="15"/>
      <c r="V602" s="15"/>
    </row>
    <row r="603" spans="1:22" x14ac:dyDescent="0.25">
      <c r="A603" s="166"/>
      <c r="B603" s="268"/>
      <c r="C603" s="524"/>
      <c r="D603" s="525"/>
      <c r="E603" s="525"/>
      <c r="F603" s="525"/>
      <c r="G603" s="525"/>
      <c r="H603" s="525"/>
      <c r="I603" s="525"/>
      <c r="J603" s="536"/>
      <c r="K603" s="536"/>
      <c r="L603" s="525"/>
      <c r="M603" s="525"/>
      <c r="N603" s="525"/>
      <c r="O603" s="536"/>
      <c r="P603" s="165"/>
      <c r="Q603" s="525"/>
      <c r="R603" s="536"/>
      <c r="S603" s="536"/>
      <c r="T603" s="15"/>
      <c r="U603" s="15"/>
      <c r="V603" s="15"/>
    </row>
    <row r="604" spans="1:22" x14ac:dyDescent="0.25">
      <c r="A604" s="166"/>
      <c r="B604" s="167"/>
      <c r="C604" s="168"/>
      <c r="D604" s="169"/>
      <c r="E604" s="169"/>
      <c r="F604" s="169"/>
      <c r="G604" s="169"/>
      <c r="H604" s="169"/>
      <c r="I604" s="169"/>
      <c r="J604" s="170"/>
      <c r="K604" s="170"/>
      <c r="L604" s="169"/>
      <c r="M604" s="169"/>
      <c r="N604" s="169"/>
      <c r="O604" s="170"/>
      <c r="P604" s="170"/>
      <c r="Q604" s="169"/>
      <c r="R604" s="170"/>
      <c r="S604" s="170"/>
      <c r="T604" s="15"/>
      <c r="U604" s="15"/>
      <c r="V604" s="15"/>
    </row>
    <row r="605" spans="1:22" x14ac:dyDescent="0.25">
      <c r="A605" s="166"/>
      <c r="B605" s="207"/>
      <c r="C605" s="208"/>
      <c r="D605" s="209"/>
      <c r="E605" s="209"/>
      <c r="F605" s="209"/>
      <c r="G605" s="209"/>
      <c r="H605" s="209"/>
      <c r="I605" s="209"/>
      <c r="J605" s="210"/>
      <c r="K605" s="210"/>
      <c r="L605" s="209"/>
      <c r="M605" s="209"/>
      <c r="N605" s="209"/>
      <c r="O605" s="210"/>
      <c r="P605" s="210"/>
      <c r="Q605" s="209"/>
      <c r="R605" s="210"/>
      <c r="S605" s="210"/>
      <c r="T605" s="15"/>
      <c r="U605" s="15"/>
      <c r="V605" s="15"/>
    </row>
    <row r="606" spans="1:22" x14ac:dyDescent="0.25">
      <c r="A606" s="166"/>
      <c r="B606" s="268"/>
      <c r="C606" s="524"/>
      <c r="D606" s="525"/>
      <c r="E606" s="525"/>
      <c r="F606" s="525"/>
      <c r="G606" s="525"/>
      <c r="H606" s="525"/>
      <c r="I606" s="525"/>
      <c r="J606" s="536"/>
      <c r="K606" s="536"/>
      <c r="L606" s="525"/>
      <c r="M606" s="525"/>
      <c r="N606" s="525"/>
      <c r="O606" s="536"/>
      <c r="P606" s="165"/>
      <c r="Q606" s="525"/>
      <c r="R606" s="536"/>
      <c r="S606" s="536"/>
      <c r="T606" s="15"/>
      <c r="U606" s="15"/>
      <c r="V606" s="15"/>
    </row>
    <row r="607" spans="1:22" x14ac:dyDescent="0.25">
      <c r="A607" s="166"/>
      <c r="B607" s="167"/>
      <c r="C607" s="168"/>
      <c r="D607" s="169"/>
      <c r="E607" s="169"/>
      <c r="F607" s="169"/>
      <c r="G607" s="169"/>
      <c r="H607" s="169"/>
      <c r="I607" s="169"/>
      <c r="J607" s="170"/>
      <c r="K607" s="170"/>
      <c r="L607" s="169"/>
      <c r="M607" s="169"/>
      <c r="N607" s="169"/>
      <c r="O607" s="170"/>
      <c r="P607" s="170"/>
      <c r="Q607" s="169"/>
      <c r="R607" s="170"/>
      <c r="S607" s="170"/>
      <c r="T607" s="15"/>
      <c r="U607" s="15"/>
      <c r="V607" s="15"/>
    </row>
    <row r="608" spans="1:22" x14ac:dyDescent="0.25">
      <c r="A608" s="166"/>
      <c r="B608" s="207"/>
      <c r="C608" s="208"/>
      <c r="D608" s="209"/>
      <c r="E608" s="209"/>
      <c r="F608" s="209"/>
      <c r="G608" s="209"/>
      <c r="H608" s="209"/>
      <c r="I608" s="209"/>
      <c r="J608" s="210"/>
      <c r="K608" s="210"/>
      <c r="L608" s="209"/>
      <c r="M608" s="209"/>
      <c r="N608" s="209"/>
      <c r="O608" s="210"/>
      <c r="P608" s="210"/>
      <c r="Q608" s="209"/>
      <c r="R608" s="210"/>
      <c r="S608" s="210"/>
      <c r="T608" s="15"/>
      <c r="U608" s="15"/>
      <c r="V608" s="15"/>
    </row>
    <row r="609" spans="1:22" x14ac:dyDescent="0.25">
      <c r="A609" s="166"/>
      <c r="B609" s="268"/>
      <c r="C609" s="524"/>
      <c r="D609" s="525"/>
      <c r="E609" s="525"/>
      <c r="F609" s="525"/>
      <c r="G609" s="525"/>
      <c r="H609" s="525"/>
      <c r="I609" s="525"/>
      <c r="J609" s="536"/>
      <c r="K609" s="536"/>
      <c r="L609" s="525"/>
      <c r="M609" s="525"/>
      <c r="N609" s="525"/>
      <c r="O609" s="536"/>
      <c r="P609" s="165"/>
      <c r="Q609" s="525"/>
      <c r="R609" s="536"/>
      <c r="S609" s="536"/>
      <c r="T609" s="15"/>
      <c r="U609" s="15"/>
      <c r="V609" s="15"/>
    </row>
    <row r="610" spans="1:22" x14ac:dyDescent="0.25">
      <c r="A610" s="166"/>
      <c r="B610" s="167"/>
      <c r="C610" s="168"/>
      <c r="D610" s="169"/>
      <c r="E610" s="169"/>
      <c r="F610" s="169"/>
      <c r="G610" s="169"/>
      <c r="H610" s="169"/>
      <c r="I610" s="169"/>
      <c r="J610" s="170"/>
      <c r="K610" s="170"/>
      <c r="L610" s="169"/>
      <c r="M610" s="169"/>
      <c r="N610" s="169"/>
      <c r="O610" s="170"/>
      <c r="P610" s="170"/>
      <c r="Q610" s="169"/>
      <c r="R610" s="170"/>
      <c r="S610" s="170"/>
      <c r="T610" s="15"/>
      <c r="U610" s="15"/>
      <c r="V610" s="15"/>
    </row>
    <row r="611" spans="1:22" x14ac:dyDescent="0.25">
      <c r="A611" s="166"/>
      <c r="B611" s="207"/>
      <c r="C611" s="208"/>
      <c r="D611" s="209"/>
      <c r="E611" s="209"/>
      <c r="F611" s="209"/>
      <c r="G611" s="209"/>
      <c r="H611" s="209"/>
      <c r="I611" s="209"/>
      <c r="J611" s="210"/>
      <c r="K611" s="210"/>
      <c r="L611" s="209"/>
      <c r="M611" s="209"/>
      <c r="N611" s="209"/>
      <c r="O611" s="210"/>
      <c r="P611" s="210"/>
      <c r="Q611" s="209"/>
      <c r="R611" s="210"/>
      <c r="S611" s="210"/>
      <c r="T611" s="15"/>
      <c r="U611" s="15"/>
      <c r="V611" s="15"/>
    </row>
    <row r="612" spans="1:22" x14ac:dyDescent="0.25">
      <c r="A612" s="166"/>
      <c r="B612" s="268"/>
      <c r="C612" s="524"/>
      <c r="D612" s="525"/>
      <c r="E612" s="525"/>
      <c r="F612" s="525"/>
      <c r="G612" s="525"/>
      <c r="H612" s="525"/>
      <c r="I612" s="525"/>
      <c r="J612" s="536"/>
      <c r="K612" s="536"/>
      <c r="L612" s="525"/>
      <c r="M612" s="525"/>
      <c r="N612" s="525"/>
      <c r="O612" s="536"/>
      <c r="P612" s="165"/>
      <c r="Q612" s="525"/>
      <c r="R612" s="536"/>
      <c r="S612" s="536"/>
      <c r="T612" s="15"/>
      <c r="U612" s="15"/>
      <c r="V612" s="15"/>
    </row>
    <row r="613" spans="1:22" x14ac:dyDescent="0.25">
      <c r="A613" s="166"/>
      <c r="B613" s="167"/>
      <c r="C613" s="168"/>
      <c r="D613" s="169"/>
      <c r="E613" s="169"/>
      <c r="F613" s="169"/>
      <c r="G613" s="169"/>
      <c r="H613" s="169"/>
      <c r="I613" s="169"/>
      <c r="J613" s="170"/>
      <c r="K613" s="170"/>
      <c r="L613" s="169"/>
      <c r="M613" s="169"/>
      <c r="N613" s="169"/>
      <c r="O613" s="170"/>
      <c r="P613" s="170"/>
      <c r="Q613" s="169"/>
      <c r="R613" s="170"/>
      <c r="S613" s="170"/>
      <c r="T613" s="15"/>
      <c r="U613" s="15"/>
      <c r="V613" s="15"/>
    </row>
    <row r="614" spans="1:22" x14ac:dyDescent="0.25">
      <c r="A614" s="166"/>
      <c r="B614" s="207"/>
      <c r="C614" s="208"/>
      <c r="D614" s="209"/>
      <c r="E614" s="209"/>
      <c r="F614" s="209"/>
      <c r="G614" s="209"/>
      <c r="H614" s="209"/>
      <c r="I614" s="209"/>
      <c r="J614" s="210"/>
      <c r="K614" s="210"/>
      <c r="L614" s="209"/>
      <c r="M614" s="209"/>
      <c r="N614" s="209"/>
      <c r="O614" s="210"/>
      <c r="P614" s="210"/>
      <c r="Q614" s="209"/>
      <c r="R614" s="210"/>
      <c r="S614" s="210"/>
      <c r="T614" s="15"/>
      <c r="U614" s="15"/>
      <c r="V614" s="15"/>
    </row>
    <row r="615" spans="1:22" x14ac:dyDescent="0.25">
      <c r="A615" s="166"/>
      <c r="B615" s="268"/>
      <c r="C615" s="524"/>
      <c r="D615" s="525"/>
      <c r="E615" s="525"/>
      <c r="F615" s="525"/>
      <c r="G615" s="525"/>
      <c r="H615" s="525"/>
      <c r="I615" s="525"/>
      <c r="J615" s="536"/>
      <c r="K615" s="536"/>
      <c r="L615" s="525"/>
      <c r="M615" s="525"/>
      <c r="N615" s="525"/>
      <c r="O615" s="536"/>
      <c r="P615" s="165"/>
      <c r="Q615" s="525"/>
      <c r="R615" s="536"/>
      <c r="S615" s="536"/>
      <c r="T615" s="15"/>
      <c r="U615" s="15"/>
      <c r="V615" s="15"/>
    </row>
    <row r="616" spans="1:22" x14ac:dyDescent="0.25">
      <c r="A616" s="166"/>
      <c r="B616" s="167"/>
      <c r="C616" s="168"/>
      <c r="D616" s="169"/>
      <c r="E616" s="169"/>
      <c r="F616" s="169"/>
      <c r="G616" s="169"/>
      <c r="H616" s="169"/>
      <c r="I616" s="169"/>
      <c r="J616" s="170"/>
      <c r="K616" s="170"/>
      <c r="L616" s="169"/>
      <c r="M616" s="169"/>
      <c r="N616" s="169"/>
      <c r="O616" s="170"/>
      <c r="P616" s="170"/>
      <c r="Q616" s="169"/>
      <c r="R616" s="170"/>
      <c r="S616" s="170"/>
      <c r="T616" s="15"/>
      <c r="U616" s="15"/>
      <c r="V616" s="15"/>
    </row>
    <row r="617" spans="1:22" x14ac:dyDescent="0.25">
      <c r="A617" s="172"/>
      <c r="B617" s="207"/>
      <c r="C617" s="208"/>
      <c r="D617" s="209"/>
      <c r="E617" s="209"/>
      <c r="F617" s="209"/>
      <c r="G617" s="209"/>
      <c r="H617" s="209"/>
      <c r="I617" s="209"/>
      <c r="J617" s="210"/>
      <c r="K617" s="210"/>
      <c r="L617" s="209"/>
      <c r="M617" s="209"/>
      <c r="N617" s="209"/>
      <c r="O617" s="210"/>
      <c r="P617" s="210"/>
      <c r="Q617" s="209"/>
      <c r="R617" s="210"/>
      <c r="S617" s="210"/>
      <c r="T617" s="15"/>
      <c r="U617" s="15"/>
      <c r="V617" s="15"/>
    </row>
    <row r="621" spans="1:22" x14ac:dyDescent="0.25">
      <c r="D621" s="148"/>
      <c r="E621" s="148"/>
      <c r="F621" s="148"/>
      <c r="G621" s="148"/>
      <c r="H621" s="148"/>
      <c r="I621" s="148"/>
      <c r="J621" s="148"/>
      <c r="K621" s="148"/>
      <c r="L621" s="148"/>
      <c r="M621" s="148"/>
      <c r="N621" s="148"/>
      <c r="O621" s="148"/>
      <c r="P621" s="148"/>
      <c r="Q621" s="148"/>
      <c r="R621" s="148"/>
      <c r="S621" s="148"/>
    </row>
    <row r="622" spans="1:22" x14ac:dyDescent="0.25">
      <c r="D622" s="148"/>
      <c r="E622" s="148"/>
      <c r="F622" s="148"/>
      <c r="G622" s="148"/>
      <c r="H622" s="148"/>
      <c r="I622" s="148"/>
      <c r="J622" s="148"/>
      <c r="K622" s="148"/>
      <c r="L622" s="148"/>
      <c r="M622" s="148"/>
      <c r="N622" s="148"/>
      <c r="O622" s="148"/>
      <c r="P622" s="148"/>
      <c r="Q622" s="148"/>
      <c r="R622" s="148"/>
      <c r="S622" s="148"/>
    </row>
    <row r="623" spans="1:22" x14ac:dyDescent="0.25">
      <c r="D623" s="148"/>
      <c r="E623" s="148"/>
      <c r="F623" s="148"/>
      <c r="G623" s="148"/>
      <c r="H623" s="148"/>
      <c r="I623" s="148"/>
      <c r="J623" s="148"/>
      <c r="K623" s="148"/>
      <c r="L623" s="148"/>
      <c r="M623" s="148"/>
      <c r="N623" s="148"/>
      <c r="O623" s="148"/>
      <c r="P623" s="148"/>
      <c r="Q623" s="148"/>
      <c r="R623" s="148"/>
      <c r="S623" s="148"/>
    </row>
    <row r="624" spans="1:22" x14ac:dyDescent="0.25">
      <c r="D624" s="148"/>
      <c r="E624" s="148"/>
      <c r="F624" s="148"/>
      <c r="G624" s="148"/>
      <c r="H624" s="148"/>
      <c r="I624" s="148"/>
      <c r="J624" s="148"/>
      <c r="K624" s="148"/>
      <c r="L624" s="148"/>
      <c r="M624" s="148"/>
      <c r="N624" s="148"/>
      <c r="O624" s="148"/>
      <c r="P624" s="148"/>
      <c r="Q624" s="148"/>
      <c r="R624" s="148"/>
      <c r="S624" s="148"/>
    </row>
    <row r="625" spans="4:19" x14ac:dyDescent="0.25">
      <c r="D625" s="148"/>
      <c r="E625" s="148"/>
      <c r="F625" s="148"/>
      <c r="G625" s="148"/>
      <c r="H625" s="148"/>
      <c r="I625" s="148"/>
      <c r="J625" s="148"/>
      <c r="K625" s="148"/>
      <c r="L625" s="148"/>
      <c r="M625" s="148"/>
      <c r="N625" s="148"/>
      <c r="O625" s="148"/>
      <c r="P625" s="148"/>
      <c r="Q625" s="148"/>
      <c r="R625" s="148"/>
      <c r="S625" s="148"/>
    </row>
    <row r="626" spans="4:19" x14ac:dyDescent="0.25">
      <c r="D626" s="148"/>
      <c r="E626" s="148"/>
      <c r="F626" s="148"/>
      <c r="G626" s="148"/>
      <c r="H626" s="148"/>
      <c r="I626" s="148"/>
      <c r="J626" s="148"/>
      <c r="K626" s="148"/>
      <c r="L626" s="148"/>
      <c r="M626" s="148"/>
      <c r="N626" s="148"/>
      <c r="O626" s="148"/>
      <c r="P626" s="148"/>
      <c r="Q626" s="148"/>
      <c r="R626" s="148"/>
      <c r="S626" s="148"/>
    </row>
    <row r="627" spans="4:19" x14ac:dyDescent="0.25">
      <c r="D627" s="148"/>
      <c r="E627" s="148"/>
      <c r="F627" s="148"/>
      <c r="G627" s="148"/>
      <c r="H627" s="148"/>
      <c r="I627" s="148"/>
      <c r="J627" s="148"/>
      <c r="K627" s="148"/>
      <c r="L627" s="148"/>
      <c r="M627" s="148"/>
      <c r="N627" s="148"/>
      <c r="O627" s="148"/>
      <c r="P627" s="148"/>
      <c r="Q627" s="148"/>
      <c r="R627" s="148"/>
      <c r="S627" s="148"/>
    </row>
    <row r="628" spans="4:19" x14ac:dyDescent="0.25">
      <c r="D628" s="148"/>
      <c r="E628" s="148"/>
      <c r="F628" s="148"/>
      <c r="G628" s="148"/>
      <c r="H628" s="148"/>
      <c r="I628" s="148"/>
      <c r="J628" s="148"/>
      <c r="K628" s="148"/>
      <c r="L628" s="148"/>
      <c r="M628" s="148"/>
      <c r="N628" s="148"/>
      <c r="O628" s="148"/>
      <c r="P628" s="148"/>
      <c r="Q628" s="148"/>
      <c r="R628" s="148"/>
      <c r="S628" s="148"/>
    </row>
    <row r="629" spans="4:19" x14ac:dyDescent="0.25">
      <c r="D629" s="148"/>
      <c r="E629" s="148"/>
      <c r="F629" s="148"/>
      <c r="G629" s="148"/>
      <c r="H629" s="148"/>
      <c r="I629" s="148"/>
      <c r="J629" s="148"/>
      <c r="K629" s="148"/>
      <c r="L629" s="148"/>
      <c r="M629" s="148"/>
      <c r="N629" s="148"/>
      <c r="O629" s="148"/>
      <c r="P629" s="148"/>
      <c r="Q629" s="148"/>
      <c r="R629" s="148"/>
      <c r="S629" s="148"/>
    </row>
    <row r="630" spans="4:19" x14ac:dyDescent="0.25">
      <c r="D630" s="148"/>
      <c r="E630" s="148"/>
      <c r="F630" s="148"/>
      <c r="G630" s="148"/>
      <c r="H630" s="148"/>
      <c r="I630" s="148"/>
      <c r="J630" s="148"/>
      <c r="K630" s="148"/>
      <c r="L630" s="148"/>
      <c r="M630" s="148"/>
      <c r="N630" s="148"/>
      <c r="O630" s="148"/>
      <c r="P630" s="148"/>
      <c r="Q630" s="148"/>
      <c r="R630" s="148"/>
      <c r="S630" s="148"/>
    </row>
    <row r="631" spans="4:19" x14ac:dyDescent="0.25">
      <c r="D631" s="148"/>
      <c r="E631" s="148"/>
      <c r="F631" s="148"/>
      <c r="G631" s="148"/>
      <c r="H631" s="148"/>
      <c r="I631" s="148"/>
      <c r="J631" s="148"/>
      <c r="K631" s="148"/>
      <c r="L631" s="148"/>
      <c r="M631" s="148"/>
      <c r="N631" s="148"/>
      <c r="O631" s="148"/>
      <c r="P631" s="148"/>
      <c r="Q631" s="148"/>
      <c r="R631" s="148"/>
      <c r="S631" s="148"/>
    </row>
    <row r="632" spans="4:19" x14ac:dyDescent="0.25">
      <c r="D632" s="148"/>
      <c r="E632" s="148"/>
      <c r="F632" s="148"/>
      <c r="G632" s="148"/>
      <c r="H632" s="148"/>
      <c r="I632" s="148"/>
      <c r="J632" s="148"/>
      <c r="K632" s="148"/>
      <c r="L632" s="148"/>
      <c r="M632" s="148"/>
      <c r="N632" s="148"/>
      <c r="O632" s="148"/>
      <c r="P632" s="148"/>
      <c r="Q632" s="148"/>
      <c r="R632" s="148"/>
      <c r="S632" s="148"/>
    </row>
    <row r="633" spans="4:19" x14ac:dyDescent="0.25">
      <c r="D633" s="148"/>
      <c r="E633" s="148"/>
      <c r="F633" s="148"/>
      <c r="G633" s="148"/>
      <c r="H633" s="148"/>
      <c r="I633" s="148"/>
      <c r="J633" s="148"/>
      <c r="K633" s="148"/>
      <c r="L633" s="148"/>
      <c r="M633" s="148"/>
      <c r="N633" s="148"/>
      <c r="O633" s="148"/>
      <c r="P633" s="148"/>
      <c r="Q633" s="148"/>
      <c r="R633" s="148"/>
      <c r="S633" s="148"/>
    </row>
    <row r="634" spans="4:19" x14ac:dyDescent="0.25">
      <c r="D634" s="148"/>
      <c r="E634" s="148"/>
      <c r="F634" s="148"/>
      <c r="G634" s="148"/>
      <c r="H634" s="148"/>
      <c r="I634" s="148"/>
      <c r="J634" s="148"/>
      <c r="K634" s="148"/>
      <c r="L634" s="148"/>
      <c r="M634" s="148"/>
      <c r="N634" s="148"/>
      <c r="O634" s="148"/>
      <c r="P634" s="148"/>
      <c r="Q634" s="148"/>
      <c r="R634" s="148"/>
      <c r="S634" s="148"/>
    </row>
    <row r="635" spans="4:19" x14ac:dyDescent="0.25">
      <c r="D635" s="148"/>
      <c r="E635" s="148"/>
      <c r="F635" s="148"/>
      <c r="G635" s="148"/>
      <c r="H635" s="148"/>
      <c r="I635" s="148"/>
      <c r="J635" s="148"/>
      <c r="K635" s="148"/>
      <c r="L635" s="148"/>
      <c r="M635" s="148"/>
      <c r="N635" s="148"/>
      <c r="O635" s="148"/>
      <c r="P635" s="148"/>
      <c r="Q635" s="148"/>
      <c r="R635" s="148"/>
      <c r="S635" s="148"/>
    </row>
    <row r="636" spans="4:19" x14ac:dyDescent="0.25">
      <c r="D636" s="148"/>
      <c r="E636" s="148"/>
      <c r="F636" s="148"/>
      <c r="G636" s="148"/>
      <c r="H636" s="148"/>
      <c r="I636" s="148"/>
      <c r="J636" s="148"/>
      <c r="K636" s="148"/>
      <c r="L636" s="148"/>
      <c r="M636" s="148"/>
      <c r="N636" s="148"/>
      <c r="O636" s="148"/>
      <c r="P636" s="148"/>
      <c r="Q636" s="148"/>
      <c r="R636" s="148"/>
      <c r="S636" s="148"/>
    </row>
    <row r="637" spans="4:19" x14ac:dyDescent="0.25">
      <c r="D637" s="148"/>
      <c r="E637" s="148"/>
      <c r="F637" s="148"/>
      <c r="G637" s="148"/>
      <c r="H637" s="148"/>
      <c r="I637" s="148"/>
      <c r="J637" s="148"/>
      <c r="K637" s="148"/>
      <c r="L637" s="148"/>
      <c r="M637" s="148"/>
      <c r="N637" s="148"/>
      <c r="O637" s="148"/>
      <c r="P637" s="148"/>
      <c r="Q637" s="148"/>
      <c r="R637" s="148"/>
      <c r="S637" s="148"/>
    </row>
    <row r="638" spans="4:19" x14ac:dyDescent="0.25">
      <c r="D638" s="148"/>
      <c r="E638" s="148"/>
      <c r="F638" s="148"/>
      <c r="G638" s="148"/>
      <c r="H638" s="148"/>
      <c r="I638" s="148"/>
      <c r="J638" s="148"/>
      <c r="K638" s="148"/>
      <c r="L638" s="148"/>
      <c r="M638" s="148"/>
      <c r="N638" s="148"/>
      <c r="O638" s="148"/>
      <c r="P638" s="148"/>
      <c r="Q638" s="148"/>
      <c r="R638" s="148"/>
      <c r="S638" s="148"/>
    </row>
    <row r="639" spans="4:19" x14ac:dyDescent="0.25">
      <c r="D639" s="148"/>
      <c r="E639" s="148"/>
      <c r="F639" s="148"/>
      <c r="G639" s="148"/>
      <c r="H639" s="148"/>
      <c r="I639" s="148"/>
      <c r="J639" s="148"/>
      <c r="K639" s="148"/>
      <c r="L639" s="148"/>
      <c r="M639" s="148"/>
      <c r="N639" s="148"/>
      <c r="O639" s="148"/>
      <c r="P639" s="148"/>
      <c r="Q639" s="148"/>
      <c r="R639" s="148"/>
      <c r="S639" s="148"/>
    </row>
    <row r="640" spans="4:19" x14ac:dyDescent="0.25">
      <c r="D640" s="148"/>
      <c r="E640" s="148"/>
      <c r="F640" s="148"/>
      <c r="G640" s="148"/>
      <c r="H640" s="148"/>
      <c r="I640" s="148"/>
      <c r="J640" s="148"/>
      <c r="K640" s="148"/>
      <c r="L640" s="148"/>
      <c r="M640" s="148"/>
      <c r="N640" s="148"/>
      <c r="O640" s="148"/>
      <c r="P640" s="148"/>
      <c r="Q640" s="148"/>
      <c r="R640" s="148"/>
      <c r="S640" s="148"/>
    </row>
    <row r="641" spans="4:19" x14ac:dyDescent="0.25">
      <c r="D641" s="148"/>
      <c r="E641" s="148"/>
      <c r="F641" s="148"/>
      <c r="G641" s="148"/>
      <c r="H641" s="148"/>
      <c r="I641" s="148"/>
      <c r="J641" s="148"/>
      <c r="K641" s="148"/>
      <c r="L641" s="148"/>
      <c r="M641" s="148"/>
      <c r="N641" s="148"/>
      <c r="O641" s="148"/>
      <c r="P641" s="148"/>
      <c r="Q641" s="148"/>
      <c r="R641" s="148"/>
      <c r="S641" s="148"/>
    </row>
    <row r="642" spans="4:19" x14ac:dyDescent="0.25">
      <c r="D642" s="148"/>
      <c r="E642" s="148"/>
      <c r="F642" s="148"/>
      <c r="G642" s="148"/>
      <c r="H642" s="148"/>
      <c r="I642" s="148"/>
      <c r="J642" s="148"/>
      <c r="K642" s="148"/>
      <c r="L642" s="148"/>
      <c r="M642" s="148"/>
      <c r="N642" s="148"/>
      <c r="O642" s="148"/>
      <c r="P642" s="148"/>
      <c r="Q642" s="148"/>
      <c r="R642" s="148"/>
      <c r="S642" s="148"/>
    </row>
    <row r="643" spans="4:19" x14ac:dyDescent="0.25">
      <c r="D643" s="148"/>
      <c r="E643" s="148"/>
      <c r="F643" s="148"/>
      <c r="G643" s="148"/>
      <c r="H643" s="148"/>
      <c r="I643" s="148"/>
      <c r="J643" s="148"/>
      <c r="K643" s="148"/>
      <c r="L643" s="148"/>
      <c r="M643" s="148"/>
      <c r="N643" s="148"/>
      <c r="O643" s="148"/>
      <c r="P643" s="148"/>
      <c r="Q643" s="148"/>
      <c r="R643" s="148"/>
      <c r="S643" s="148"/>
    </row>
    <row r="644" spans="4:19" x14ac:dyDescent="0.25">
      <c r="D644" s="148"/>
      <c r="E644" s="148"/>
      <c r="F644" s="148"/>
      <c r="G644" s="148"/>
      <c r="H644" s="148"/>
      <c r="I644" s="148"/>
      <c r="J644" s="148"/>
      <c r="K644" s="148"/>
      <c r="L644" s="148"/>
      <c r="M644" s="148"/>
      <c r="N644" s="148"/>
      <c r="O644" s="148"/>
      <c r="P644" s="148"/>
      <c r="Q644" s="148"/>
      <c r="R644" s="148"/>
      <c r="S644" s="148"/>
    </row>
    <row r="645" spans="4:19" x14ac:dyDescent="0.25">
      <c r="D645" s="148"/>
      <c r="E645" s="148"/>
      <c r="F645" s="148"/>
      <c r="G645" s="148"/>
      <c r="H645" s="148"/>
      <c r="I645" s="148"/>
      <c r="J645" s="148"/>
      <c r="K645" s="148"/>
      <c r="L645" s="148"/>
      <c r="M645" s="148"/>
      <c r="N645" s="148"/>
      <c r="O645" s="148"/>
      <c r="P645" s="148"/>
      <c r="Q645" s="148"/>
      <c r="R645" s="148"/>
      <c r="S645" s="148"/>
    </row>
    <row r="646" spans="4:19" x14ac:dyDescent="0.25">
      <c r="D646" s="148"/>
      <c r="E646" s="148"/>
      <c r="F646" s="148"/>
      <c r="G646" s="148"/>
      <c r="H646" s="148"/>
      <c r="I646" s="148"/>
      <c r="J646" s="148"/>
      <c r="K646" s="148"/>
      <c r="L646" s="148"/>
      <c r="M646" s="148"/>
      <c r="N646" s="148"/>
      <c r="O646" s="148"/>
      <c r="P646" s="148"/>
      <c r="Q646" s="148"/>
      <c r="R646" s="148"/>
      <c r="S646" s="148"/>
    </row>
    <row r="647" spans="4:19" x14ac:dyDescent="0.25">
      <c r="D647" s="148"/>
      <c r="E647" s="148"/>
      <c r="F647" s="148"/>
      <c r="G647" s="148"/>
      <c r="H647" s="148"/>
      <c r="I647" s="148"/>
      <c r="J647" s="148"/>
      <c r="K647" s="148"/>
      <c r="L647" s="148"/>
      <c r="M647" s="148"/>
      <c r="N647" s="148"/>
      <c r="O647" s="148"/>
      <c r="P647" s="148"/>
      <c r="Q647" s="148"/>
      <c r="R647" s="148"/>
      <c r="S647" s="148"/>
    </row>
    <row r="648" spans="4:19" x14ac:dyDescent="0.25">
      <c r="D648" s="148"/>
      <c r="E648" s="148"/>
      <c r="F648" s="148"/>
      <c r="G648" s="148"/>
      <c r="H648" s="148"/>
      <c r="I648" s="148"/>
      <c r="J648" s="148"/>
      <c r="K648" s="148"/>
      <c r="L648" s="148"/>
      <c r="M648" s="148"/>
      <c r="N648" s="148"/>
      <c r="O648" s="148"/>
      <c r="P648" s="148"/>
      <c r="Q648" s="148"/>
      <c r="R648" s="148"/>
      <c r="S648" s="148"/>
    </row>
    <row r="649" spans="4:19" x14ac:dyDescent="0.25">
      <c r="D649" s="148"/>
      <c r="E649" s="148"/>
      <c r="F649" s="148"/>
      <c r="G649" s="148"/>
      <c r="H649" s="148"/>
      <c r="I649" s="148"/>
      <c r="J649" s="148"/>
      <c r="K649" s="148"/>
      <c r="L649" s="148"/>
      <c r="M649" s="148"/>
      <c r="N649" s="148"/>
      <c r="O649" s="148"/>
      <c r="P649" s="148"/>
      <c r="Q649" s="148"/>
      <c r="R649" s="148"/>
      <c r="S649" s="148"/>
    </row>
    <row r="650" spans="4:19" x14ac:dyDescent="0.25">
      <c r="D650" s="148"/>
      <c r="E650" s="148"/>
      <c r="F650" s="148"/>
      <c r="G650" s="148"/>
      <c r="H650" s="148"/>
      <c r="I650" s="148"/>
      <c r="J650" s="148"/>
      <c r="K650" s="148"/>
      <c r="L650" s="148"/>
      <c r="M650" s="148"/>
      <c r="N650" s="148"/>
      <c r="O650" s="148"/>
      <c r="P650" s="148"/>
      <c r="Q650" s="148"/>
      <c r="R650" s="148"/>
      <c r="S650" s="148"/>
    </row>
    <row r="651" spans="4:19" x14ac:dyDescent="0.25">
      <c r="D651" s="148"/>
      <c r="E651" s="148"/>
      <c r="F651" s="148"/>
      <c r="G651" s="148"/>
      <c r="H651" s="148"/>
      <c r="I651" s="148"/>
      <c r="J651" s="148"/>
      <c r="K651" s="148"/>
      <c r="L651" s="148"/>
      <c r="M651" s="148"/>
      <c r="N651" s="148"/>
      <c r="O651" s="148"/>
      <c r="P651" s="148"/>
      <c r="Q651" s="148"/>
      <c r="R651" s="148"/>
      <c r="S651" s="148"/>
    </row>
    <row r="652" spans="4:19" x14ac:dyDescent="0.25">
      <c r="D652" s="148"/>
      <c r="E652" s="148"/>
      <c r="F652" s="148"/>
      <c r="G652" s="148"/>
      <c r="H652" s="148"/>
      <c r="I652" s="148"/>
      <c r="J652" s="148"/>
      <c r="K652" s="148"/>
      <c r="L652" s="148"/>
      <c r="M652" s="148"/>
      <c r="N652" s="148"/>
      <c r="O652" s="148"/>
      <c r="P652" s="148"/>
      <c r="Q652" s="148"/>
      <c r="R652" s="148"/>
      <c r="S652" s="148"/>
    </row>
    <row r="653" spans="4:19" x14ac:dyDescent="0.25">
      <c r="D653" s="148"/>
      <c r="E653" s="148"/>
      <c r="F653" s="148"/>
      <c r="G653" s="148"/>
      <c r="H653" s="148"/>
      <c r="I653" s="148"/>
      <c r="J653" s="148"/>
      <c r="K653" s="148"/>
      <c r="L653" s="148"/>
      <c r="M653" s="148"/>
      <c r="N653" s="148"/>
      <c r="O653" s="148"/>
      <c r="P653" s="148"/>
      <c r="Q653" s="148"/>
      <c r="R653" s="148"/>
      <c r="S653" s="148"/>
    </row>
    <row r="654" spans="4:19" x14ac:dyDescent="0.25">
      <c r="D654" s="148"/>
      <c r="E654" s="148"/>
      <c r="F654" s="148"/>
      <c r="G654" s="148"/>
      <c r="H654" s="148"/>
      <c r="I654" s="148"/>
      <c r="J654" s="148"/>
      <c r="K654" s="148"/>
      <c r="L654" s="148"/>
      <c r="M654" s="148"/>
      <c r="N654" s="148"/>
      <c r="O654" s="148"/>
      <c r="P654" s="148"/>
      <c r="Q654" s="148"/>
      <c r="R654" s="148"/>
      <c r="S654" s="148"/>
    </row>
    <row r="655" spans="4:19" x14ac:dyDescent="0.25">
      <c r="D655" s="148"/>
      <c r="E655" s="148"/>
      <c r="F655" s="148"/>
      <c r="G655" s="148"/>
      <c r="H655" s="148"/>
      <c r="I655" s="148"/>
      <c r="J655" s="148"/>
      <c r="K655" s="148"/>
      <c r="L655" s="148"/>
      <c r="M655" s="148"/>
      <c r="N655" s="148"/>
      <c r="O655" s="148"/>
      <c r="P655" s="148"/>
      <c r="Q655" s="148"/>
      <c r="R655" s="148"/>
      <c r="S655" s="148"/>
    </row>
    <row r="656" spans="4:19" x14ac:dyDescent="0.25">
      <c r="D656" s="148"/>
      <c r="E656" s="148"/>
      <c r="F656" s="148"/>
      <c r="G656" s="148"/>
      <c r="H656" s="148"/>
      <c r="I656" s="148"/>
      <c r="J656" s="148"/>
      <c r="K656" s="148"/>
      <c r="L656" s="148"/>
      <c r="M656" s="148"/>
      <c r="N656" s="148"/>
      <c r="O656" s="148"/>
      <c r="P656" s="148"/>
      <c r="Q656" s="148"/>
      <c r="R656" s="148"/>
      <c r="S656" s="148"/>
    </row>
    <row r="657" spans="4:19" x14ac:dyDescent="0.25">
      <c r="D657" s="148"/>
      <c r="E657" s="148"/>
      <c r="F657" s="148"/>
      <c r="G657" s="148"/>
      <c r="H657" s="148"/>
      <c r="I657" s="148"/>
      <c r="J657" s="148"/>
      <c r="K657" s="148"/>
      <c r="L657" s="148"/>
      <c r="M657" s="148"/>
      <c r="N657" s="148"/>
      <c r="O657" s="148"/>
      <c r="P657" s="148"/>
      <c r="Q657" s="148"/>
      <c r="R657" s="148"/>
      <c r="S657" s="148"/>
    </row>
    <row r="658" spans="4:19" x14ac:dyDescent="0.25">
      <c r="D658" s="148"/>
      <c r="E658" s="148"/>
      <c r="F658" s="148"/>
      <c r="G658" s="148"/>
      <c r="H658" s="148"/>
      <c r="I658" s="148"/>
      <c r="J658" s="148"/>
      <c r="K658" s="148"/>
      <c r="L658" s="148"/>
      <c r="M658" s="148"/>
      <c r="N658" s="148"/>
      <c r="O658" s="148"/>
      <c r="P658" s="148"/>
      <c r="Q658" s="148"/>
      <c r="R658" s="148"/>
      <c r="S658" s="148"/>
    </row>
    <row r="659" spans="4:19" x14ac:dyDescent="0.25">
      <c r="D659" s="148"/>
      <c r="E659" s="148"/>
      <c r="F659" s="148"/>
      <c r="G659" s="148"/>
      <c r="H659" s="148"/>
      <c r="I659" s="148"/>
      <c r="J659" s="148"/>
      <c r="K659" s="148"/>
      <c r="L659" s="148"/>
      <c r="M659" s="148"/>
      <c r="N659" s="148"/>
      <c r="O659" s="148"/>
      <c r="P659" s="148"/>
      <c r="Q659" s="148"/>
      <c r="R659" s="148"/>
      <c r="S659" s="148"/>
    </row>
    <row r="660" spans="4:19" x14ac:dyDescent="0.25">
      <c r="D660" s="148"/>
      <c r="E660" s="148"/>
      <c r="F660" s="148"/>
      <c r="G660" s="148"/>
      <c r="H660" s="148"/>
      <c r="I660" s="148"/>
      <c r="J660" s="148"/>
      <c r="K660" s="148"/>
      <c r="L660" s="148"/>
      <c r="M660" s="148"/>
      <c r="N660" s="148"/>
      <c r="O660" s="148"/>
      <c r="P660" s="148"/>
      <c r="Q660" s="148"/>
      <c r="R660" s="148"/>
      <c r="S660" s="148"/>
    </row>
    <row r="661" spans="4:19" x14ac:dyDescent="0.25">
      <c r="D661" s="148"/>
      <c r="E661" s="148"/>
      <c r="F661" s="148"/>
      <c r="G661" s="148"/>
      <c r="H661" s="148"/>
      <c r="I661" s="148"/>
      <c r="J661" s="148"/>
      <c r="K661" s="148"/>
      <c r="L661" s="148"/>
      <c r="M661" s="148"/>
      <c r="N661" s="148"/>
      <c r="O661" s="148"/>
      <c r="P661" s="148"/>
      <c r="Q661" s="148"/>
      <c r="R661" s="148"/>
      <c r="S661" s="148"/>
    </row>
    <row r="662" spans="4:19" x14ac:dyDescent="0.25">
      <c r="D662" s="148"/>
      <c r="E662" s="148"/>
      <c r="F662" s="148"/>
      <c r="G662" s="148"/>
      <c r="H662" s="148"/>
      <c r="I662" s="148"/>
      <c r="J662" s="148"/>
      <c r="K662" s="148"/>
      <c r="L662" s="148"/>
      <c r="M662" s="148"/>
      <c r="N662" s="148"/>
      <c r="O662" s="148"/>
      <c r="P662" s="148"/>
      <c r="Q662" s="148"/>
      <c r="R662" s="148"/>
      <c r="S662" s="148"/>
    </row>
    <row r="663" spans="4:19" x14ac:dyDescent="0.25">
      <c r="D663" s="148"/>
      <c r="E663" s="148"/>
      <c r="F663" s="148"/>
      <c r="G663" s="148"/>
      <c r="H663" s="148"/>
      <c r="I663" s="148"/>
      <c r="J663" s="148"/>
      <c r="K663" s="148"/>
      <c r="L663" s="148"/>
      <c r="M663" s="148"/>
      <c r="N663" s="148"/>
      <c r="O663" s="148"/>
      <c r="P663" s="148"/>
      <c r="Q663" s="148"/>
      <c r="R663" s="148"/>
      <c r="S663" s="148"/>
    </row>
    <row r="664" spans="4:19" x14ac:dyDescent="0.25">
      <c r="D664" s="148"/>
      <c r="E664" s="148"/>
      <c r="F664" s="148"/>
      <c r="G664" s="148"/>
      <c r="H664" s="148"/>
      <c r="I664" s="148"/>
      <c r="J664" s="148"/>
      <c r="K664" s="148"/>
      <c r="L664" s="148"/>
      <c r="M664" s="148"/>
      <c r="N664" s="148"/>
      <c r="O664" s="148"/>
      <c r="P664" s="148"/>
      <c r="Q664" s="148"/>
      <c r="R664" s="148"/>
      <c r="S664" s="148"/>
    </row>
    <row r="665" spans="4:19" x14ac:dyDescent="0.25">
      <c r="D665" s="148"/>
      <c r="E665" s="148"/>
      <c r="F665" s="148"/>
      <c r="G665" s="148"/>
      <c r="H665" s="148"/>
      <c r="I665" s="148"/>
      <c r="J665" s="148"/>
      <c r="K665" s="148"/>
      <c r="L665" s="148"/>
      <c r="M665" s="148"/>
      <c r="N665" s="148"/>
      <c r="O665" s="148"/>
      <c r="P665" s="148"/>
      <c r="Q665" s="148"/>
      <c r="R665" s="148"/>
      <c r="S665" s="148"/>
    </row>
    <row r="666" spans="4:19" x14ac:dyDescent="0.25">
      <c r="D666" s="148"/>
      <c r="E666" s="148"/>
      <c r="F666" s="148"/>
      <c r="G666" s="148"/>
      <c r="H666" s="148"/>
      <c r="I666" s="148"/>
      <c r="J666" s="148"/>
      <c r="K666" s="148"/>
      <c r="L666" s="148"/>
      <c r="M666" s="148"/>
      <c r="N666" s="148"/>
      <c r="O666" s="148"/>
      <c r="P666" s="148"/>
      <c r="Q666" s="148"/>
      <c r="R666" s="148"/>
      <c r="S666" s="148"/>
    </row>
    <row r="667" spans="4:19" x14ac:dyDescent="0.25">
      <c r="D667" s="148"/>
      <c r="E667" s="148"/>
      <c r="F667" s="148"/>
      <c r="G667" s="148"/>
      <c r="H667" s="148"/>
      <c r="I667" s="148"/>
      <c r="J667" s="148"/>
      <c r="K667" s="148"/>
      <c r="L667" s="148"/>
      <c r="M667" s="148"/>
      <c r="N667" s="148"/>
      <c r="O667" s="148"/>
      <c r="P667" s="148"/>
      <c r="Q667" s="148"/>
      <c r="R667" s="148"/>
      <c r="S667" s="148"/>
    </row>
    <row r="668" spans="4:19" x14ac:dyDescent="0.25">
      <c r="D668" s="148"/>
      <c r="E668" s="148"/>
      <c r="F668" s="148"/>
      <c r="G668" s="148"/>
      <c r="H668" s="148"/>
      <c r="I668" s="148"/>
      <c r="J668" s="148"/>
      <c r="K668" s="148"/>
      <c r="L668" s="148"/>
      <c r="M668" s="148"/>
      <c r="N668" s="148"/>
      <c r="O668" s="148"/>
      <c r="P668" s="148"/>
      <c r="Q668" s="148"/>
      <c r="R668" s="148"/>
      <c r="S668" s="148"/>
    </row>
    <row r="669" spans="4:19" x14ac:dyDescent="0.25">
      <c r="D669" s="148"/>
      <c r="E669" s="148"/>
      <c r="F669" s="148"/>
      <c r="G669" s="148"/>
      <c r="H669" s="148"/>
      <c r="I669" s="148"/>
      <c r="J669" s="148"/>
      <c r="K669" s="148"/>
      <c r="L669" s="148"/>
      <c r="M669" s="148"/>
      <c r="N669" s="148"/>
      <c r="O669" s="148"/>
      <c r="P669" s="148"/>
      <c r="Q669" s="148"/>
      <c r="R669" s="148"/>
      <c r="S669" s="148"/>
    </row>
    <row r="670" spans="4:19" x14ac:dyDescent="0.25">
      <c r="D670" s="148"/>
      <c r="E670" s="148"/>
      <c r="F670" s="148"/>
      <c r="G670" s="148"/>
      <c r="H670" s="148"/>
      <c r="I670" s="148"/>
      <c r="J670" s="148"/>
      <c r="K670" s="148"/>
      <c r="L670" s="148"/>
      <c r="M670" s="148"/>
      <c r="N670" s="148"/>
      <c r="O670" s="148"/>
      <c r="P670" s="148"/>
      <c r="Q670" s="148"/>
      <c r="R670" s="148"/>
      <c r="S670" s="148"/>
    </row>
    <row r="671" spans="4:19" x14ac:dyDescent="0.25">
      <c r="D671" s="148"/>
      <c r="E671" s="148"/>
      <c r="F671" s="148"/>
      <c r="G671" s="148"/>
      <c r="H671" s="148"/>
      <c r="I671" s="148"/>
      <c r="J671" s="148"/>
      <c r="K671" s="148"/>
      <c r="L671" s="148"/>
      <c r="M671" s="148"/>
      <c r="N671" s="148"/>
      <c r="O671" s="148"/>
      <c r="P671" s="148"/>
      <c r="Q671" s="148"/>
      <c r="R671" s="148"/>
      <c r="S671" s="148"/>
    </row>
    <row r="672" spans="4:19" x14ac:dyDescent="0.25">
      <c r="D672" s="148"/>
      <c r="E672" s="148"/>
      <c r="F672" s="148"/>
      <c r="G672" s="148"/>
      <c r="H672" s="148"/>
      <c r="I672" s="148"/>
      <c r="J672" s="148"/>
      <c r="K672" s="148"/>
      <c r="L672" s="148"/>
      <c r="M672" s="148"/>
      <c r="N672" s="148"/>
      <c r="O672" s="148"/>
      <c r="P672" s="148"/>
      <c r="Q672" s="148"/>
      <c r="R672" s="148"/>
      <c r="S672" s="148"/>
    </row>
    <row r="673" spans="4:19" x14ac:dyDescent="0.25">
      <c r="D673" s="148"/>
      <c r="E673" s="148"/>
      <c r="F673" s="148"/>
      <c r="G673" s="148"/>
      <c r="H673" s="148"/>
      <c r="I673" s="148"/>
      <c r="J673" s="148"/>
      <c r="K673" s="148"/>
      <c r="L673" s="148"/>
      <c r="M673" s="148"/>
      <c r="N673" s="148"/>
      <c r="O673" s="148"/>
      <c r="P673" s="148"/>
      <c r="Q673" s="148"/>
      <c r="R673" s="148"/>
      <c r="S673" s="148"/>
    </row>
    <row r="674" spans="4:19" x14ac:dyDescent="0.25">
      <c r="D674" s="148"/>
      <c r="E674" s="148"/>
      <c r="F674" s="148"/>
      <c r="G674" s="148"/>
      <c r="H674" s="148"/>
      <c r="I674" s="148"/>
      <c r="J674" s="148"/>
      <c r="K674" s="148"/>
      <c r="L674" s="148"/>
      <c r="M674" s="148"/>
      <c r="N674" s="148"/>
      <c r="O674" s="148"/>
      <c r="P674" s="148"/>
      <c r="Q674" s="148"/>
      <c r="R674" s="148"/>
      <c r="S674" s="148"/>
    </row>
    <row r="675" spans="4:19" x14ac:dyDescent="0.25">
      <c r="D675" s="148"/>
      <c r="E675" s="148"/>
      <c r="F675" s="148"/>
      <c r="G675" s="148"/>
      <c r="H675" s="148"/>
      <c r="I675" s="148"/>
      <c r="J675" s="148"/>
      <c r="K675" s="148"/>
      <c r="L675" s="148"/>
      <c r="M675" s="148"/>
      <c r="N675" s="148"/>
      <c r="O675" s="148"/>
      <c r="P675" s="148"/>
      <c r="Q675" s="148"/>
      <c r="R675" s="148"/>
      <c r="S675" s="148"/>
    </row>
    <row r="676" spans="4:19" x14ac:dyDescent="0.25">
      <c r="D676" s="148"/>
      <c r="E676" s="148"/>
      <c r="F676" s="148"/>
      <c r="G676" s="148"/>
      <c r="H676" s="148"/>
      <c r="I676" s="148"/>
      <c r="J676" s="148"/>
      <c r="K676" s="148"/>
      <c r="L676" s="148"/>
      <c r="M676" s="148"/>
      <c r="N676" s="148"/>
      <c r="O676" s="148"/>
      <c r="P676" s="148"/>
      <c r="Q676" s="148"/>
      <c r="R676" s="148"/>
      <c r="S676" s="148"/>
    </row>
    <row r="677" spans="4:19" x14ac:dyDescent="0.25">
      <c r="D677" s="148"/>
      <c r="E677" s="148"/>
      <c r="F677" s="148"/>
      <c r="G677" s="148"/>
      <c r="H677" s="148"/>
      <c r="I677" s="148"/>
      <c r="J677" s="148"/>
      <c r="K677" s="148"/>
      <c r="L677" s="148"/>
      <c r="M677" s="148"/>
      <c r="N677" s="148"/>
      <c r="O677" s="148"/>
      <c r="P677" s="148"/>
      <c r="Q677" s="148"/>
      <c r="R677" s="148"/>
      <c r="S677" s="148"/>
    </row>
    <row r="678" spans="4:19" x14ac:dyDescent="0.25">
      <c r="D678" s="148"/>
      <c r="E678" s="148"/>
      <c r="F678" s="148"/>
      <c r="G678" s="148"/>
      <c r="H678" s="148"/>
      <c r="I678" s="148"/>
      <c r="J678" s="148"/>
      <c r="K678" s="148"/>
      <c r="L678" s="148"/>
      <c r="M678" s="148"/>
      <c r="N678" s="148"/>
      <c r="O678" s="148"/>
      <c r="P678" s="148"/>
      <c r="Q678" s="148"/>
      <c r="R678" s="148"/>
      <c r="S678" s="148"/>
    </row>
    <row r="679" spans="4:19" x14ac:dyDescent="0.25">
      <c r="D679" s="148"/>
      <c r="E679" s="148"/>
      <c r="F679" s="148"/>
      <c r="G679" s="148"/>
      <c r="H679" s="148"/>
      <c r="I679" s="148"/>
      <c r="J679" s="148"/>
      <c r="K679" s="148"/>
      <c r="L679" s="148"/>
      <c r="M679" s="148"/>
      <c r="N679" s="148"/>
      <c r="O679" s="148"/>
      <c r="P679" s="148"/>
      <c r="Q679" s="148"/>
      <c r="R679" s="148"/>
      <c r="S679" s="148"/>
    </row>
    <row r="680" spans="4:19" x14ac:dyDescent="0.25">
      <c r="D680" s="148"/>
      <c r="E680" s="148"/>
      <c r="F680" s="148"/>
      <c r="G680" s="148"/>
      <c r="H680" s="148"/>
      <c r="I680" s="148"/>
      <c r="J680" s="148"/>
      <c r="K680" s="148"/>
      <c r="L680" s="148"/>
      <c r="M680" s="148"/>
      <c r="N680" s="148"/>
      <c r="O680" s="148"/>
      <c r="P680" s="148"/>
      <c r="Q680" s="148"/>
      <c r="R680" s="148"/>
      <c r="S680" s="148"/>
    </row>
    <row r="681" spans="4:19" x14ac:dyDescent="0.25">
      <c r="D681" s="148"/>
      <c r="E681" s="148"/>
      <c r="F681" s="148"/>
      <c r="G681" s="148"/>
      <c r="H681" s="148"/>
      <c r="I681" s="148"/>
      <c r="J681" s="148"/>
      <c r="K681" s="148"/>
      <c r="L681" s="148"/>
      <c r="M681" s="148"/>
      <c r="N681" s="148"/>
      <c r="O681" s="148"/>
      <c r="P681" s="148"/>
      <c r="Q681" s="148"/>
      <c r="R681" s="148"/>
      <c r="S681" s="148"/>
    </row>
    <row r="682" spans="4:19" x14ac:dyDescent="0.25">
      <c r="D682" s="148"/>
      <c r="E682" s="148"/>
      <c r="F682" s="148"/>
      <c r="G682" s="148"/>
      <c r="H682" s="148"/>
      <c r="I682" s="148"/>
      <c r="J682" s="148"/>
      <c r="K682" s="148"/>
      <c r="L682" s="148"/>
      <c r="M682" s="148"/>
      <c r="N682" s="148"/>
      <c r="O682" s="148"/>
      <c r="P682" s="148"/>
      <c r="Q682" s="148"/>
      <c r="R682" s="148"/>
      <c r="S682" s="148"/>
    </row>
    <row r="683" spans="4:19" x14ac:dyDescent="0.25">
      <c r="D683" s="148"/>
      <c r="E683" s="148"/>
      <c r="F683" s="148"/>
      <c r="G683" s="148"/>
      <c r="H683" s="148"/>
      <c r="I683" s="148"/>
      <c r="J683" s="148"/>
      <c r="K683" s="148"/>
      <c r="L683" s="148"/>
      <c r="M683" s="148"/>
      <c r="N683" s="148"/>
      <c r="O683" s="148"/>
      <c r="P683" s="148"/>
      <c r="Q683" s="148"/>
      <c r="R683" s="148"/>
      <c r="S683" s="148"/>
    </row>
    <row r="684" spans="4:19" x14ac:dyDescent="0.25">
      <c r="D684" s="148"/>
      <c r="E684" s="148"/>
      <c r="F684" s="148"/>
      <c r="G684" s="148"/>
      <c r="H684" s="148"/>
      <c r="I684" s="148"/>
      <c r="J684" s="148"/>
      <c r="K684" s="148"/>
      <c r="L684" s="148"/>
      <c r="M684" s="148"/>
      <c r="N684" s="148"/>
      <c r="O684" s="148"/>
      <c r="P684" s="148"/>
      <c r="Q684" s="148"/>
      <c r="R684" s="148"/>
      <c r="S684" s="148"/>
    </row>
    <row r="685" spans="4:19" x14ac:dyDescent="0.25">
      <c r="D685" s="148"/>
      <c r="E685" s="148"/>
      <c r="F685" s="148"/>
      <c r="G685" s="148"/>
      <c r="H685" s="148"/>
      <c r="I685" s="148"/>
      <c r="J685" s="148"/>
      <c r="K685" s="148"/>
      <c r="L685" s="148"/>
      <c r="M685" s="148"/>
      <c r="N685" s="148"/>
      <c r="O685" s="148"/>
      <c r="P685" s="148"/>
      <c r="Q685" s="148"/>
      <c r="R685" s="148"/>
      <c r="S685" s="148"/>
    </row>
    <row r="686" spans="4:19" x14ac:dyDescent="0.25">
      <c r="D686" s="148"/>
      <c r="E686" s="148"/>
      <c r="F686" s="148"/>
      <c r="G686" s="148"/>
      <c r="H686" s="148"/>
      <c r="I686" s="148"/>
      <c r="J686" s="148"/>
      <c r="K686" s="148"/>
      <c r="L686" s="148"/>
      <c r="M686" s="148"/>
      <c r="N686" s="148"/>
      <c r="O686" s="148"/>
      <c r="P686" s="148"/>
      <c r="Q686" s="148"/>
      <c r="R686" s="148"/>
      <c r="S686" s="148"/>
    </row>
    <row r="687" spans="4:19" x14ac:dyDescent="0.25">
      <c r="D687" s="148"/>
      <c r="E687" s="148"/>
      <c r="F687" s="148"/>
      <c r="G687" s="148"/>
      <c r="H687" s="148"/>
      <c r="I687" s="148"/>
      <c r="J687" s="148"/>
      <c r="K687" s="148"/>
      <c r="L687" s="148"/>
      <c r="M687" s="148"/>
      <c r="N687" s="148"/>
      <c r="O687" s="148"/>
      <c r="P687" s="148"/>
      <c r="Q687" s="148"/>
      <c r="R687" s="148"/>
      <c r="S687" s="148"/>
    </row>
    <row r="688" spans="4:19" x14ac:dyDescent="0.25">
      <c r="D688" s="148"/>
      <c r="E688" s="148"/>
      <c r="F688" s="148"/>
      <c r="G688" s="148"/>
      <c r="H688" s="148"/>
      <c r="I688" s="148"/>
      <c r="J688" s="148"/>
      <c r="K688" s="148"/>
      <c r="L688" s="148"/>
      <c r="M688" s="148"/>
      <c r="N688" s="148"/>
      <c r="O688" s="148"/>
      <c r="P688" s="148"/>
      <c r="Q688" s="148"/>
      <c r="R688" s="148"/>
      <c r="S688" s="148"/>
    </row>
    <row r="689" spans="4:19" x14ac:dyDescent="0.25">
      <c r="D689" s="148"/>
      <c r="E689" s="148"/>
      <c r="F689" s="148"/>
      <c r="G689" s="148"/>
      <c r="H689" s="148"/>
      <c r="I689" s="148"/>
      <c r="J689" s="148"/>
      <c r="K689" s="148"/>
      <c r="L689" s="148"/>
      <c r="M689" s="148"/>
      <c r="N689" s="148"/>
      <c r="O689" s="148"/>
      <c r="P689" s="148"/>
      <c r="Q689" s="148"/>
      <c r="R689" s="148"/>
      <c r="S689" s="148"/>
    </row>
    <row r="690" spans="4:19" x14ac:dyDescent="0.25">
      <c r="D690" s="148"/>
      <c r="E690" s="148"/>
      <c r="F690" s="148"/>
      <c r="G690" s="148"/>
      <c r="H690" s="148"/>
      <c r="I690" s="148"/>
      <c r="J690" s="148"/>
      <c r="K690" s="148"/>
      <c r="L690" s="148"/>
      <c r="M690" s="148"/>
      <c r="N690" s="148"/>
      <c r="O690" s="148"/>
      <c r="P690" s="148"/>
      <c r="Q690" s="148"/>
      <c r="R690" s="148"/>
      <c r="S690" s="148"/>
    </row>
    <row r="691" spans="4:19" x14ac:dyDescent="0.25">
      <c r="D691" s="148"/>
      <c r="E691" s="148"/>
      <c r="F691" s="148"/>
      <c r="G691" s="148"/>
      <c r="H691" s="148"/>
      <c r="I691" s="148"/>
      <c r="J691" s="148"/>
      <c r="K691" s="148"/>
      <c r="L691" s="148"/>
      <c r="M691" s="148"/>
      <c r="N691" s="148"/>
      <c r="O691" s="148"/>
      <c r="P691" s="148"/>
      <c r="Q691" s="148"/>
      <c r="R691" s="148"/>
      <c r="S691" s="148"/>
    </row>
    <row r="692" spans="4:19" x14ac:dyDescent="0.25">
      <c r="D692" s="148"/>
      <c r="E692" s="148"/>
      <c r="F692" s="148"/>
      <c r="G692" s="148"/>
      <c r="H692" s="148"/>
      <c r="I692" s="148"/>
      <c r="J692" s="148"/>
      <c r="K692" s="148"/>
      <c r="L692" s="148"/>
      <c r="M692" s="148"/>
      <c r="N692" s="148"/>
      <c r="O692" s="148"/>
      <c r="P692" s="148"/>
      <c r="Q692" s="148"/>
      <c r="R692" s="148"/>
      <c r="S692" s="148"/>
    </row>
    <row r="693" spans="4:19" x14ac:dyDescent="0.25">
      <c r="D693" s="148"/>
      <c r="E693" s="148"/>
      <c r="F693" s="148"/>
      <c r="G693" s="148"/>
      <c r="H693" s="148"/>
      <c r="I693" s="148"/>
      <c r="J693" s="148"/>
      <c r="K693" s="148"/>
      <c r="L693" s="148"/>
      <c r="M693" s="148"/>
      <c r="N693" s="148"/>
      <c r="O693" s="148"/>
      <c r="P693" s="148"/>
      <c r="Q693" s="148"/>
      <c r="R693" s="148"/>
      <c r="S693" s="148"/>
    </row>
    <row r="694" spans="4:19" x14ac:dyDescent="0.25">
      <c r="D694" s="148"/>
      <c r="E694" s="148"/>
      <c r="F694" s="148"/>
      <c r="G694" s="148"/>
      <c r="H694" s="148"/>
      <c r="I694" s="148"/>
      <c r="J694" s="148"/>
      <c r="K694" s="148"/>
      <c r="L694" s="148"/>
      <c r="M694" s="148"/>
      <c r="N694" s="148"/>
      <c r="O694" s="148"/>
      <c r="P694" s="148"/>
      <c r="Q694" s="148"/>
      <c r="R694" s="148"/>
      <c r="S694" s="148"/>
    </row>
    <row r="695" spans="4:19" x14ac:dyDescent="0.25">
      <c r="D695" s="148"/>
      <c r="E695" s="148"/>
      <c r="F695" s="148"/>
      <c r="G695" s="148"/>
      <c r="H695" s="148"/>
      <c r="I695" s="148"/>
      <c r="J695" s="148"/>
      <c r="K695" s="148"/>
      <c r="L695" s="148"/>
      <c r="M695" s="148"/>
      <c r="N695" s="148"/>
      <c r="O695" s="148"/>
      <c r="P695" s="148"/>
      <c r="Q695" s="148"/>
      <c r="R695" s="148"/>
      <c r="S695" s="148"/>
    </row>
    <row r="696" spans="4:19" x14ac:dyDescent="0.25">
      <c r="D696" s="148"/>
      <c r="E696" s="148"/>
      <c r="F696" s="148"/>
      <c r="G696" s="148"/>
      <c r="H696" s="148"/>
      <c r="I696" s="148"/>
      <c r="J696" s="148"/>
      <c r="K696" s="148"/>
      <c r="L696" s="148"/>
      <c r="M696" s="148"/>
      <c r="N696" s="148"/>
      <c r="O696" s="148"/>
      <c r="P696" s="148"/>
      <c r="Q696" s="148"/>
      <c r="R696" s="148"/>
      <c r="S696" s="148"/>
    </row>
    <row r="697" spans="4:19" x14ac:dyDescent="0.25">
      <c r="D697" s="148"/>
      <c r="E697" s="148"/>
      <c r="F697" s="148"/>
      <c r="G697" s="148"/>
      <c r="H697" s="148"/>
      <c r="I697" s="148"/>
      <c r="J697" s="148"/>
      <c r="K697" s="148"/>
      <c r="L697" s="148"/>
      <c r="M697" s="148"/>
      <c r="N697" s="148"/>
      <c r="O697" s="148"/>
      <c r="P697" s="148"/>
      <c r="Q697" s="148"/>
      <c r="R697" s="148"/>
      <c r="S697" s="148"/>
    </row>
    <row r="698" spans="4:19" x14ac:dyDescent="0.25">
      <c r="D698" s="148"/>
      <c r="E698" s="148"/>
      <c r="F698" s="148"/>
      <c r="G698" s="148"/>
      <c r="H698" s="148"/>
      <c r="I698" s="148"/>
      <c r="J698" s="148"/>
      <c r="K698" s="148"/>
      <c r="L698" s="148"/>
      <c r="M698" s="148"/>
      <c r="N698" s="148"/>
      <c r="O698" s="148"/>
      <c r="P698" s="148"/>
      <c r="Q698" s="148"/>
      <c r="R698" s="148"/>
      <c r="S698" s="148"/>
    </row>
    <row r="699" spans="4:19" x14ac:dyDescent="0.25">
      <c r="D699" s="148"/>
      <c r="E699" s="148"/>
      <c r="F699" s="148"/>
      <c r="G699" s="148"/>
      <c r="H699" s="148"/>
      <c r="I699" s="148"/>
      <c r="J699" s="148"/>
      <c r="K699" s="148"/>
      <c r="L699" s="148"/>
      <c r="M699" s="148"/>
      <c r="N699" s="148"/>
      <c r="O699" s="148"/>
      <c r="P699" s="148"/>
      <c r="Q699" s="148"/>
      <c r="R699" s="148"/>
      <c r="S699" s="148"/>
    </row>
    <row r="700" spans="4:19" x14ac:dyDescent="0.25">
      <c r="D700" s="148"/>
      <c r="E700" s="148"/>
      <c r="F700" s="148"/>
      <c r="G700" s="148"/>
      <c r="H700" s="148"/>
      <c r="I700" s="148"/>
      <c r="J700" s="148"/>
      <c r="K700" s="148"/>
      <c r="L700" s="148"/>
      <c r="M700" s="148"/>
      <c r="N700" s="148"/>
      <c r="O700" s="148"/>
      <c r="P700" s="148"/>
      <c r="Q700" s="148"/>
      <c r="R700" s="148"/>
      <c r="S700" s="148"/>
    </row>
    <row r="701" spans="4:19" x14ac:dyDescent="0.25">
      <c r="D701" s="148"/>
      <c r="E701" s="148"/>
      <c r="F701" s="148"/>
      <c r="G701" s="148"/>
      <c r="H701" s="148"/>
      <c r="I701" s="148"/>
      <c r="J701" s="148"/>
      <c r="K701" s="148"/>
      <c r="L701" s="148"/>
      <c r="M701" s="148"/>
      <c r="N701" s="148"/>
      <c r="O701" s="148"/>
      <c r="P701" s="148"/>
      <c r="Q701" s="148"/>
      <c r="R701" s="148"/>
      <c r="S701" s="148"/>
    </row>
    <row r="702" spans="4:19" x14ac:dyDescent="0.25">
      <c r="D702" s="148"/>
      <c r="E702" s="148"/>
      <c r="F702" s="148"/>
      <c r="G702" s="148"/>
      <c r="H702" s="148"/>
      <c r="I702" s="148"/>
      <c r="J702" s="148"/>
      <c r="K702" s="148"/>
      <c r="L702" s="148"/>
      <c r="M702" s="148"/>
      <c r="N702" s="148"/>
      <c r="O702" s="148"/>
      <c r="P702" s="148"/>
      <c r="Q702" s="148"/>
      <c r="R702" s="148"/>
      <c r="S702" s="148"/>
    </row>
    <row r="703" spans="4:19" x14ac:dyDescent="0.25">
      <c r="D703" s="148"/>
      <c r="E703" s="148"/>
      <c r="F703" s="148"/>
      <c r="G703" s="148"/>
      <c r="H703" s="148"/>
      <c r="I703" s="148"/>
      <c r="J703" s="148"/>
      <c r="K703" s="148"/>
      <c r="L703" s="148"/>
      <c r="M703" s="148"/>
      <c r="N703" s="148"/>
      <c r="O703" s="148"/>
      <c r="P703" s="148"/>
      <c r="Q703" s="148"/>
      <c r="R703" s="148"/>
      <c r="S703" s="148"/>
    </row>
    <row r="704" spans="4:19" x14ac:dyDescent="0.25">
      <c r="D704" s="148"/>
      <c r="E704" s="148"/>
      <c r="F704" s="148"/>
      <c r="G704" s="148"/>
      <c r="H704" s="148"/>
      <c r="I704" s="148"/>
      <c r="J704" s="148"/>
      <c r="K704" s="148"/>
      <c r="L704" s="148"/>
      <c r="M704" s="148"/>
      <c r="N704" s="148"/>
      <c r="O704" s="148"/>
      <c r="P704" s="148"/>
      <c r="Q704" s="148"/>
      <c r="R704" s="148"/>
      <c r="S704" s="148"/>
    </row>
    <row r="705" spans="4:19" x14ac:dyDescent="0.25">
      <c r="D705" s="148"/>
      <c r="E705" s="148"/>
      <c r="F705" s="148"/>
      <c r="G705" s="148"/>
      <c r="H705" s="148"/>
      <c r="I705" s="148"/>
      <c r="J705" s="148"/>
      <c r="K705" s="148"/>
      <c r="L705" s="148"/>
      <c r="M705" s="148"/>
      <c r="N705" s="148"/>
      <c r="O705" s="148"/>
      <c r="P705" s="148"/>
      <c r="Q705" s="148"/>
      <c r="R705" s="148"/>
      <c r="S705" s="148"/>
    </row>
    <row r="706" spans="4:19" x14ac:dyDescent="0.25">
      <c r="D706" s="148"/>
      <c r="E706" s="148"/>
      <c r="F706" s="148"/>
      <c r="G706" s="148"/>
      <c r="H706" s="148"/>
      <c r="I706" s="148"/>
      <c r="J706" s="148"/>
      <c r="K706" s="148"/>
      <c r="L706" s="148"/>
      <c r="M706" s="148"/>
      <c r="N706" s="148"/>
      <c r="O706" s="148"/>
      <c r="P706" s="148"/>
      <c r="Q706" s="148"/>
      <c r="R706" s="148"/>
      <c r="S706" s="148"/>
    </row>
    <row r="707" spans="4:19" x14ac:dyDescent="0.25">
      <c r="D707" s="148"/>
      <c r="E707" s="148"/>
      <c r="F707" s="148"/>
      <c r="G707" s="148"/>
      <c r="H707" s="148"/>
      <c r="I707" s="148"/>
      <c r="J707" s="148"/>
      <c r="K707" s="148"/>
      <c r="L707" s="148"/>
      <c r="M707" s="148"/>
      <c r="N707" s="148"/>
      <c r="O707" s="148"/>
      <c r="P707" s="148"/>
      <c r="Q707" s="148"/>
      <c r="R707" s="148"/>
      <c r="S707" s="148"/>
    </row>
    <row r="708" spans="4:19" x14ac:dyDescent="0.25">
      <c r="D708" s="148"/>
      <c r="E708" s="148"/>
      <c r="F708" s="148"/>
      <c r="G708" s="148"/>
      <c r="H708" s="148"/>
      <c r="I708" s="148"/>
      <c r="J708" s="148"/>
      <c r="K708" s="148"/>
      <c r="L708" s="148"/>
      <c r="M708" s="148"/>
      <c r="N708" s="148"/>
      <c r="O708" s="148"/>
      <c r="P708" s="148"/>
      <c r="Q708" s="148"/>
      <c r="R708" s="148"/>
      <c r="S708" s="148"/>
    </row>
    <row r="709" spans="4:19" x14ac:dyDescent="0.25">
      <c r="D709" s="148"/>
      <c r="E709" s="148"/>
      <c r="F709" s="148"/>
      <c r="G709" s="148"/>
      <c r="H709" s="148"/>
      <c r="I709" s="148"/>
      <c r="J709" s="148"/>
      <c r="K709" s="148"/>
      <c r="L709" s="148"/>
      <c r="M709" s="148"/>
      <c r="N709" s="148"/>
      <c r="O709" s="148"/>
      <c r="P709" s="148"/>
      <c r="Q709" s="148"/>
      <c r="R709" s="148"/>
      <c r="S709" s="148"/>
    </row>
    <row r="710" spans="4:19" x14ac:dyDescent="0.25">
      <c r="D710" s="148"/>
      <c r="E710" s="148"/>
      <c r="F710" s="148"/>
      <c r="G710" s="148"/>
      <c r="H710" s="148"/>
      <c r="I710" s="148"/>
      <c r="J710" s="148"/>
      <c r="K710" s="148"/>
      <c r="L710" s="148"/>
      <c r="M710" s="148"/>
      <c r="N710" s="148"/>
      <c r="O710" s="148"/>
      <c r="P710" s="148"/>
      <c r="Q710" s="148"/>
      <c r="R710" s="148"/>
      <c r="S710" s="148"/>
    </row>
    <row r="711" spans="4:19" x14ac:dyDescent="0.25">
      <c r="D711" s="148"/>
      <c r="E711" s="148"/>
      <c r="F711" s="148"/>
      <c r="G711" s="148"/>
      <c r="H711" s="148"/>
      <c r="I711" s="148"/>
      <c r="J711" s="148"/>
      <c r="K711" s="148"/>
      <c r="L711" s="148"/>
      <c r="M711" s="148"/>
      <c r="N711" s="148"/>
      <c r="O711" s="148"/>
      <c r="P711" s="148"/>
      <c r="Q711" s="148"/>
      <c r="R711" s="148"/>
      <c r="S711" s="148"/>
    </row>
    <row r="712" spans="4:19" x14ac:dyDescent="0.25">
      <c r="D712" s="148"/>
      <c r="E712" s="148"/>
      <c r="F712" s="148"/>
      <c r="G712" s="148"/>
      <c r="H712" s="148"/>
      <c r="I712" s="148"/>
      <c r="J712" s="148"/>
      <c r="K712" s="148"/>
      <c r="L712" s="148"/>
      <c r="M712" s="148"/>
      <c r="N712" s="148"/>
      <c r="O712" s="148"/>
      <c r="P712" s="148"/>
      <c r="Q712" s="148"/>
      <c r="R712" s="148"/>
      <c r="S712" s="148"/>
    </row>
    <row r="713" spans="4:19" x14ac:dyDescent="0.25">
      <c r="D713" s="148"/>
      <c r="E713" s="148"/>
      <c r="F713" s="148"/>
      <c r="G713" s="148"/>
      <c r="H713" s="148"/>
      <c r="I713" s="148"/>
      <c r="J713" s="148"/>
      <c r="K713" s="148"/>
      <c r="L713" s="148"/>
      <c r="M713" s="148"/>
      <c r="N713" s="148"/>
      <c r="O713" s="148"/>
      <c r="P713" s="148"/>
      <c r="Q713" s="148"/>
      <c r="R713" s="148"/>
      <c r="S713" s="148"/>
    </row>
    <row r="714" spans="4:19" x14ac:dyDescent="0.25">
      <c r="D714" s="148"/>
      <c r="E714" s="148"/>
      <c r="F714" s="148"/>
      <c r="G714" s="148"/>
      <c r="H714" s="148"/>
      <c r="I714" s="148"/>
      <c r="J714" s="148"/>
      <c r="K714" s="148"/>
      <c r="L714" s="148"/>
      <c r="M714" s="148"/>
      <c r="N714" s="148"/>
      <c r="O714" s="148"/>
      <c r="P714" s="148"/>
      <c r="Q714" s="148"/>
      <c r="R714" s="148"/>
      <c r="S714" s="148"/>
    </row>
    <row r="715" spans="4:19" x14ac:dyDescent="0.25">
      <c r="D715" s="148"/>
      <c r="E715" s="148"/>
      <c r="F715" s="148"/>
      <c r="G715" s="148"/>
      <c r="H715" s="148"/>
      <c r="I715" s="148"/>
      <c r="J715" s="148"/>
      <c r="K715" s="148"/>
      <c r="L715" s="148"/>
      <c r="M715" s="148"/>
      <c r="N715" s="148"/>
      <c r="O715" s="148"/>
      <c r="P715" s="148"/>
      <c r="Q715" s="148"/>
      <c r="R715" s="148"/>
      <c r="S715" s="148"/>
    </row>
    <row r="716" spans="4:19" x14ac:dyDescent="0.25">
      <c r="D716" s="148"/>
      <c r="E716" s="148"/>
      <c r="F716" s="148"/>
      <c r="G716" s="148"/>
      <c r="H716" s="148"/>
      <c r="I716" s="148"/>
      <c r="J716" s="148"/>
      <c r="K716" s="148"/>
      <c r="L716" s="148"/>
      <c r="M716" s="148"/>
      <c r="N716" s="148"/>
      <c r="O716" s="148"/>
      <c r="P716" s="148"/>
      <c r="Q716" s="148"/>
      <c r="R716" s="148"/>
      <c r="S716" s="148"/>
    </row>
    <row r="717" spans="4:19" x14ac:dyDescent="0.25">
      <c r="D717" s="148"/>
      <c r="E717" s="148"/>
      <c r="F717" s="148"/>
      <c r="G717" s="148"/>
      <c r="H717" s="148"/>
      <c r="I717" s="148"/>
      <c r="J717" s="148"/>
      <c r="K717" s="148"/>
      <c r="L717" s="148"/>
      <c r="M717" s="148"/>
      <c r="N717" s="148"/>
      <c r="O717" s="148"/>
      <c r="P717" s="148"/>
      <c r="Q717" s="148"/>
      <c r="R717" s="148"/>
      <c r="S717" s="148"/>
    </row>
    <row r="718" spans="4:19" x14ac:dyDescent="0.25">
      <c r="D718" s="148"/>
      <c r="E718" s="148"/>
      <c r="F718" s="148"/>
      <c r="G718" s="148"/>
      <c r="H718" s="148"/>
      <c r="I718" s="148"/>
      <c r="J718" s="148"/>
      <c r="K718" s="148"/>
      <c r="L718" s="148"/>
      <c r="M718" s="148"/>
      <c r="N718" s="148"/>
      <c r="O718" s="148"/>
      <c r="P718" s="148"/>
      <c r="Q718" s="148"/>
      <c r="R718" s="148"/>
      <c r="S718" s="148"/>
    </row>
    <row r="719" spans="4:19" x14ac:dyDescent="0.25">
      <c r="D719" s="148"/>
      <c r="E719" s="148"/>
      <c r="F719" s="148"/>
      <c r="G719" s="148"/>
      <c r="H719" s="148"/>
      <c r="I719" s="148"/>
      <c r="J719" s="148"/>
      <c r="K719" s="148"/>
      <c r="L719" s="148"/>
      <c r="M719" s="148"/>
      <c r="N719" s="148"/>
      <c r="O719" s="148"/>
      <c r="P719" s="148"/>
      <c r="Q719" s="148"/>
      <c r="R719" s="148"/>
      <c r="S719" s="148"/>
    </row>
    <row r="720" spans="4:19" x14ac:dyDescent="0.25">
      <c r="D720" s="148"/>
      <c r="E720" s="148"/>
      <c r="F720" s="148"/>
      <c r="G720" s="148"/>
      <c r="H720" s="148"/>
      <c r="I720" s="148"/>
      <c r="J720" s="148"/>
      <c r="K720" s="148"/>
      <c r="L720" s="148"/>
      <c r="M720" s="148"/>
      <c r="N720" s="148"/>
      <c r="O720" s="148"/>
      <c r="P720" s="148"/>
      <c r="Q720" s="148"/>
      <c r="R720" s="148"/>
      <c r="S720" s="148"/>
    </row>
    <row r="721" spans="4:19" x14ac:dyDescent="0.25">
      <c r="D721" s="148"/>
      <c r="E721" s="148"/>
      <c r="F721" s="148"/>
      <c r="G721" s="148"/>
      <c r="H721" s="148"/>
      <c r="I721" s="148"/>
      <c r="J721" s="148"/>
      <c r="K721" s="148"/>
      <c r="L721" s="148"/>
      <c r="M721" s="148"/>
      <c r="N721" s="148"/>
      <c r="O721" s="148"/>
      <c r="P721" s="148"/>
      <c r="Q721" s="148"/>
      <c r="R721" s="148"/>
      <c r="S721" s="148"/>
    </row>
    <row r="722" spans="4:19" x14ac:dyDescent="0.25">
      <c r="D722" s="148"/>
      <c r="E722" s="148"/>
      <c r="F722" s="148"/>
      <c r="G722" s="148"/>
      <c r="H722" s="148"/>
      <c r="I722" s="148"/>
      <c r="J722" s="148"/>
      <c r="K722" s="148"/>
      <c r="L722" s="148"/>
      <c r="M722" s="148"/>
      <c r="N722" s="148"/>
      <c r="O722" s="148"/>
      <c r="P722" s="148"/>
      <c r="Q722" s="148"/>
      <c r="R722" s="148"/>
      <c r="S722" s="148"/>
    </row>
    <row r="723" spans="4:19" x14ac:dyDescent="0.25">
      <c r="D723" s="148"/>
      <c r="E723" s="148"/>
      <c r="F723" s="148"/>
      <c r="G723" s="148"/>
      <c r="H723" s="148"/>
      <c r="I723" s="148"/>
      <c r="J723" s="148"/>
      <c r="K723" s="148"/>
      <c r="L723" s="148"/>
      <c r="M723" s="148"/>
      <c r="N723" s="148"/>
      <c r="O723" s="148"/>
      <c r="P723" s="148"/>
      <c r="Q723" s="148"/>
      <c r="R723" s="148"/>
      <c r="S723" s="148"/>
    </row>
    <row r="724" spans="4:19" x14ac:dyDescent="0.25">
      <c r="D724" s="148"/>
      <c r="E724" s="148"/>
      <c r="F724" s="148"/>
      <c r="G724" s="148"/>
      <c r="H724" s="148"/>
      <c r="I724" s="148"/>
      <c r="J724" s="148"/>
      <c r="K724" s="148"/>
      <c r="L724" s="148"/>
      <c r="M724" s="148"/>
      <c r="N724" s="148"/>
      <c r="O724" s="148"/>
      <c r="P724" s="148"/>
      <c r="Q724" s="148"/>
      <c r="R724" s="148"/>
      <c r="S724" s="148"/>
    </row>
    <row r="725" spans="4:19" x14ac:dyDescent="0.25">
      <c r="D725" s="148"/>
      <c r="E725" s="148"/>
      <c r="F725" s="148"/>
      <c r="G725" s="148"/>
      <c r="H725" s="148"/>
      <c r="I725" s="148"/>
      <c r="J725" s="148"/>
      <c r="K725" s="148"/>
      <c r="L725" s="148"/>
      <c r="M725" s="148"/>
      <c r="N725" s="148"/>
      <c r="O725" s="148"/>
      <c r="P725" s="148"/>
      <c r="Q725" s="148"/>
      <c r="R725" s="148"/>
      <c r="S725" s="14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H83"/>
  <sheetViews>
    <sheetView workbookViewId="0"/>
  </sheetViews>
  <sheetFormatPr defaultRowHeight="15" x14ac:dyDescent="0.25"/>
  <cols>
    <col min="1" max="1" width="15.140625" style="297" customWidth="1"/>
    <col min="2" max="33" width="11.85546875" customWidth="1"/>
  </cols>
  <sheetData>
    <row r="1" spans="1:34" x14ac:dyDescent="0.25">
      <c r="A1" s="296" t="s">
        <v>182</v>
      </c>
    </row>
    <row r="2" spans="1:34" x14ac:dyDescent="0.25">
      <c r="B2" s="124" t="s">
        <v>183</v>
      </c>
      <c r="C2" s="125"/>
      <c r="D2" s="125"/>
      <c r="E2" s="125"/>
      <c r="F2" s="125"/>
      <c r="G2" s="125"/>
      <c r="H2" s="125"/>
      <c r="I2" s="125"/>
      <c r="J2" s="125"/>
      <c r="K2" s="125"/>
      <c r="L2" s="125"/>
      <c r="M2" s="125"/>
      <c r="N2" s="125"/>
      <c r="O2" s="125"/>
      <c r="P2" s="125"/>
      <c r="Q2" s="126"/>
      <c r="R2" s="127" t="s">
        <v>184</v>
      </c>
      <c r="S2" s="128"/>
      <c r="T2" s="128"/>
      <c r="U2" s="128"/>
      <c r="V2" s="128"/>
      <c r="W2" s="128"/>
      <c r="X2" s="128"/>
      <c r="Y2" s="128"/>
      <c r="Z2" s="128"/>
      <c r="AA2" s="129"/>
      <c r="AB2" s="130" t="s">
        <v>185</v>
      </c>
      <c r="AC2" s="131"/>
      <c r="AD2" s="131"/>
      <c r="AE2" s="131"/>
      <c r="AF2" s="131"/>
      <c r="AG2" s="131"/>
    </row>
    <row r="3" spans="1:34" x14ac:dyDescent="0.25">
      <c r="B3" s="132">
        <v>1</v>
      </c>
      <c r="C3" s="133"/>
      <c r="D3" s="132">
        <v>2</v>
      </c>
      <c r="E3" s="133"/>
      <c r="F3" s="132">
        <v>3</v>
      </c>
      <c r="G3" s="133"/>
      <c r="H3" s="132">
        <v>4</v>
      </c>
      <c r="I3" s="133"/>
      <c r="J3" s="132">
        <v>5</v>
      </c>
      <c r="K3" s="133"/>
      <c r="L3" s="132">
        <v>6</v>
      </c>
      <c r="M3" s="133"/>
      <c r="N3" s="132">
        <v>15</v>
      </c>
      <c r="O3" s="133"/>
      <c r="P3" s="132" t="s">
        <v>186</v>
      </c>
      <c r="Q3" s="134"/>
      <c r="R3" s="135">
        <v>7</v>
      </c>
      <c r="S3" s="136"/>
      <c r="T3" s="135">
        <v>8</v>
      </c>
      <c r="U3" s="136"/>
      <c r="V3" s="135">
        <v>9</v>
      </c>
      <c r="W3" s="136"/>
      <c r="X3" s="135">
        <v>10</v>
      </c>
      <c r="Y3" s="136"/>
      <c r="Z3" s="135" t="s">
        <v>186</v>
      </c>
      <c r="AA3" s="136"/>
      <c r="AB3" s="137">
        <v>12</v>
      </c>
      <c r="AC3" s="138"/>
      <c r="AD3" s="137">
        <v>13</v>
      </c>
      <c r="AE3" s="138"/>
      <c r="AF3" s="137" t="s">
        <v>186</v>
      </c>
      <c r="AG3" s="138"/>
    </row>
    <row r="4" spans="1:34" s="211" customFormat="1" x14ac:dyDescent="0.25">
      <c r="A4" s="300"/>
      <c r="B4" s="301">
        <v>2010</v>
      </c>
      <c r="C4" s="302">
        <v>2011</v>
      </c>
      <c r="D4" s="301">
        <v>2010</v>
      </c>
      <c r="E4" s="302">
        <v>2011</v>
      </c>
      <c r="F4" s="301">
        <v>2010</v>
      </c>
      <c r="G4" s="302">
        <v>2011</v>
      </c>
      <c r="H4" s="301">
        <v>2010</v>
      </c>
      <c r="I4" s="302">
        <v>2011</v>
      </c>
      <c r="J4" s="301">
        <v>2010</v>
      </c>
      <c r="K4" s="302">
        <v>2011</v>
      </c>
      <c r="L4" s="301">
        <v>2010</v>
      </c>
      <c r="M4" s="302">
        <v>2011</v>
      </c>
      <c r="N4" s="301">
        <v>2010</v>
      </c>
      <c r="O4" s="302">
        <v>2011</v>
      </c>
      <c r="P4" s="301">
        <v>2010</v>
      </c>
      <c r="Q4" s="302">
        <v>2011</v>
      </c>
      <c r="R4" s="303">
        <v>2010</v>
      </c>
      <c r="S4" s="304">
        <v>2011</v>
      </c>
      <c r="T4" s="303">
        <v>2010</v>
      </c>
      <c r="U4" s="304">
        <v>2011</v>
      </c>
      <c r="V4" s="303">
        <v>2010</v>
      </c>
      <c r="W4" s="304">
        <v>2011</v>
      </c>
      <c r="X4" s="303">
        <v>2010</v>
      </c>
      <c r="Y4" s="304">
        <v>2011</v>
      </c>
      <c r="Z4" s="303">
        <v>2010</v>
      </c>
      <c r="AA4" s="304">
        <v>2011</v>
      </c>
      <c r="AB4" s="305">
        <v>2010</v>
      </c>
      <c r="AC4" s="306">
        <v>2011</v>
      </c>
      <c r="AD4" s="305">
        <v>2010</v>
      </c>
      <c r="AE4" s="306">
        <v>2011</v>
      </c>
      <c r="AF4" s="305">
        <v>2010</v>
      </c>
      <c r="AG4" s="306">
        <v>2011</v>
      </c>
      <c r="AH4" s="212"/>
    </row>
    <row r="5" spans="1:34" x14ac:dyDescent="0.25">
      <c r="A5" s="297" t="s">
        <v>141</v>
      </c>
      <c r="B5" s="139">
        <f>GETPIVOTDATA("Sum of OLD-Tot UG SCH Calc",'Pivot Table for Fact Book'!$A$3,"State","AL","type",1,"Type2","Four-Year")</f>
        <v>1549762</v>
      </c>
      <c r="C5" s="140">
        <f>GETPIVOTDATA("Sum of NEW-Tot UG SCH Calc",'Pivot Table for Fact Book'!$A$3,"State","AL","type",1,"Type2","Four-Year")</f>
        <v>1588642</v>
      </c>
      <c r="D5" s="139">
        <f>GETPIVOTDATA("Sum of OLD-Tot UG SCH Calc",'Pivot Table for Fact Book'!$A$3,"State","AL","type",2,"Type2","Four-Year")</f>
        <v>161061</v>
      </c>
      <c r="E5" s="140">
        <f>GETPIVOTDATA("Sum of NEW-Tot UG SCH Calc",'Pivot Table for Fact Book'!$A$3,"State","AL","type",2,"Type2","Four-Year")</f>
        <v>155382</v>
      </c>
      <c r="F5" s="139">
        <f>GETPIVOTDATA("Sum of OLD-Tot UG SCH Calc",'Pivot Table for Fact Book'!$A$3,"State","AL","type",3,"Type2","Four-Year")</f>
        <v>961969</v>
      </c>
      <c r="G5" s="140">
        <f>GETPIVOTDATA("Sum of NEW-Tot UG SCH Calc",'Pivot Table for Fact Book'!$A$3,"State","AL","type",3,"Type2","Four-Year")</f>
        <v>1010120</v>
      </c>
      <c r="H5" s="139">
        <f>GETPIVOTDATA("Sum of OLD-Tot UG SCH Calc",'Pivot Table for Fact Book'!$A$3,"State","AL","type",4,"Type2","Four-Year")</f>
        <v>441638</v>
      </c>
      <c r="I5" s="140">
        <f>GETPIVOTDATA("Sum of NEW-Tot UG SCH Calc",'Pivot Table for Fact Book'!$A$3,"State","AL","type",4,"Type2","Four-Year")</f>
        <v>432241</v>
      </c>
      <c r="J5" s="139">
        <f>GETPIVOTDATA("Sum of OLD-Tot UG SCH Calc",'Pivot Table for Fact Book'!$A$3,"State","AL","type",5,"Type2","Four-Year")</f>
        <v>123346</v>
      </c>
      <c r="K5" s="140">
        <f>GETPIVOTDATA("Sum of NEW-Tot UG SCH Calc",'Pivot Table for Fact Book'!$A$3,"State","AL","type",5,"Type2","Four-Year")</f>
        <v>124756</v>
      </c>
      <c r="L5" s="139">
        <f>GETPIVOTDATA("Sum of OLD-Tot UG SCH Calc",'Pivot Table for Fact Book'!$A$3,"State","AL","type",6,"Type2","Four-Year")</f>
        <v>89190</v>
      </c>
      <c r="M5" s="140">
        <f>GETPIVOTDATA("Sum of NEW-Tot UG SCH Calc",'Pivot Table for Fact Book'!$A$3,"State","AL","type",6,"Type2","Four-Year")</f>
        <v>85702</v>
      </c>
      <c r="N5" s="139">
        <f>GETPIVOTDATA("Sum of OLD-Tot UG SCH Calc",'Pivot Table for Fact Book'!$A$3,"State","AL","type",15,"Type2","Four-Year")</f>
        <v>0</v>
      </c>
      <c r="O5" s="140">
        <f>GETPIVOTDATA("Sum of NEW-Tot UG SCH Calc",'Pivot Table for Fact Book'!$A$3,"State","AL","type",15,"Type2","Four-Year")</f>
        <v>0</v>
      </c>
      <c r="P5" s="141">
        <f>GETPIVOTDATA("Sum of OLD-Tot UG SCH Calc",'Pivot Table for Fact Book'!$A$3,"State","AL","Type2","Four-Year")</f>
        <v>3326966</v>
      </c>
      <c r="Q5" s="141">
        <f>GETPIVOTDATA("Sum of NEW-Tot UG SCH Calc",'Pivot Table for Fact Book'!$A$3,"State","AL","Type2","Four-Year")</f>
        <v>3396843</v>
      </c>
      <c r="R5" s="139">
        <f>GETPIVOTDATA("Sum of OLD-Tot UG SCH Calc",'Pivot Table for Fact Book'!$A$3,"State","AL","type",7,"Type2","Two-Year")</f>
        <v>0</v>
      </c>
      <c r="S5" s="142">
        <f>GETPIVOTDATA("Sum of NEW-Tot UG SCH Calc",'Pivot Table for Fact Book'!$A$3,"State","AL","type",7,"Type2","Two-Year")</f>
        <v>0</v>
      </c>
      <c r="T5" s="142">
        <f>GETPIVOTDATA("Sum of OLD-Tot UG SCH Calc",'Pivot Table for Fact Book'!$A$3,"State","AL","type",8,"Type2","Two-Year")</f>
        <v>816617</v>
      </c>
      <c r="U5" s="142">
        <f>GETPIVOTDATA("Sum of NEW-Tot UG SCH Calc",'Pivot Table for Fact Book'!$A$3,"State","AL","type",8,"Type2","Two-Year")</f>
        <v>801324</v>
      </c>
      <c r="V5" s="142">
        <f>GETPIVOTDATA("Sum of OLD-Tot UG SCH Calc",'Pivot Table for Fact Book'!$A$3,"State","AL","type",9,"Type2","Two-Year")</f>
        <v>1204127</v>
      </c>
      <c r="W5" s="142">
        <f>GETPIVOTDATA("Sum of NEW-Tot UG SCH Calc",'Pivot Table for Fact Book'!$A$3,"State","AL","type",9,"Type2","Two-Year")</f>
        <v>1150347</v>
      </c>
      <c r="X5" s="142">
        <f>GETPIVOTDATA("Sum of OLD-Tot UG SCH Calc",'Pivot Table for Fact Book'!$A$3,"State","AL","type",10,"Type2","Two-Year")</f>
        <v>292760</v>
      </c>
      <c r="Y5" s="142">
        <f>GETPIVOTDATA("Sum of NEW-Tot UG SCH Calc",'Pivot Table for Fact Book'!$A$3,"State","AL","type",10,"Type2","Two-Year")</f>
        <v>283170</v>
      </c>
      <c r="Z5" s="143">
        <f>GETPIVOTDATA("Sum of OLD-Tot UG SCH Calc",'Pivot Table for Fact Book'!$A$3,"State","AL","Type2","Two-Year")</f>
        <v>2313504</v>
      </c>
      <c r="AA5" s="143">
        <f>GETPIVOTDATA("Sum of NEW-Tot UG SCH Calc",'Pivot Table for Fact Book'!$A$3,"State","AL","Type2","Two-Year")</f>
        <v>2234841</v>
      </c>
      <c r="AB5" s="139">
        <f>+GETPIVOTDATA("Sum of OLD-Tot UG SCH Calc",'Pivot Table for Fact Book'!$A$3,"State","AL","type",12,"type2","Techncial")</f>
        <v>49717</v>
      </c>
      <c r="AC5" s="142">
        <f>+GETPIVOTDATA("Sum of NEW-Tot UG SCH Calc",'Pivot Table for Fact Book'!$A$3,"State","AL","type",12,"type2","Techncial")</f>
        <v>49502</v>
      </c>
      <c r="AD5" s="139">
        <f>+GETPIVOTDATA("Sum of OLD-Tot UG SCH Calc",'Pivot Table for Fact Book'!$A$3,"State","AL","type",13,"type2","Techncial")</f>
        <v>79335</v>
      </c>
      <c r="AE5" s="142">
        <f>+GETPIVOTDATA("Sum of NEW-Tot UG SCH Calc",'Pivot Table for Fact Book'!$A$3,"State","AL","type",13,"type2","Techncial")</f>
        <v>74055</v>
      </c>
      <c r="AF5" s="144">
        <f>+GETPIVOTDATA("Sum of OLD-Tot UG SCH Calc",'Pivot Table for Fact Book'!$A$3,"State","AL","type2","Techncial")</f>
        <v>129052</v>
      </c>
      <c r="AG5" s="145">
        <f>+GETPIVOTDATA("Sum of NEW-Tot UG SCH Calc",'Pivot Table for Fact Book'!$A$3,"State","AL","type2","Techncial")</f>
        <v>123557</v>
      </c>
      <c r="AH5" s="14"/>
    </row>
    <row r="6" spans="1:34" x14ac:dyDescent="0.25">
      <c r="A6" s="297" t="s">
        <v>142</v>
      </c>
      <c r="B6" s="139">
        <f>GETPIVOTDATA("Sum of OLD-Tot UG SCH Calc",'Pivot Table for Fact Book'!$A$3,"State","AR","type",1,"Type2","Four-Year")</f>
        <v>473313</v>
      </c>
      <c r="C6" s="140">
        <f>GETPIVOTDATA("Sum of NEW-Tot UG SCH Calc",'Pivot Table for Fact Book'!$A$3,"State","AR","type",1,"Type2","Four-Year")</f>
        <v>525893</v>
      </c>
      <c r="D6" s="139">
        <f>GETPIVOTDATA("Sum of OLD-Tot UG SCH Calc",'Pivot Table for Fact Book'!$A$3,"State","AR","type",2,"Type2","Four-Year")</f>
        <v>0</v>
      </c>
      <c r="E6" s="140">
        <f>GETPIVOTDATA("Sum of NEW-Tot UG SCH Calc",'Pivot Table for Fact Book'!$A$3,"State","AR","type",2,"Type2","Four-Year")</f>
        <v>0</v>
      </c>
      <c r="F6" s="139">
        <f>GETPIVOTDATA("Sum of OLD-Tot UG SCH Calc",'Pivot Table for Fact Book'!$A$3,"State","AR","type",3,"Type2","Four-Year")</f>
        <v>778618</v>
      </c>
      <c r="G6" s="140">
        <f>GETPIVOTDATA("Sum of NEW-Tot UG SCH Calc",'Pivot Table for Fact Book'!$A$3,"State","AR","type",3,"Type2","Four-Year")</f>
        <v>785555</v>
      </c>
      <c r="H6" s="139">
        <f>GETPIVOTDATA("Sum of OLD-Tot UG SCH Calc",'Pivot Table for Fact Book'!$A$3,"State","AR","type",4,"Type2","Four-Year")</f>
        <v>383965</v>
      </c>
      <c r="I6" s="140">
        <f>GETPIVOTDATA("Sum of NEW-Tot UG SCH Calc",'Pivot Table for Fact Book'!$A$3,"State","AR","type",4,"Type2","Four-Year")</f>
        <v>399791</v>
      </c>
      <c r="J6" s="139">
        <f>GETPIVOTDATA("Sum of OLD-Tot UG SCH Calc",'Pivot Table for Fact Book'!$A$3,"State","AR","type",5,"Type2","Four-Year")</f>
        <v>70587</v>
      </c>
      <c r="K6" s="140">
        <f>GETPIVOTDATA("Sum of NEW-Tot UG SCH Calc",'Pivot Table for Fact Book'!$A$3,"State","AR","type",5,"Type2","Four-Year")</f>
        <v>72002</v>
      </c>
      <c r="L6" s="139">
        <f>GETPIVOTDATA("Sum of OLD-Tot UG SCH Calc",'Pivot Table for Fact Book'!$A$3,"State","AR","type",6,"Type2","Four-Year")</f>
        <v>284271</v>
      </c>
      <c r="M6" s="140">
        <f>GETPIVOTDATA("Sum of NEW-Tot UG SCH Calc",'Pivot Table for Fact Book'!$A$3,"State","AR","type",6,"Type2","Four-Year")</f>
        <v>280667</v>
      </c>
      <c r="N6" s="139">
        <f>GETPIVOTDATA("Sum of OLD-Tot UG SCH Calc",'Pivot Table for Fact Book'!$A$3,"State","AR","type",15,"Type2","Four-Year")</f>
        <v>0</v>
      </c>
      <c r="O6" s="140">
        <f>GETPIVOTDATA("Sum of NEW-Tot UG SCH Calc",'Pivot Table for Fact Book'!$A$3,"State","AR","type",15,"Type2","Four-Year")</f>
        <v>0</v>
      </c>
      <c r="P6" s="141">
        <f>GETPIVOTDATA("Sum of OLD-Tot UG SCH Calc",'Pivot Table for Fact Book'!$A$3,"State","AR","Type2","Four-Year")</f>
        <v>1990754</v>
      </c>
      <c r="Q6" s="141">
        <f>GETPIVOTDATA("Sum of NEW-Tot UG SCH Calc",'Pivot Table for Fact Book'!$A$3,"State","AR","Type2","Four-Year")</f>
        <v>2063908</v>
      </c>
      <c r="R6" s="139">
        <f>GETPIVOTDATA("Sum of OLD-Tot UG SCH Calc",'Pivot Table for Fact Book'!$A$3,"State","AR","type",7,"Type2","Two-Year")</f>
        <v>0</v>
      </c>
      <c r="S6" s="142">
        <f>GETPIVOTDATA("Sum of NEW-Tot UG SCH Calc",'Pivot Table for Fact Book'!$A$3,"State","AR","type",7,"Type2","Two-Year")</f>
        <v>0</v>
      </c>
      <c r="T6" s="142">
        <f>GETPIVOTDATA("Sum of OLD-Tot UG SCH Calc",'Pivot Table for Fact Book'!$A$3,"State","AR","type",8,"Type2","Two-Year")</f>
        <v>417183</v>
      </c>
      <c r="U6" s="142">
        <f>GETPIVOTDATA("Sum of NEW-Tot UG SCH Calc",'Pivot Table for Fact Book'!$A$3,"State","AR","type",8,"Type2","Two-Year")</f>
        <v>435744</v>
      </c>
      <c r="V6" s="142">
        <f>GETPIVOTDATA("Sum of OLD-Tot UG SCH Calc",'Pivot Table for Fact Book'!$A$3,"State","AR","type",9,"Type2","Two-Year")</f>
        <v>193056</v>
      </c>
      <c r="W6" s="142">
        <f>GETPIVOTDATA("Sum of NEW-Tot UG SCH Calc",'Pivot Table for Fact Book'!$A$3,"State","AR","type",9,"Type2","Two-Year")</f>
        <v>192915</v>
      </c>
      <c r="X6" s="142">
        <f>GETPIVOTDATA("Sum of OLD-Tot UG SCH Calc",'Pivot Table for Fact Book'!$A$3,"State","AR","type",10,"Type2","Two-Year")</f>
        <v>743120</v>
      </c>
      <c r="Y6" s="142">
        <f>GETPIVOTDATA("Sum of NEW-Tot UG SCH Calc",'Pivot Table for Fact Book'!$A$3,"State","AR","type",10,"Type2","Two-Year")</f>
        <v>727792</v>
      </c>
      <c r="Z6" s="143">
        <f>GETPIVOTDATA("Sum of OLD-Tot UG SCH Calc",'Pivot Table for Fact Book'!$A$3,"State","AR","Type2","Two-Year")</f>
        <v>1353359</v>
      </c>
      <c r="AA6" s="143">
        <f>GETPIVOTDATA("Sum of NEW-Tot UG SCH Calc",'Pivot Table for Fact Book'!$A$3,"State","AR","Type2","Two-Year")</f>
        <v>1356451</v>
      </c>
      <c r="AB6" s="139">
        <f>+GETPIVOTDATA("Sum of OLD-Tot UG SCH Calc",'Pivot Table for Fact Book'!$A$3,"State","AR","type",12,"type2","Techncial")</f>
        <v>0</v>
      </c>
      <c r="AC6" s="142">
        <f>+GETPIVOTDATA("Sum of NEW-Tot UG SCH Calc",'Pivot Table for Fact Book'!$A$3,"State","AR","type",12,"type2","Techncial")</f>
        <v>0</v>
      </c>
      <c r="AD6" s="139">
        <f>+GETPIVOTDATA("Sum of OLD-Tot UG SCH Calc",'Pivot Table for Fact Book'!$A$3,"State","AR","type",13,"type2","Techncial")</f>
        <v>0</v>
      </c>
      <c r="AE6" s="142">
        <f>+GETPIVOTDATA("Sum of NEW-Tot UG SCH Calc",'Pivot Table for Fact Book'!$A$3,"State","AR","type",13,"type2","Techncial")</f>
        <v>0</v>
      </c>
      <c r="AF6" s="144">
        <f>+GETPIVOTDATA("Sum of OLD-Tot UG SCH Calc",'Pivot Table for Fact Book'!$A$3,"State","AR","type2","Techncial")</f>
        <v>0</v>
      </c>
      <c r="AG6" s="145">
        <f>+GETPIVOTDATA("Sum of NEW-Tot UG SCH Calc",'Pivot Table for Fact Book'!$A$3,"State","AR","type2","Techncial")</f>
        <v>0</v>
      </c>
      <c r="AH6" s="14"/>
    </row>
    <row r="7" spans="1:34" x14ac:dyDescent="0.25">
      <c r="A7" s="297" t="s">
        <v>143</v>
      </c>
      <c r="B7" s="139">
        <f>GETPIVOTDATA("Sum of OLD-Tot UG SCH Calc",'Pivot Table for Fact Book'!$A$3,"State","DE","type",1,"Type2","Four-Year")</f>
        <v>519545</v>
      </c>
      <c r="C7" s="140">
        <f>GETPIVOTDATA("Sum of NEW-Tot UG SCH Calc",'Pivot Table for Fact Book'!$A$3,"State","DE","type",1,"Type2","Four-Year")</f>
        <v>525599</v>
      </c>
      <c r="D7" s="139">
        <f>GETPIVOTDATA("Sum of OLD-Tot UG SCH Calc",'Pivot Table for Fact Book'!$A$3,"State","DE","type",2,"Type2","Four-Year")</f>
        <v>0</v>
      </c>
      <c r="E7" s="140">
        <f>GETPIVOTDATA("Sum of NEW-Tot UG SCH Calc",'Pivot Table for Fact Book'!$A$3,"State","DE","type",2,"Type2","Four-Year")</f>
        <v>0</v>
      </c>
      <c r="F7" s="139">
        <f>GETPIVOTDATA("Sum of OLD-Tot UG SCH Calc",'Pivot Table for Fact Book'!$A$3,"State","DE","type",3,"Type2","Four-Year")</f>
        <v>0</v>
      </c>
      <c r="G7" s="140">
        <f>GETPIVOTDATA("Sum of NEW-Tot UG SCH Calc",'Pivot Table for Fact Book'!$A$3,"State","DE","type",3,"Type2","Four-Year")</f>
        <v>0</v>
      </c>
      <c r="H7" s="139">
        <f>GETPIVOTDATA("Sum of OLD-Tot UG SCH Calc",'Pivot Table for Fact Book'!$A$3,"State","DE","type",4,"Type2","Four-Year")</f>
        <v>105469</v>
      </c>
      <c r="I7" s="140">
        <f>GETPIVOTDATA("Sum of NEW-Tot UG SCH Calc",'Pivot Table for Fact Book'!$A$3,"State","DE","type",4,"Type2","Four-Year")</f>
        <v>105618</v>
      </c>
      <c r="J7" s="139">
        <f>GETPIVOTDATA("Sum of OLD-Tot UG SCH Calc",'Pivot Table for Fact Book'!$A$3,"State","DE","type",5,"Type2","Four-Year")</f>
        <v>0</v>
      </c>
      <c r="K7" s="140">
        <f>GETPIVOTDATA("Sum of NEW-Tot UG SCH Calc",'Pivot Table for Fact Book'!$A$3,"State","DE","type",5,"Type2","Four-Year")</f>
        <v>0</v>
      </c>
      <c r="L7" s="139">
        <f>GETPIVOTDATA("Sum of OLD-Tot UG SCH Calc",'Pivot Table for Fact Book'!$A$3,"State","DE","type",6,"Type2","Four-Year")</f>
        <v>0</v>
      </c>
      <c r="M7" s="140">
        <f>GETPIVOTDATA("Sum of NEW-Tot UG SCH Calc",'Pivot Table for Fact Book'!$A$3,"State","DE","type",6,"Type2","Four-Year")</f>
        <v>0</v>
      </c>
      <c r="N7" s="139">
        <f>GETPIVOTDATA("Sum of OLD-Tot UG SCH Calc",'Pivot Table for Fact Book'!$A$3,"State","DE","type",15,"Type2","Four-Year")</f>
        <v>0</v>
      </c>
      <c r="O7" s="140">
        <f>GETPIVOTDATA("Sum of NEW-Tot UG SCH Calc",'Pivot Table for Fact Book'!$A$3,"State","DE","type",15,"Type2","Four-Year")</f>
        <v>0</v>
      </c>
      <c r="P7" s="141">
        <f>GETPIVOTDATA("Sum of OLD-Tot UG SCH Calc",'Pivot Table for Fact Book'!$A$3,"State","DE","Type2","Four-Year")</f>
        <v>625014</v>
      </c>
      <c r="Q7" s="141">
        <f>GETPIVOTDATA("Sum of NEW-Tot UG SCH Calc",'Pivot Table for Fact Book'!$A$3,"State","DE","Type2","Four-Year")</f>
        <v>631217</v>
      </c>
      <c r="R7" s="139">
        <f>GETPIVOTDATA("Sum of OLD-Tot UG SCH Calc",'Pivot Table for Fact Book'!$A$3,"State","DE","type",7,"Type2","Two-Year")</f>
        <v>0</v>
      </c>
      <c r="S7" s="142">
        <f>GETPIVOTDATA("Sum of NEW-Tot UG SCH Calc",'Pivot Table for Fact Book'!$A$3,"State","DE","type",7,"Type2","Two-Year")</f>
        <v>0</v>
      </c>
      <c r="T7" s="142">
        <f>GETPIVOTDATA("Sum of OLD-Tot UG SCH Calc",'Pivot Table for Fact Book'!$A$3,"State","DE","type",8,"Type2","Two-Year")</f>
        <v>162690</v>
      </c>
      <c r="U7" s="142">
        <f>GETPIVOTDATA("Sum of NEW-Tot UG SCH Calc",'Pivot Table for Fact Book'!$A$3,"State","DE","type",8,"Type2","Two-Year")</f>
        <v>157752</v>
      </c>
      <c r="V7" s="142">
        <f>GETPIVOTDATA("Sum of OLD-Tot UG SCH Calc",'Pivot Table for Fact Book'!$A$3,"State","DE","type",9,"Type2","Two-Year")</f>
        <v>180809</v>
      </c>
      <c r="W7" s="142">
        <f>GETPIVOTDATA("Sum of NEW-Tot UG SCH Calc",'Pivot Table for Fact Book'!$A$3,"State","DE","type",9,"Type2","Two-Year")</f>
        <v>178768</v>
      </c>
      <c r="X7" s="142">
        <f>GETPIVOTDATA("Sum of OLD-Tot UG SCH Calc",'Pivot Table for Fact Book'!$A$3,"State","DE","type",10,"Type2","Two-Year")</f>
        <v>0</v>
      </c>
      <c r="Y7" s="142">
        <f>GETPIVOTDATA("Sum of NEW-Tot UG SCH Calc",'Pivot Table for Fact Book'!$A$3,"State","DE","type",10,"Type2","Two-Year")</f>
        <v>0</v>
      </c>
      <c r="Z7" s="143">
        <f>GETPIVOTDATA("Sum of OLD-Tot UG SCH Calc",'Pivot Table for Fact Book'!$A$3,"State","DE","Type2","Two-Year")</f>
        <v>343499</v>
      </c>
      <c r="AA7" s="143">
        <f>GETPIVOTDATA("Sum of NEW-Tot UG SCH Calc",'Pivot Table for Fact Book'!$A$3,"State","DE","Type2","Two-Year")</f>
        <v>336520</v>
      </c>
      <c r="AB7" s="139">
        <f>+GETPIVOTDATA("Sum of OLD-Tot UG SCH Calc",'Pivot Table for Fact Book'!$A$3,"State","DE","type",12,"type2","Techncial")</f>
        <v>0</v>
      </c>
      <c r="AC7" s="142">
        <f>+GETPIVOTDATA("Sum of NEW-Tot UG SCH Calc",'Pivot Table for Fact Book'!$A$3,"State","DE","type",12,"type2","Techncial")</f>
        <v>0</v>
      </c>
      <c r="AD7" s="139">
        <f>+GETPIVOTDATA("Sum of OLD-Tot UG SCH Calc",'Pivot Table for Fact Book'!$A$3,"State","DE","type",13,"type2","Techncial")</f>
        <v>0</v>
      </c>
      <c r="AE7" s="142">
        <f>+GETPIVOTDATA("Sum of NEW-Tot UG SCH Calc",'Pivot Table for Fact Book'!$A$3,"State","DE","type",13,"type2","Techncial")</f>
        <v>0</v>
      </c>
      <c r="AF7" s="144">
        <f>+GETPIVOTDATA("Sum of OLD-Tot UG SCH Calc",'Pivot Table for Fact Book'!$A$3,"State","DE","type2","Techncial")</f>
        <v>0</v>
      </c>
      <c r="AG7" s="145">
        <f>+GETPIVOTDATA("Sum of NEW-Tot UG SCH Calc",'Pivot Table for Fact Book'!$A$3,"State","DE","type2","Techncial")</f>
        <v>0</v>
      </c>
      <c r="AH7" s="14"/>
    </row>
    <row r="8" spans="1:34" x14ac:dyDescent="0.25">
      <c r="A8" s="297" t="s">
        <v>144</v>
      </c>
      <c r="B8" s="139">
        <f>GETPIVOTDATA("Sum of OLD-Tot UG SCH Calc",'Pivot Table for Fact Book'!$A$3,"State","FL","type",1,"Type2","Four-Year")</f>
        <v>5146567</v>
      </c>
      <c r="C8" s="140">
        <f>GETPIVOTDATA("Sum of NEW-Tot UG SCH Calc",'Pivot Table for Fact Book'!$A$3,"State","FL","type",1,"Type2","Four-Year")</f>
        <v>5303102</v>
      </c>
      <c r="D8" s="139">
        <f>GETPIVOTDATA("Sum of OLD-Tot UG SCH Calc",'Pivot Table for Fact Book'!$A$3,"State","FL","type",2,"Type2","Four-Year")</f>
        <v>570235</v>
      </c>
      <c r="E8" s="140">
        <f>GETPIVOTDATA("Sum of NEW-Tot UG SCH Calc",'Pivot Table for Fact Book'!$A$3,"State","FL","type",2,"Type2","Four-Year")</f>
        <v>599677</v>
      </c>
      <c r="F8" s="139">
        <f>GETPIVOTDATA("Sum of OLD-Tot UG SCH Calc",'Pivot Table for Fact Book'!$A$3,"State","FL","type",3,"Type2","Four-Year")</f>
        <v>953563</v>
      </c>
      <c r="G8" s="140">
        <f>GETPIVOTDATA("Sum of NEW-Tot UG SCH Calc",'Pivot Table for Fact Book'!$A$3,"State","FL","type",3,"Type2","Four-Year")</f>
        <v>962337.5</v>
      </c>
      <c r="H8" s="139">
        <f>GETPIVOTDATA("Sum of OLD-Tot UG SCH Calc",'Pivot Table for Fact Book'!$A$3,"State","FL","type",4,"Type2","Four-Year")</f>
        <v>268823</v>
      </c>
      <c r="I8" s="140">
        <f>GETPIVOTDATA("Sum of NEW-Tot UG SCH Calc",'Pivot Table for Fact Book'!$A$3,"State","FL","type",4,"Type2","Four-Year")</f>
        <v>288563</v>
      </c>
      <c r="J8" s="139">
        <f>GETPIVOTDATA("Sum of OLD-Tot UG SCH Calc",'Pivot Table for Fact Book'!$A$3,"State","FL","type",5,"Type2","Four-Year")</f>
        <v>0</v>
      </c>
      <c r="K8" s="140">
        <f>GETPIVOTDATA("Sum of NEW-Tot UG SCH Calc",'Pivot Table for Fact Book'!$A$3,"State","FL","type",5,"Type2","Four-Year")</f>
        <v>0</v>
      </c>
      <c r="L8" s="139">
        <f>GETPIVOTDATA("Sum of OLD-Tot UG SCH Calc",'Pivot Table for Fact Book'!$A$3,"State","FL","type",6,"Type2","Four-Year")</f>
        <v>27680</v>
      </c>
      <c r="M8" s="140">
        <f>GETPIVOTDATA("Sum of NEW-Tot UG SCH Calc",'Pivot Table for Fact Book'!$A$3,"State","FL","type",6,"Type2","Four-Year")</f>
        <v>28208</v>
      </c>
      <c r="N8" s="139">
        <f>GETPIVOTDATA("Sum of OLD-Tot UG SCH Calc",'Pivot Table for Fact Book'!$A$3,"State","FL","type",15,"Type2","Four-Year")</f>
        <v>0</v>
      </c>
      <c r="O8" s="140">
        <f>GETPIVOTDATA("Sum of NEW-Tot UG SCH Calc",'Pivot Table for Fact Book'!$A$3,"State","FL","type",15,"Type2","Four-Year")</f>
        <v>0</v>
      </c>
      <c r="P8" s="141">
        <f>GETPIVOTDATA("Sum of OLD-Tot UG SCH Calc",'Pivot Table for Fact Book'!$A$3,"State","FL","Type2","Four-Year")</f>
        <v>6966868</v>
      </c>
      <c r="Q8" s="141">
        <f>GETPIVOTDATA("Sum of NEW-Tot UG SCH Calc",'Pivot Table for Fact Book'!$A$3,"State","FL","Type2","Four-Year")</f>
        <v>7181887.5</v>
      </c>
      <c r="R8" s="139">
        <f>GETPIVOTDATA("Sum of OLD-Tot UG SCH Calc",'Pivot Table for Fact Book'!$A$3,"State","FL","type",7,"Type2","Two-Year")</f>
        <v>4203398</v>
      </c>
      <c r="S8" s="142">
        <f>GETPIVOTDATA("Sum of NEW-Tot UG SCH Calc",'Pivot Table for Fact Book'!$A$3,"State","FL","type",7,"Type2","Two-Year")</f>
        <v>4309508</v>
      </c>
      <c r="T8" s="142">
        <f>GETPIVOTDATA("Sum of OLD-Tot UG SCH Calc",'Pivot Table for Fact Book'!$A$3,"State","FL","type",8,"Type2","Two-Year")</f>
        <v>5522972</v>
      </c>
      <c r="U8" s="142">
        <f>GETPIVOTDATA("Sum of NEW-Tot UG SCH Calc",'Pivot Table for Fact Book'!$A$3,"State","FL","type",8,"Type2","Two-Year")</f>
        <v>5702741</v>
      </c>
      <c r="V8" s="142">
        <f>GETPIVOTDATA("Sum of OLD-Tot UG SCH Calc",'Pivot Table for Fact Book'!$A$3,"State","FL","type",9,"Type2","Two-Year")</f>
        <v>484330</v>
      </c>
      <c r="W8" s="142">
        <f>GETPIVOTDATA("Sum of NEW-Tot UG SCH Calc",'Pivot Table for Fact Book'!$A$3,"State","FL","type",9,"Type2","Two-Year")</f>
        <v>485740</v>
      </c>
      <c r="X8" s="142">
        <f>GETPIVOTDATA("Sum of OLD-Tot UG SCH Calc",'Pivot Table for Fact Book'!$A$3,"State","FL","type",10,"Type2","Two-Year")</f>
        <v>55835</v>
      </c>
      <c r="Y8" s="142">
        <f>GETPIVOTDATA("Sum of NEW-Tot UG SCH Calc",'Pivot Table for Fact Book'!$A$3,"State","FL","type",10,"Type2","Two-Year")</f>
        <v>53854</v>
      </c>
      <c r="Z8" s="143">
        <f>GETPIVOTDATA("Sum of OLD-Tot UG SCH Calc",'Pivot Table for Fact Book'!$A$3,"State","FL","Type2","Two-Year")</f>
        <v>10266535</v>
      </c>
      <c r="AA8" s="143">
        <f>GETPIVOTDATA("Sum of NEW-Tot UG SCH Calc",'Pivot Table for Fact Book'!$A$3,"State","FL","Type2","Two-Year")</f>
        <v>10551843</v>
      </c>
      <c r="AB8" s="139">
        <f>+GETPIVOTDATA("Sum of OLD-Tot UG SCH Calc",'Pivot Table for Fact Book'!$A$3,"State","FL","type",12,"type2","Techncial")</f>
        <v>0</v>
      </c>
      <c r="AC8" s="142">
        <f>+GETPIVOTDATA("Sum of NEW-Tot UG SCH Calc",'Pivot Table for Fact Book'!$A$3,"State","FL","type",12,"type2","Techncial")</f>
        <v>0</v>
      </c>
      <c r="AD8" s="139">
        <f>+GETPIVOTDATA("Sum of OLD-Tot UG SCH Calc",'Pivot Table for Fact Book'!$A$3,"State","FL","type",13,"type2","Techncial")</f>
        <v>0</v>
      </c>
      <c r="AE8" s="142">
        <f>+GETPIVOTDATA("Sum of NEW-Tot UG SCH Calc",'Pivot Table for Fact Book'!$A$3,"State","FL","type",13,"type2","Techncial")</f>
        <v>0</v>
      </c>
      <c r="AF8" s="144">
        <f>+GETPIVOTDATA("Sum of OLD-Tot UG SCH Calc",'Pivot Table for Fact Book'!$A$3,"State","FL","type2","Techncial")</f>
        <v>0</v>
      </c>
      <c r="AG8" s="145">
        <f>+GETPIVOTDATA("Sum of NEW-Tot UG SCH Calc",'Pivot Table for Fact Book'!$A$3,"State","FL","type2","Techncial")</f>
        <v>0</v>
      </c>
      <c r="AH8" s="14"/>
    </row>
    <row r="9" spans="1:34" x14ac:dyDescent="0.25">
      <c r="A9" s="297" t="s">
        <v>145</v>
      </c>
      <c r="B9" s="139">
        <f>GETPIVOTDATA("Sum of OLD-Tot UG SCH Calc",'Pivot Table for Fact Book'!$A$3,"State","GA","type",1,"Type2","Four-Year")</f>
        <v>0</v>
      </c>
      <c r="C9" s="140">
        <f>GETPIVOTDATA("Sum of NEW-Tot UG SCH Calc",'Pivot Table for Fact Book'!$A$3,"State","GA","type",1,"Type2","Four-Year")</f>
        <v>0</v>
      </c>
      <c r="D9" s="139">
        <f>GETPIVOTDATA("Sum of OLD-Tot UG SCH Calc",'Pivot Table for Fact Book'!$A$3,"State","GA","type",2,"Type2","Four-Year")</f>
        <v>0</v>
      </c>
      <c r="E9" s="140">
        <f>GETPIVOTDATA("Sum of NEW-Tot UG SCH Calc",'Pivot Table for Fact Book'!$A$3,"State","GA","type",2,"Type2","Four-Year")</f>
        <v>0</v>
      </c>
      <c r="F9" s="139">
        <f>GETPIVOTDATA("Sum of OLD-Tot UG SCH Calc",'Pivot Table for Fact Book'!$A$3,"State","GA","type",3,"Type2","Four-Year")</f>
        <v>0</v>
      </c>
      <c r="G9" s="140">
        <f>GETPIVOTDATA("Sum of NEW-Tot UG SCH Calc",'Pivot Table for Fact Book'!$A$3,"State","GA","type",3,"Type2","Four-Year")</f>
        <v>0</v>
      </c>
      <c r="H9" s="139">
        <f>GETPIVOTDATA("Sum of OLD-Tot UG SCH Calc",'Pivot Table for Fact Book'!$A$3,"State","GA","type",4,"Type2","Four-Year")</f>
        <v>0</v>
      </c>
      <c r="I9" s="140">
        <f>GETPIVOTDATA("Sum of NEW-Tot UG SCH Calc",'Pivot Table for Fact Book'!$A$3,"State","GA","type",4,"Type2","Four-Year")</f>
        <v>0</v>
      </c>
      <c r="J9" s="139">
        <f>GETPIVOTDATA("Sum of OLD-Tot UG SCH Calc",'Pivot Table for Fact Book'!$A$3,"State","GA","type",5,"Type2","Four-Year")</f>
        <v>0</v>
      </c>
      <c r="K9" s="140">
        <f>GETPIVOTDATA("Sum of NEW-Tot UG SCH Calc",'Pivot Table for Fact Book'!$A$3,"State","GA","type",5,"Type2","Four-Year")</f>
        <v>0</v>
      </c>
      <c r="L9" s="139">
        <f>GETPIVOTDATA("Sum of OLD-Tot UG SCH Calc",'Pivot Table for Fact Book'!$A$3,"State","GA","type",6,"Type2","Four-Year")</f>
        <v>0</v>
      </c>
      <c r="M9" s="140">
        <f>GETPIVOTDATA("Sum of NEW-Tot UG SCH Calc",'Pivot Table for Fact Book'!$A$3,"State","GA","type",6,"Type2","Four-Year")</f>
        <v>0</v>
      </c>
      <c r="N9" s="139">
        <f>GETPIVOTDATA("Sum of OLD-Tot UG SCH Calc",'Pivot Table for Fact Book'!$A$3,"State","GA","type",15,"Type2","Four-Year")</f>
        <v>0</v>
      </c>
      <c r="O9" s="140">
        <f>GETPIVOTDATA("Sum of NEW-Tot UG SCH Calc",'Pivot Table for Fact Book'!$A$3,"State","GA","type",15,"Type2","Four-Year")</f>
        <v>0</v>
      </c>
      <c r="P9" s="141">
        <f>GETPIVOTDATA("Sum of OLD-Tot UG SCH Calc",'Pivot Table for Fact Book'!$A$3,"State","GA","Type2","Four-Year")</f>
        <v>0</v>
      </c>
      <c r="Q9" s="141">
        <f>GETPIVOTDATA("Sum of NEW-Tot UG SCH Calc",'Pivot Table for Fact Book'!$A$3,"State","GA","Type2","Four-Year")</f>
        <v>0</v>
      </c>
      <c r="R9" s="139">
        <f>GETPIVOTDATA("Sum of OLD-Tot UG SCH Calc",'Pivot Table for Fact Book'!$A$3,"State","GA","type",7,"Type2","Two-Year")</f>
        <v>0</v>
      </c>
      <c r="S9" s="142">
        <f>GETPIVOTDATA("Sum of NEW-Tot UG SCH Calc",'Pivot Table for Fact Book'!$A$3,"State","GA","type",7,"Type2","Two-Year")</f>
        <v>0</v>
      </c>
      <c r="T9" s="142">
        <f>GETPIVOTDATA("Sum of OLD-Tot UG SCH Calc",'Pivot Table for Fact Book'!$A$3,"State","GA","type",8,"Type2","Two-Year")</f>
        <v>0</v>
      </c>
      <c r="U9" s="142">
        <f>GETPIVOTDATA("Sum of NEW-Tot UG SCH Calc",'Pivot Table for Fact Book'!$A$3,"State","GA","type",8,"Type2","Two-Year")</f>
        <v>0</v>
      </c>
      <c r="V9" s="142">
        <f>GETPIVOTDATA("Sum of OLD-Tot UG SCH Calc",'Pivot Table for Fact Book'!$A$3,"State","GA","type",9,"Type2","Two-Year")</f>
        <v>0</v>
      </c>
      <c r="W9" s="142">
        <f>GETPIVOTDATA("Sum of NEW-Tot UG SCH Calc",'Pivot Table for Fact Book'!$A$3,"State","GA","type",9,"Type2","Two-Year")</f>
        <v>0</v>
      </c>
      <c r="X9" s="142">
        <f>GETPIVOTDATA("Sum of OLD-Tot UG SCH Calc",'Pivot Table for Fact Book'!$A$3,"State","GA","type",10,"Type2","Two-Year")</f>
        <v>0</v>
      </c>
      <c r="Y9" s="142">
        <f>GETPIVOTDATA("Sum of NEW-Tot UG SCH Calc",'Pivot Table for Fact Book'!$A$3,"State","GA","type",10,"Type2","Two-Year")</f>
        <v>0</v>
      </c>
      <c r="Z9" s="143">
        <f>GETPIVOTDATA("Sum of OLD-Tot UG SCH Calc",'Pivot Table for Fact Book'!$A$3,"State","GA","Type2","Two-Year")</f>
        <v>0</v>
      </c>
      <c r="AA9" s="143">
        <f>GETPIVOTDATA("Sum of NEW-Tot UG SCH Calc",'Pivot Table for Fact Book'!$A$3,"State","GA","Type2","Two-Year")</f>
        <v>0</v>
      </c>
      <c r="AB9" s="139">
        <f>+GETPIVOTDATA("Sum of OLD-Tot UG SCH Calc",'Pivot Table for Fact Book'!$A$3,"State","GA","type",12,"type2","Techncial")</f>
        <v>3091550.3697899994</v>
      </c>
      <c r="AC9" s="142">
        <f>+GETPIVOTDATA("Sum of NEW-Tot UG SCH Calc",'Pivot Table for Fact Book'!$A$3,"State","GA","type",12,"type2","Techncial")</f>
        <v>2900244.5000000005</v>
      </c>
      <c r="AD9" s="139">
        <f>+GETPIVOTDATA("Sum of OLD-Tot UG SCH Calc",'Pivot Table for Fact Book'!$A$3,"State","GA","type",13,"type2","Techncial")</f>
        <v>0</v>
      </c>
      <c r="AE9" s="142">
        <f>+GETPIVOTDATA("Sum of NEW-Tot UG SCH Calc",'Pivot Table for Fact Book'!$A$3,"State","GA","type",13,"type2","Techncial")</f>
        <v>0</v>
      </c>
      <c r="AF9" s="144">
        <f>+GETPIVOTDATA("Sum of OLD-Tot UG SCH Calc",'Pivot Table for Fact Book'!$A$3,"State","GA","type2","Techncial")</f>
        <v>3091550.3697899994</v>
      </c>
      <c r="AG9" s="145">
        <f>+GETPIVOTDATA("Sum of NEW-Tot UG SCH Calc",'Pivot Table for Fact Book'!$A$3,"State","GA","type2","Techncial")</f>
        <v>2900244.5000000005</v>
      </c>
      <c r="AH9" s="14"/>
    </row>
    <row r="10" spans="1:34" x14ac:dyDescent="0.25">
      <c r="A10" s="297" t="s">
        <v>146</v>
      </c>
      <c r="B10" s="139">
        <f>GETPIVOTDATA("Sum of OLD-Tot UG SCH Calc",'Pivot Table for Fact Book'!$A$3,"State","KY","type",1,"Type2","Four-Year")</f>
        <v>933808</v>
      </c>
      <c r="C10" s="140">
        <f>GETPIVOTDATA("Sum of NEW-Tot UG SCH Calc",'Pivot Table for Fact Book'!$A$3,"State","KY","type",1,"Type2","Four-Year")</f>
        <v>952973.5</v>
      </c>
      <c r="D10" s="139">
        <f>GETPIVOTDATA("Sum of OLD-Tot UG SCH Calc",'Pivot Table for Fact Book'!$A$3,"State","KY","type",2,"Type2","Four-Year")</f>
        <v>0</v>
      </c>
      <c r="E10" s="140">
        <f>GETPIVOTDATA("Sum of NEW-Tot UG SCH Calc",'Pivot Table for Fact Book'!$A$3,"State","KY","type",2,"Type2","Four-Year")</f>
        <v>0</v>
      </c>
      <c r="F10" s="139">
        <f>GETPIVOTDATA("Sum of OLD-Tot UG SCH Calc",'Pivot Table for Fact Book'!$A$3,"State","KY","type",3,"Type2","Four-Year")</f>
        <v>1247754</v>
      </c>
      <c r="G10" s="140">
        <f>GETPIVOTDATA("Sum of NEW-Tot UG SCH Calc",'Pivot Table for Fact Book'!$A$3,"State","KY","type",3,"Type2","Four-Year")</f>
        <v>1237192</v>
      </c>
      <c r="H10" s="139">
        <f>GETPIVOTDATA("Sum of OLD-Tot UG SCH Calc",'Pivot Table for Fact Book'!$A$3,"State","KY","type",4,"Type2","Four-Year")</f>
        <v>398429</v>
      </c>
      <c r="I10" s="140">
        <f>GETPIVOTDATA("Sum of NEW-Tot UG SCH Calc",'Pivot Table for Fact Book'!$A$3,"State","KY","type",4,"Type2","Four-Year")</f>
        <v>398500</v>
      </c>
      <c r="J10" s="139">
        <f>GETPIVOTDATA("Sum of OLD-Tot UG SCH Calc",'Pivot Table for Fact Book'!$A$3,"State","KY","type",5,"Type2","Four-Year")</f>
        <v>0</v>
      </c>
      <c r="K10" s="140">
        <f>GETPIVOTDATA("Sum of NEW-Tot UG SCH Calc",'Pivot Table for Fact Book'!$A$3,"State","KY","type",5,"Type2","Four-Year")</f>
        <v>0</v>
      </c>
      <c r="L10" s="139">
        <f>GETPIVOTDATA("Sum of OLD-Tot UG SCH Calc",'Pivot Table for Fact Book'!$A$3,"State","KY","type",6,"Type2","Four-Year")</f>
        <v>0</v>
      </c>
      <c r="M10" s="140">
        <f>GETPIVOTDATA("Sum of NEW-Tot UG SCH Calc",'Pivot Table for Fact Book'!$A$3,"State","KY","type",6,"Type2","Four-Year")</f>
        <v>0</v>
      </c>
      <c r="N10" s="139">
        <f>GETPIVOTDATA("Sum of OLD-Tot UG SCH Calc",'Pivot Table for Fact Book'!$A$3,"State","KY","type",15,"Type2","Four-Year")</f>
        <v>0</v>
      </c>
      <c r="O10" s="140">
        <f>GETPIVOTDATA("Sum of NEW-Tot UG SCH Calc",'Pivot Table for Fact Book'!$A$3,"State","KY","type",15,"Type2","Four-Year")</f>
        <v>0</v>
      </c>
      <c r="P10" s="141">
        <f>GETPIVOTDATA("Sum of OLD-Tot UG SCH Calc",'Pivot Table for Fact Book'!$A$3,"State","KY","Type2","Four-Year")</f>
        <v>2579991</v>
      </c>
      <c r="Q10" s="141">
        <f>GETPIVOTDATA("Sum of NEW-Tot UG SCH Calc",'Pivot Table for Fact Book'!$A$3,"State","KY","Type2","Four-Year")</f>
        <v>2588665.5</v>
      </c>
      <c r="R10" s="139">
        <f>GETPIVOTDATA("Sum of OLD-Tot UG SCH Calc",'Pivot Table for Fact Book'!$A$3,"State","KY","type",7,"Type2","Two-Year")</f>
        <v>0</v>
      </c>
      <c r="S10" s="142">
        <f>GETPIVOTDATA("Sum of NEW-Tot UG SCH Calc",'Pivot Table for Fact Book'!$A$3,"State","KY","type",7,"Type2","Two-Year")</f>
        <v>0</v>
      </c>
      <c r="T10" s="142">
        <f>GETPIVOTDATA("Sum of OLD-Tot UG SCH Calc",'Pivot Table for Fact Book'!$A$3,"State","KY","type",8,"Type2","Two-Year")</f>
        <v>553195</v>
      </c>
      <c r="U10" s="142">
        <f>GETPIVOTDATA("Sum of NEW-Tot UG SCH Calc",'Pivot Table for Fact Book'!$A$3,"State","KY","type",8,"Type2","Two-Year")</f>
        <v>552702</v>
      </c>
      <c r="V10" s="142">
        <f>GETPIVOTDATA("Sum of OLD-Tot UG SCH Calc",'Pivot Table for Fact Book'!$A$3,"State","KY","type",9,"Type2","Two-Year")</f>
        <v>1013200</v>
      </c>
      <c r="W10" s="142">
        <f>GETPIVOTDATA("Sum of NEW-Tot UG SCH Calc",'Pivot Table for Fact Book'!$A$3,"State","KY","type",9,"Type2","Two-Year")</f>
        <v>1018276</v>
      </c>
      <c r="X10" s="142">
        <f>GETPIVOTDATA("Sum of OLD-Tot UG SCH Calc",'Pivot Table for Fact Book'!$A$3,"State","KY","type",10,"Type2","Two-Year")</f>
        <v>114870</v>
      </c>
      <c r="Y10" s="142">
        <f>GETPIVOTDATA("Sum of NEW-Tot UG SCH Calc",'Pivot Table for Fact Book'!$A$3,"State","KY","type",10,"Type2","Two-Year")</f>
        <v>111599</v>
      </c>
      <c r="Z10" s="143">
        <f>GETPIVOTDATA("Sum of OLD-Tot UG SCH Calc",'Pivot Table for Fact Book'!$A$3,"State","KY","Type2","Two-Year")</f>
        <v>1681265</v>
      </c>
      <c r="AA10" s="143">
        <f>GETPIVOTDATA("Sum of NEW-Tot UG SCH Calc",'Pivot Table for Fact Book'!$A$3,"State","KY","Type2","Two-Year")</f>
        <v>1682577</v>
      </c>
      <c r="AB10" s="139">
        <f>+GETPIVOTDATA("Sum of OLD-Tot UG SCH Calc",'Pivot Table for Fact Book'!$A$3,"State","KY","type",12,"type2","Techncial")</f>
        <v>137533</v>
      </c>
      <c r="AC10" s="142">
        <f>+GETPIVOTDATA("Sum of NEW-Tot UG SCH Calc",'Pivot Table for Fact Book'!$A$3,"State","KY","type",12,"type2","Techncial")</f>
        <v>144514</v>
      </c>
      <c r="AD10" s="139">
        <f>+GETPIVOTDATA("Sum of OLD-Tot UG SCH Calc",'Pivot Table for Fact Book'!$A$3,"State","KY","type",13,"type2","Techncial")</f>
        <v>0</v>
      </c>
      <c r="AE10" s="142">
        <f>+GETPIVOTDATA("Sum of NEW-Tot UG SCH Calc",'Pivot Table for Fact Book'!$A$3,"State","KY","type",13,"type2","Techncial")</f>
        <v>0</v>
      </c>
      <c r="AF10" s="144">
        <f>+GETPIVOTDATA("Sum of OLD-Tot UG SCH Calc",'Pivot Table for Fact Book'!$A$3,"State","KY","type2","Techncial")</f>
        <v>137533</v>
      </c>
      <c r="AG10" s="145">
        <f>+GETPIVOTDATA("Sum of NEW-Tot UG SCH Calc",'Pivot Table for Fact Book'!$A$3,"State","KY","type2","Techncial")</f>
        <v>144514</v>
      </c>
      <c r="AH10" s="14"/>
    </row>
    <row r="11" spans="1:34" x14ac:dyDescent="0.25">
      <c r="A11" s="297" t="s">
        <v>147</v>
      </c>
      <c r="B11" s="139">
        <f>GETPIVOTDATA("Sum of OLD-Tot UG SCH Calc",'Pivot Table for Fact Book'!$A$3,"State","LA","type",1,"Type2","Four-Year")</f>
        <v>0</v>
      </c>
      <c r="C11" s="140">
        <f>GETPIVOTDATA("Sum of NEW-Tot UG SCH Calc",'Pivot Table for Fact Book'!$A$3,"State","LA","type",1,"Type2","Four-Year")</f>
        <v>0</v>
      </c>
      <c r="D11" s="139">
        <f>GETPIVOTDATA("Sum of OLD-Tot UG SCH Calc",'Pivot Table for Fact Book'!$A$3,"State","LA","type",2,"Type2","Four-Year")</f>
        <v>0</v>
      </c>
      <c r="E11" s="140">
        <f>GETPIVOTDATA("Sum of NEW-Tot UG SCH Calc",'Pivot Table for Fact Book'!$A$3,"State","LA","type",2,"Type2","Four-Year")</f>
        <v>0</v>
      </c>
      <c r="F11" s="139">
        <f>GETPIVOTDATA("Sum of OLD-Tot UG SCH Calc",'Pivot Table for Fact Book'!$A$3,"State","LA","type",3,"Type2","Four-Year")</f>
        <v>0</v>
      </c>
      <c r="G11" s="140">
        <f>GETPIVOTDATA("Sum of NEW-Tot UG SCH Calc",'Pivot Table for Fact Book'!$A$3,"State","LA","type",3,"Type2","Four-Year")</f>
        <v>0</v>
      </c>
      <c r="H11" s="139">
        <f>GETPIVOTDATA("Sum of OLD-Tot UG SCH Calc",'Pivot Table for Fact Book'!$A$3,"State","LA","type",4,"Type2","Four-Year")</f>
        <v>0</v>
      </c>
      <c r="I11" s="140">
        <f>GETPIVOTDATA("Sum of NEW-Tot UG SCH Calc",'Pivot Table for Fact Book'!$A$3,"State","LA","type",4,"Type2","Four-Year")</f>
        <v>0</v>
      </c>
      <c r="J11" s="139">
        <f>GETPIVOTDATA("Sum of OLD-Tot UG SCH Calc",'Pivot Table for Fact Book'!$A$3,"State","LA","type",5,"Type2","Four-Year")</f>
        <v>0</v>
      </c>
      <c r="K11" s="140">
        <f>GETPIVOTDATA("Sum of NEW-Tot UG SCH Calc",'Pivot Table for Fact Book'!$A$3,"State","LA","type",5,"Type2","Four-Year")</f>
        <v>0</v>
      </c>
      <c r="L11" s="139">
        <f>GETPIVOTDATA("Sum of OLD-Tot UG SCH Calc",'Pivot Table for Fact Book'!$A$3,"State","LA","type",6,"Type2","Four-Year")</f>
        <v>0</v>
      </c>
      <c r="M11" s="140">
        <f>GETPIVOTDATA("Sum of NEW-Tot UG SCH Calc",'Pivot Table for Fact Book'!$A$3,"State","LA","type",6,"Type2","Four-Year")</f>
        <v>0</v>
      </c>
      <c r="N11" s="139">
        <f>GETPIVOTDATA("Sum of OLD-Tot UG SCH Calc",'Pivot Table for Fact Book'!$A$3,"State","LA","type",15,"Type2","Four-Year")</f>
        <v>0</v>
      </c>
      <c r="O11" s="140">
        <f>GETPIVOTDATA("Sum of NEW-Tot UG SCH Calc",'Pivot Table for Fact Book'!$A$3,"State","LA","type",15,"Type2","Four-Year")</f>
        <v>0</v>
      </c>
      <c r="P11" s="141">
        <f>GETPIVOTDATA("Sum of OLD-Tot UG SCH Calc",'Pivot Table for Fact Book'!$A$3,"State","LA","Type2","Four-Year")</f>
        <v>0</v>
      </c>
      <c r="Q11" s="141">
        <f>GETPIVOTDATA("Sum of NEW-Tot UG SCH Calc",'Pivot Table for Fact Book'!$A$3,"State","LA","Type2","Four-Year")</f>
        <v>0</v>
      </c>
      <c r="R11" s="139">
        <f>GETPIVOTDATA("Sum of OLD-Tot UG SCH Calc",'Pivot Table for Fact Book'!$A$3,"State","LA","type",7,"Type2","Two-Year")</f>
        <v>0</v>
      </c>
      <c r="S11" s="142">
        <f>GETPIVOTDATA("Sum of NEW-Tot UG SCH Calc",'Pivot Table for Fact Book'!$A$3,"State","LA","type",7,"Type2","Two-Year")</f>
        <v>0</v>
      </c>
      <c r="T11" s="142">
        <f>GETPIVOTDATA("Sum of OLD-Tot UG SCH Calc",'Pivot Table for Fact Book'!$A$3,"State","LA","type",8,"Type2","Two-Year")</f>
        <v>0</v>
      </c>
      <c r="U11" s="142">
        <f>GETPIVOTDATA("Sum of NEW-Tot UG SCH Calc",'Pivot Table for Fact Book'!$A$3,"State","LA","type",8,"Type2","Two-Year")</f>
        <v>0</v>
      </c>
      <c r="V11" s="142">
        <f>GETPIVOTDATA("Sum of OLD-Tot UG SCH Calc",'Pivot Table for Fact Book'!$A$3,"State","LA","type",9,"Type2","Two-Year")</f>
        <v>0</v>
      </c>
      <c r="W11" s="142">
        <f>GETPIVOTDATA("Sum of NEW-Tot UG SCH Calc",'Pivot Table for Fact Book'!$A$3,"State","LA","type",9,"Type2","Two-Year")</f>
        <v>0</v>
      </c>
      <c r="X11" s="142">
        <f>GETPIVOTDATA("Sum of OLD-Tot UG SCH Calc",'Pivot Table for Fact Book'!$A$3,"State","LA","type",10,"Type2","Two-Year")</f>
        <v>0</v>
      </c>
      <c r="Y11" s="142">
        <f>GETPIVOTDATA("Sum of NEW-Tot UG SCH Calc",'Pivot Table for Fact Book'!$A$3,"State","LA","type",10,"Type2","Two-Year")</f>
        <v>0</v>
      </c>
      <c r="Z11" s="143">
        <f>GETPIVOTDATA("Sum of OLD-Tot UG SCH Calc",'Pivot Table for Fact Book'!$A$3,"State","LA","Type2","Two-Year")</f>
        <v>0</v>
      </c>
      <c r="AA11" s="143">
        <f>GETPIVOTDATA("Sum of NEW-Tot UG SCH Calc",'Pivot Table for Fact Book'!$A$3,"State","LA","Type2","Two-Year")</f>
        <v>0</v>
      </c>
      <c r="AB11" s="139">
        <f>+GETPIVOTDATA("Sum of OLD-Tot UG SCH Calc",'Pivot Table for Fact Book'!$A$3,"State","LA","type",12,"type2","Techncial")</f>
        <v>0</v>
      </c>
      <c r="AC11" s="142">
        <f>+GETPIVOTDATA("Sum of NEW-Tot UG SCH Calc",'Pivot Table for Fact Book'!$A$3,"State","LA","type",12,"type2","Techncial")</f>
        <v>0</v>
      </c>
      <c r="AD11" s="139">
        <f>+GETPIVOTDATA("Sum of OLD-Tot UG SCH Calc",'Pivot Table for Fact Book'!$A$3,"State","LA","type",13,"type2","Techncial")</f>
        <v>0</v>
      </c>
      <c r="AE11" s="142">
        <f>+GETPIVOTDATA("Sum of NEW-Tot UG SCH Calc",'Pivot Table for Fact Book'!$A$3,"State","LA","type",13,"type2","Techncial")</f>
        <v>0</v>
      </c>
      <c r="AF11" s="144">
        <f>+GETPIVOTDATA("Sum of OLD-Tot UG SCH Calc",'Pivot Table for Fact Book'!$A$3,"State","LA","type2","Techncial")</f>
        <v>0</v>
      </c>
      <c r="AG11" s="145">
        <f>+GETPIVOTDATA("Sum of NEW-Tot UG SCH Calc",'Pivot Table for Fact Book'!$A$3,"State","LA","type2","Techncial")</f>
        <v>0</v>
      </c>
      <c r="AH11" s="14"/>
    </row>
    <row r="12" spans="1:34" x14ac:dyDescent="0.25">
      <c r="A12" s="297" t="s">
        <v>177</v>
      </c>
      <c r="B12" s="139">
        <f>GETPIVOTDATA("Sum of OLD-Tot UG SCH Calc",'Pivot Table for Fact Book'!$A$3,"State","MD","type",1,"Type2","Four-Year")</f>
        <v>799218</v>
      </c>
      <c r="C12" s="140">
        <f>GETPIVOTDATA("Sum of NEW-Tot UG SCH Calc",'Pivot Table for Fact Book'!$A$3,"State","MD","type",1,"Type2","Four-Year")</f>
        <v>799551</v>
      </c>
      <c r="D12" s="139">
        <f>GETPIVOTDATA("Sum of OLD-Tot UG SCH Calc",'Pivot Table for Fact Book'!$A$3,"State","MD","type",2,"Type2","Four-Year")</f>
        <v>471640.5</v>
      </c>
      <c r="E12" s="140">
        <f>GETPIVOTDATA("Sum of NEW-Tot UG SCH Calc",'Pivot Table for Fact Book'!$A$3,"State","MD","type",2,"Type2","Four-Year")</f>
        <v>488823</v>
      </c>
      <c r="F12" s="139">
        <f>GETPIVOTDATA("Sum of OLD-Tot UG SCH Calc",'Pivot Table for Fact Book'!$A$3,"State","MD","type",3,"Type2","Four-Year")</f>
        <v>506715.5</v>
      </c>
      <c r="G12" s="140">
        <f>GETPIVOTDATA("Sum of NEW-Tot UG SCH Calc",'Pivot Table for Fact Book'!$A$3,"State","MD","type",3,"Type2","Four-Year")</f>
        <v>506306.5</v>
      </c>
      <c r="H12" s="139">
        <f>GETPIVOTDATA("Sum of OLD-Tot UG SCH Calc",'Pivot Table for Fact Book'!$A$3,"State","MD","type",4,"Type2","Four-Year")</f>
        <v>765194</v>
      </c>
      <c r="I12" s="140">
        <f>GETPIVOTDATA("Sum of NEW-Tot UG SCH Calc",'Pivot Table for Fact Book'!$A$3,"State","MD","type",4,"Type2","Four-Year")</f>
        <v>767429.5</v>
      </c>
      <c r="J12" s="139">
        <f>GETPIVOTDATA("Sum of OLD-Tot UG SCH Calc",'Pivot Table for Fact Book'!$A$3,"State","MD","type",5,"Type2","Four-Year")</f>
        <v>0</v>
      </c>
      <c r="K12" s="140">
        <f>GETPIVOTDATA("Sum of NEW-Tot UG SCH Calc",'Pivot Table for Fact Book'!$A$3,"State","MD","type",5,"Type2","Four-Year")</f>
        <v>0</v>
      </c>
      <c r="L12" s="139">
        <f>GETPIVOTDATA("Sum of OLD-Tot UG SCH Calc",'Pivot Table for Fact Book'!$A$3,"State","MD","type",6,"Type2","Four-Year")</f>
        <v>62834.5</v>
      </c>
      <c r="M12" s="140">
        <f>GETPIVOTDATA("Sum of NEW-Tot UG SCH Calc",'Pivot Table for Fact Book'!$A$3,"State","MD","type",6,"Type2","Four-Year")</f>
        <v>65152.5</v>
      </c>
      <c r="N12" s="139">
        <f>GETPIVOTDATA("Sum of OLD-Tot UG SCH Calc",'Pivot Table for Fact Book'!$A$3,"State","MD","type",15,"Type2","Four-Year")</f>
        <v>422643</v>
      </c>
      <c r="O12" s="140">
        <f>GETPIVOTDATA("Sum of NEW-Tot UG SCH Calc",'Pivot Table for Fact Book'!$A$3,"State","MD","type",15,"Type2","Four-Year")</f>
        <v>467863</v>
      </c>
      <c r="P12" s="141">
        <f>GETPIVOTDATA("Sum of OLD-Tot UG SCH Calc",'Pivot Table for Fact Book'!$A$3,"State","MD","Type2","Four-Year")</f>
        <v>3028245.5</v>
      </c>
      <c r="Q12" s="141">
        <f>GETPIVOTDATA("Sum of NEW-Tot UG SCH Calc",'Pivot Table for Fact Book'!$A$3,"State","MD","Type2","Four-Year")</f>
        <v>3095125.5</v>
      </c>
      <c r="R12" s="139">
        <f>GETPIVOTDATA("Sum of OLD-Tot UG SCH Calc",'Pivot Table for Fact Book'!$A$3,"State","MD","type",7,"Type2","Two-Year")</f>
        <v>0</v>
      </c>
      <c r="S12" s="142">
        <f>GETPIVOTDATA("Sum of NEW-Tot UG SCH Calc",'Pivot Table for Fact Book'!$A$3,"State","MD","type",7,"Type2","Two-Year")</f>
        <v>0</v>
      </c>
      <c r="T12" s="142">
        <f>GETPIVOTDATA("Sum of OLD-Tot UG SCH Calc",'Pivot Table for Fact Book'!$A$3,"State","MD","type",8,"Type2","Two-Year")</f>
        <v>2099019.7000000002</v>
      </c>
      <c r="U12" s="142">
        <f>GETPIVOTDATA("Sum of NEW-Tot UG SCH Calc",'Pivot Table for Fact Book'!$A$3,"State","MD","type",8,"Type2","Two-Year")</f>
        <v>2105923.5</v>
      </c>
      <c r="V12" s="142">
        <f>GETPIVOTDATA("Sum of OLD-Tot UG SCH Calc",'Pivot Table for Fact Book'!$A$3,"State","MD","type",9,"Type2","Two-Year")</f>
        <v>729201.5</v>
      </c>
      <c r="W12" s="142">
        <f>GETPIVOTDATA("Sum of NEW-Tot UG SCH Calc",'Pivot Table for Fact Book'!$A$3,"State","MD","type",9,"Type2","Two-Year")</f>
        <v>743982.5</v>
      </c>
      <c r="X12" s="142">
        <f>GETPIVOTDATA("Sum of OLD-Tot UG SCH Calc",'Pivot Table for Fact Book'!$A$3,"State","MD","type",10,"Type2","Two-Year")</f>
        <v>123677.25</v>
      </c>
      <c r="Y12" s="142">
        <f>GETPIVOTDATA("Sum of NEW-Tot UG SCH Calc",'Pivot Table for Fact Book'!$A$3,"State","MD","type",10,"Type2","Two-Year")</f>
        <v>125828.75</v>
      </c>
      <c r="Z12" s="143">
        <f>GETPIVOTDATA("Sum of OLD-Tot UG SCH Calc",'Pivot Table for Fact Book'!$A$3,"State","MD","Type2","Two-Year")</f>
        <v>2951898.45</v>
      </c>
      <c r="AA12" s="143">
        <f>GETPIVOTDATA("Sum of NEW-Tot UG SCH Calc",'Pivot Table for Fact Book'!$A$3,"State","MD","Type2","Two-Year")</f>
        <v>2975734.75</v>
      </c>
      <c r="AB12" s="139">
        <f>+GETPIVOTDATA("Sum of OLD-Tot UG SCH Calc",'Pivot Table for Fact Book'!$A$3,"State","MD","type",12,"type2","Techncial")</f>
        <v>0</v>
      </c>
      <c r="AC12" s="142">
        <f>+GETPIVOTDATA("Sum of NEW-Tot UG SCH Calc",'Pivot Table for Fact Book'!$A$3,"State","MD","type",12,"type2","Techncial")</f>
        <v>0</v>
      </c>
      <c r="AD12" s="139">
        <f>+GETPIVOTDATA("Sum of OLD-Tot UG SCH Calc",'Pivot Table for Fact Book'!$A$3,"State","MD","type",13,"type2","Techncial")</f>
        <v>0</v>
      </c>
      <c r="AE12" s="142">
        <f>+GETPIVOTDATA("Sum of NEW-Tot UG SCH Calc",'Pivot Table for Fact Book'!$A$3,"State","MD","type",13,"type2","Techncial")</f>
        <v>0</v>
      </c>
      <c r="AF12" s="144">
        <f>+GETPIVOTDATA("Sum of OLD-Tot UG SCH Calc",'Pivot Table for Fact Book'!$A$3,"State","MD","type2","Techncial")</f>
        <v>0</v>
      </c>
      <c r="AG12" s="145">
        <f>+GETPIVOTDATA("Sum of NEW-Tot UG SCH Calc",'Pivot Table for Fact Book'!$A$3,"State","MD","type2","Techncial")</f>
        <v>0</v>
      </c>
      <c r="AH12" s="14"/>
    </row>
    <row r="13" spans="1:34" x14ac:dyDescent="0.25">
      <c r="A13" s="297" t="s">
        <v>148</v>
      </c>
      <c r="B13" s="139">
        <f>GETPIVOTDATA("Sum of OLD-Tot UG SCH Calc",'Pivot Table for Fact Book'!$A$3,"State","MS","type",1,"Type2","Four-Year")</f>
        <v>761085</v>
      </c>
      <c r="C13" s="140">
        <f>GETPIVOTDATA("Sum of NEW-Tot UG SCH Calc",'Pivot Table for Fact Book'!$A$3,"State","MS","type",1,"Type2","Four-Year")</f>
        <v>790323</v>
      </c>
      <c r="D13" s="139">
        <f>GETPIVOTDATA("Sum of OLD-Tot UG SCH Calc",'Pivot Table for Fact Book'!$A$3,"State","MS","type",2,"Type2","Four-Year")</f>
        <v>577234.5</v>
      </c>
      <c r="E13" s="140">
        <f>GETPIVOTDATA("Sum of NEW-Tot UG SCH Calc",'Pivot Table for Fact Book'!$A$3,"State","MS","type",2,"Type2","Four-Year")</f>
        <v>614306</v>
      </c>
      <c r="F13" s="139">
        <f>GETPIVOTDATA("Sum of OLD-Tot UG SCH Calc",'Pivot Table for Fact Book'!$A$3,"State","MS","type",3,"Type2","Four-Year")</f>
        <v>0</v>
      </c>
      <c r="G13" s="140">
        <f>GETPIVOTDATA("Sum of NEW-Tot UG SCH Calc",'Pivot Table for Fact Book'!$A$3,"State","MS","type",3,"Type2","Four-Year")</f>
        <v>0</v>
      </c>
      <c r="H13" s="139">
        <f>GETPIVOTDATA("Sum of OLD-Tot UG SCH Calc",'Pivot Table for Fact Book'!$A$3,"State","MS","type",4,"Type2","Four-Year")</f>
        <v>228354</v>
      </c>
      <c r="I13" s="140">
        <f>GETPIVOTDATA("Sum of NEW-Tot UG SCH Calc",'Pivot Table for Fact Book'!$A$3,"State","MS","type",4,"Type2","Four-Year")</f>
        <v>231762</v>
      </c>
      <c r="J13" s="139">
        <f>GETPIVOTDATA("Sum of OLD-Tot UG SCH Calc",'Pivot Table for Fact Book'!$A$3,"State","MS","type",5,"Type2","Four-Year")</f>
        <v>63024</v>
      </c>
      <c r="K13" s="140">
        <f>GETPIVOTDATA("Sum of NEW-Tot UG SCH Calc",'Pivot Table for Fact Book'!$A$3,"State","MS","type",5,"Type2","Four-Year")</f>
        <v>67624</v>
      </c>
      <c r="L13" s="139">
        <f>GETPIVOTDATA("Sum of OLD-Tot UG SCH Calc",'Pivot Table for Fact Book'!$A$3,"State","MS","type",6,"Type2","Four-Year")</f>
        <v>0</v>
      </c>
      <c r="M13" s="140">
        <f>GETPIVOTDATA("Sum of NEW-Tot UG SCH Calc",'Pivot Table for Fact Book'!$A$3,"State","MS","type",6,"Type2","Four-Year")</f>
        <v>0</v>
      </c>
      <c r="N13" s="139">
        <f>GETPIVOTDATA("Sum of OLD-Tot UG SCH Calc",'Pivot Table for Fact Book'!$A$3,"State","MS","type",15,"Type2","Four-Year")</f>
        <v>0</v>
      </c>
      <c r="O13" s="140">
        <f>GETPIVOTDATA("Sum of NEW-Tot UG SCH Calc",'Pivot Table for Fact Book'!$A$3,"State","MS","type",15,"Type2","Four-Year")</f>
        <v>0</v>
      </c>
      <c r="P13" s="141">
        <f>GETPIVOTDATA("Sum of OLD-Tot UG SCH Calc",'Pivot Table for Fact Book'!$A$3,"State","MS","Type2","Four-Year")</f>
        <v>1629697.5</v>
      </c>
      <c r="Q13" s="141">
        <f>GETPIVOTDATA("Sum of NEW-Tot UG SCH Calc",'Pivot Table for Fact Book'!$A$3,"State","MS","Type2","Four-Year")</f>
        <v>1704015</v>
      </c>
      <c r="R13" s="139">
        <f>GETPIVOTDATA("Sum of OLD-Tot UG SCH Calc",'Pivot Table for Fact Book'!$A$3,"State","MS","type",7,"Type2","Two-Year")</f>
        <v>0</v>
      </c>
      <c r="S13" s="142">
        <f>GETPIVOTDATA("Sum of NEW-Tot UG SCH Calc",'Pivot Table for Fact Book'!$A$3,"State","MS","type",7,"Type2","Two-Year")</f>
        <v>0</v>
      </c>
      <c r="T13" s="142">
        <f>GETPIVOTDATA("Sum of OLD-Tot UG SCH Calc",'Pivot Table for Fact Book'!$A$3,"State","MS","type",8,"Type2","Two-Year")</f>
        <v>1046744</v>
      </c>
      <c r="U13" s="142">
        <f>GETPIVOTDATA("Sum of NEW-Tot UG SCH Calc",'Pivot Table for Fact Book'!$A$3,"State","MS","type",8,"Type2","Two-Year")</f>
        <v>1012727</v>
      </c>
      <c r="V13" s="142">
        <f>GETPIVOTDATA("Sum of OLD-Tot UG SCH Calc",'Pivot Table for Fact Book'!$A$3,"State","MS","type",9,"Type2","Two-Year")</f>
        <v>1052107</v>
      </c>
      <c r="W13" s="142">
        <f>GETPIVOTDATA("Sum of NEW-Tot UG SCH Calc",'Pivot Table for Fact Book'!$A$3,"State","MS","type",9,"Type2","Two-Year")</f>
        <v>1021317.5</v>
      </c>
      <c r="X13" s="142">
        <f>GETPIVOTDATA("Sum of OLD-Tot UG SCH Calc",'Pivot Table for Fact Book'!$A$3,"State","MS","type",10,"Type2","Two-Year")</f>
        <v>120095</v>
      </c>
      <c r="Y13" s="142">
        <f>GETPIVOTDATA("Sum of NEW-Tot UG SCH Calc",'Pivot Table for Fact Book'!$A$3,"State","MS","type",10,"Type2","Two-Year")</f>
        <v>129482</v>
      </c>
      <c r="Z13" s="143">
        <f>GETPIVOTDATA("Sum of OLD-Tot UG SCH Calc",'Pivot Table for Fact Book'!$A$3,"State","MS","Type2","Two-Year")</f>
        <v>2218946</v>
      </c>
      <c r="AA13" s="143">
        <f>GETPIVOTDATA("Sum of NEW-Tot UG SCH Calc",'Pivot Table for Fact Book'!$A$3,"State","MS","Type2","Two-Year")</f>
        <v>2163526.5</v>
      </c>
      <c r="AB13" s="139">
        <f>+GETPIVOTDATA("Sum of OLD-Tot UG SCH Calc",'Pivot Table for Fact Book'!$A$3,"State","MS","type",12,"type2","Techncial")</f>
        <v>0</v>
      </c>
      <c r="AC13" s="142">
        <f>+GETPIVOTDATA("Sum of NEW-Tot UG SCH Calc",'Pivot Table for Fact Book'!$A$3,"State","MS","type",12,"type2","Techncial")</f>
        <v>0</v>
      </c>
      <c r="AD13" s="139">
        <f>+GETPIVOTDATA("Sum of OLD-Tot UG SCH Calc",'Pivot Table for Fact Book'!$A$3,"State","MS","type",13,"type2","Techncial")</f>
        <v>0</v>
      </c>
      <c r="AE13" s="142">
        <f>+GETPIVOTDATA("Sum of NEW-Tot UG SCH Calc",'Pivot Table for Fact Book'!$A$3,"State","MS","type",13,"type2","Techncial")</f>
        <v>0</v>
      </c>
      <c r="AF13" s="144">
        <f>+GETPIVOTDATA("Sum of OLD-Tot UG SCH Calc",'Pivot Table for Fact Book'!$A$3,"State","MS","type2","Techncial")</f>
        <v>0</v>
      </c>
      <c r="AG13" s="145">
        <f>+GETPIVOTDATA("Sum of NEW-Tot UG SCH Calc",'Pivot Table for Fact Book'!$A$3,"State","MS","type2","Techncial")</f>
        <v>0</v>
      </c>
      <c r="AH13" s="14"/>
    </row>
    <row r="14" spans="1:34" x14ac:dyDescent="0.25">
      <c r="A14" s="297" t="s">
        <v>149</v>
      </c>
      <c r="B14" s="139">
        <f>GETPIVOTDATA("Sum of OLD-Tot UG SCH Calc",'Pivot Table for Fact Book'!$A$3,"State","NC","type",1,"Type2","Four-Year")</f>
        <v>1649031</v>
      </c>
      <c r="C14" s="140">
        <f>GETPIVOTDATA("Sum of NEW-Tot UG SCH Calc",'Pivot Table for Fact Book'!$A$3,"State","NC","type",1,"Type2","Four-Year")</f>
        <v>1663616</v>
      </c>
      <c r="D14" s="139">
        <f>GETPIVOTDATA("Sum of OLD-Tot UG SCH Calc",'Pivot Table for Fact Book'!$A$3,"State","NC","type",2,"Type2","Four-Year")</f>
        <v>550912</v>
      </c>
      <c r="E14" s="140">
        <f>GETPIVOTDATA("Sum of NEW-Tot UG SCH Calc",'Pivot Table for Fact Book'!$A$3,"State","NC","type",2,"Type2","Four-Year")</f>
        <v>566448</v>
      </c>
      <c r="F14" s="139">
        <f>GETPIVOTDATA("Sum of OLD-Tot UG SCH Calc",'Pivot Table for Fact Book'!$A$3,"State","NC","type",3,"Type2","Four-Year")</f>
        <v>2064575</v>
      </c>
      <c r="G14" s="140">
        <f>GETPIVOTDATA("Sum of NEW-Tot UG SCH Calc",'Pivot Table for Fact Book'!$A$3,"State","NC","type",3,"Type2","Four-Year")</f>
        <v>2089313</v>
      </c>
      <c r="H14" s="139">
        <f>GETPIVOTDATA("Sum of OLD-Tot UG SCH Calc",'Pivot Table for Fact Book'!$A$3,"State","NC","type",4,"Type2","Four-Year")</f>
        <v>144829</v>
      </c>
      <c r="I14" s="140">
        <f>GETPIVOTDATA("Sum of NEW-Tot UG SCH Calc",'Pivot Table for Fact Book'!$A$3,"State","NC","type",4,"Type2","Four-Year")</f>
        <v>148382</v>
      </c>
      <c r="J14" s="139">
        <f>GETPIVOTDATA("Sum of OLD-Tot UG SCH Calc",'Pivot Table for Fact Book'!$A$3,"State","NC","type",5,"Type2","Four-Year")</f>
        <v>342848</v>
      </c>
      <c r="K14" s="140">
        <f>GETPIVOTDATA("Sum of NEW-Tot UG SCH Calc",'Pivot Table for Fact Book'!$A$3,"State","NC","type",5,"Type2","Four-Year")</f>
        <v>328916</v>
      </c>
      <c r="L14" s="139">
        <f>GETPIVOTDATA("Sum of OLD-Tot UG SCH Calc",'Pivot Table for Fact Book'!$A$3,"State","NC","type",6,"Type2","Four-Year")</f>
        <v>202516</v>
      </c>
      <c r="M14" s="140">
        <f>GETPIVOTDATA("Sum of NEW-Tot UG SCH Calc",'Pivot Table for Fact Book'!$A$3,"State","NC","type",6,"Type2","Four-Year")</f>
        <v>196642</v>
      </c>
      <c r="N14" s="139">
        <f>GETPIVOTDATA("Sum of OLD-Tot UG SCH Calc",'Pivot Table for Fact Book'!$A$3,"State","NC","type",15,"Type2","Four-Year")</f>
        <v>0</v>
      </c>
      <c r="O14" s="140">
        <f>GETPIVOTDATA("Sum of NEW-Tot UG SCH Calc",'Pivot Table for Fact Book'!$A$3,"State","NC","type",15,"Type2","Four-Year")</f>
        <v>0</v>
      </c>
      <c r="P14" s="141">
        <f>GETPIVOTDATA("Sum of OLD-Tot UG SCH Calc",'Pivot Table for Fact Book'!$A$3,"State","NC","Type2","Four-Year")</f>
        <v>4954711</v>
      </c>
      <c r="Q14" s="141">
        <f>GETPIVOTDATA("Sum of NEW-Tot UG SCH Calc",'Pivot Table for Fact Book'!$A$3,"State","NC","Type2","Four-Year")</f>
        <v>4993317</v>
      </c>
      <c r="R14" s="139">
        <f>GETPIVOTDATA("Sum of OLD-Tot UG SCH Calc",'Pivot Table for Fact Book'!$A$3,"State","NC","type",7,"Type2","Two-Year")</f>
        <v>0</v>
      </c>
      <c r="S14" s="142">
        <f>GETPIVOTDATA("Sum of NEW-Tot UG SCH Calc",'Pivot Table for Fact Book'!$A$3,"State","NC","type",7,"Type2","Two-Year")</f>
        <v>0</v>
      </c>
      <c r="T14" s="142">
        <f>GETPIVOTDATA("Sum of OLD-Tot UG SCH Calc",'Pivot Table for Fact Book'!$A$3,"State","NC","type",8,"Type2","Two-Year")</f>
        <v>2426176</v>
      </c>
      <c r="U14" s="142">
        <f>GETPIVOTDATA("Sum of NEW-Tot UG SCH Calc",'Pivot Table for Fact Book'!$A$3,"State","NC","type",8,"Type2","Two-Year")</f>
        <v>2511660</v>
      </c>
      <c r="V14" s="142">
        <f>GETPIVOTDATA("Sum of OLD-Tot UG SCH Calc",'Pivot Table for Fact Book'!$A$3,"State","NC","type",9,"Type2","Two-Year")</f>
        <v>2128322</v>
      </c>
      <c r="W14" s="142">
        <f>GETPIVOTDATA("Sum of NEW-Tot UG SCH Calc",'Pivot Table for Fact Book'!$A$3,"State","NC","type",9,"Type2","Two-Year")</f>
        <v>2067397</v>
      </c>
      <c r="X14" s="142">
        <f>GETPIVOTDATA("Sum of OLD-Tot UG SCH Calc",'Pivot Table for Fact Book'!$A$3,"State","NC","type",10,"Type2","Two-Year")</f>
        <v>885250</v>
      </c>
      <c r="Y14" s="142">
        <f>GETPIVOTDATA("Sum of NEW-Tot UG SCH Calc",'Pivot Table for Fact Book'!$A$3,"State","NC","type",10,"Type2","Two-Year")</f>
        <v>852525</v>
      </c>
      <c r="Z14" s="143">
        <f>GETPIVOTDATA("Sum of OLD-Tot UG SCH Calc",'Pivot Table for Fact Book'!$A$3,"State","NC","Type2","Two-Year")</f>
        <v>5439748</v>
      </c>
      <c r="AA14" s="143">
        <f>GETPIVOTDATA("Sum of NEW-Tot UG SCH Calc",'Pivot Table for Fact Book'!$A$3,"State","NC","Type2","Two-Year")</f>
        <v>5431582</v>
      </c>
      <c r="AB14" s="139">
        <f>+GETPIVOTDATA("Sum of OLD-Tot UG SCH Calc",'Pivot Table for Fact Book'!$A$3,"State","NC","type",12,"type2","Techncial")</f>
        <v>0</v>
      </c>
      <c r="AC14" s="142">
        <f>+GETPIVOTDATA("Sum of NEW-Tot UG SCH Calc",'Pivot Table for Fact Book'!$A$3,"State","NC","type",12,"type2","Techncial")</f>
        <v>0</v>
      </c>
      <c r="AD14" s="139">
        <f>+GETPIVOTDATA("Sum of OLD-Tot UG SCH Calc",'Pivot Table for Fact Book'!$A$3,"State","NC","type",13,"type2","Techncial")</f>
        <v>0</v>
      </c>
      <c r="AE14" s="142">
        <f>+GETPIVOTDATA("Sum of NEW-Tot UG SCH Calc",'Pivot Table for Fact Book'!$A$3,"State","NC","type",13,"type2","Techncial")</f>
        <v>0</v>
      </c>
      <c r="AF14" s="144">
        <f>+GETPIVOTDATA("Sum of OLD-Tot UG SCH Calc",'Pivot Table for Fact Book'!$A$3,"State","NC","type2","Techncial")</f>
        <v>0</v>
      </c>
      <c r="AG14" s="145">
        <f>+GETPIVOTDATA("Sum of NEW-Tot UG SCH Calc",'Pivot Table for Fact Book'!$A$3,"State","NC","type2","Techncial")</f>
        <v>0</v>
      </c>
      <c r="AH14" s="14"/>
    </row>
    <row r="15" spans="1:34" x14ac:dyDescent="0.25">
      <c r="A15" s="297" t="s">
        <v>150</v>
      </c>
      <c r="B15" s="139">
        <f>GETPIVOTDATA("Sum of OLD-Tot UG SCH Calc",'Pivot Table for Fact Book'!$A$3,"State","OK","type",1,"Type2","Four-Year")</f>
        <v>527383</v>
      </c>
      <c r="C15" s="140">
        <f>GETPIVOTDATA("Sum of NEW-Tot UG SCH Calc",'Pivot Table for Fact Book'!$A$3,"State","OK","type",1,"Type2","Four-Year")</f>
        <v>542963</v>
      </c>
      <c r="D15" s="139">
        <f>GETPIVOTDATA("Sum of OLD-Tot UG SCH Calc",'Pivot Table for Fact Book'!$A$3,"State","OK","type",2,"Type2","Four-Year")</f>
        <v>0</v>
      </c>
      <c r="E15" s="140">
        <f>GETPIVOTDATA("Sum of NEW-Tot UG SCH Calc",'Pivot Table for Fact Book'!$A$3,"State","OK","type",2,"Type2","Four-Year")</f>
        <v>0</v>
      </c>
      <c r="F15" s="139">
        <f>GETPIVOTDATA("Sum of OLD-Tot UG SCH Calc",'Pivot Table for Fact Book'!$A$3,"State","OK","type",3,"Type2","Four-Year")</f>
        <v>570594</v>
      </c>
      <c r="G15" s="140">
        <f>GETPIVOTDATA("Sum of NEW-Tot UG SCH Calc",'Pivot Table for Fact Book'!$A$3,"State","OK","type",3,"Type2","Four-Year")</f>
        <v>580617</v>
      </c>
      <c r="H15" s="139">
        <f>GETPIVOTDATA("Sum of OLD-Tot UG SCH Calc",'Pivot Table for Fact Book'!$A$3,"State","OK","type",4,"Type2","Four-Year")</f>
        <v>0</v>
      </c>
      <c r="I15" s="140">
        <f>GETPIVOTDATA("Sum of NEW-Tot UG SCH Calc",'Pivot Table for Fact Book'!$A$3,"State","OK","type",4,"Type2","Four-Year")</f>
        <v>0</v>
      </c>
      <c r="J15" s="139">
        <f>GETPIVOTDATA("Sum of OLD-Tot UG SCH Calc",'Pivot Table for Fact Book'!$A$3,"State","OK","type",5,"Type2","Four-Year")</f>
        <v>584608</v>
      </c>
      <c r="K15" s="140">
        <f>GETPIVOTDATA("Sum of NEW-Tot UG SCH Calc",'Pivot Table for Fact Book'!$A$3,"State","OK","type",5,"Type2","Four-Year")</f>
        <v>582775</v>
      </c>
      <c r="L15" s="139">
        <f>GETPIVOTDATA("Sum of OLD-Tot UG SCH Calc",'Pivot Table for Fact Book'!$A$3,"State","OK","type",6,"Type2","Four-Year")</f>
        <v>168945</v>
      </c>
      <c r="M15" s="140">
        <f>GETPIVOTDATA("Sum of NEW-Tot UG SCH Calc",'Pivot Table for Fact Book'!$A$3,"State","OK","type",6,"Type2","Four-Year")</f>
        <v>174874</v>
      </c>
      <c r="N15" s="139">
        <f>GETPIVOTDATA("Sum of OLD-Tot UG SCH Calc",'Pivot Table for Fact Book'!$A$3,"State","OK","type",15,"Type2","Four-Year")</f>
        <v>0</v>
      </c>
      <c r="O15" s="140">
        <f>GETPIVOTDATA("Sum of NEW-Tot UG SCH Calc",'Pivot Table for Fact Book'!$A$3,"State","OK","type",15,"Type2","Four-Year")</f>
        <v>0</v>
      </c>
      <c r="P15" s="141">
        <f>GETPIVOTDATA("Sum of OLD-Tot UG SCH Calc",'Pivot Table for Fact Book'!$A$3,"State","OK","Type2","Four-Year")</f>
        <v>1851530</v>
      </c>
      <c r="Q15" s="141">
        <f>GETPIVOTDATA("Sum of NEW-Tot UG SCH Calc",'Pivot Table for Fact Book'!$A$3,"State","OK","Type2","Four-Year")</f>
        <v>1881229</v>
      </c>
      <c r="R15" s="139">
        <f>GETPIVOTDATA("Sum of OLD-Tot UG SCH Calc",'Pivot Table for Fact Book'!$A$3,"State","OK","type",7,"Type2","Two-Year")</f>
        <v>256386</v>
      </c>
      <c r="S15" s="142">
        <f>GETPIVOTDATA("Sum of NEW-Tot UG SCH Calc",'Pivot Table for Fact Book'!$A$3,"State","OK","type",7,"Type2","Two-Year")</f>
        <v>265072</v>
      </c>
      <c r="T15" s="142">
        <f>GETPIVOTDATA("Sum of OLD-Tot UG SCH Calc",'Pivot Table for Fact Book'!$A$3,"State","OK","type",8,"Type2","Two-Year")</f>
        <v>814596</v>
      </c>
      <c r="U15" s="142">
        <f>GETPIVOTDATA("Sum of NEW-Tot UG SCH Calc",'Pivot Table for Fact Book'!$A$3,"State","OK","type",8,"Type2","Two-Year")</f>
        <v>882644</v>
      </c>
      <c r="V15" s="142">
        <f>GETPIVOTDATA("Sum of OLD-Tot UG SCH Calc",'Pivot Table for Fact Book'!$A$3,"State","OK","type",9,"Type2","Two-Year")</f>
        <v>112504</v>
      </c>
      <c r="W15" s="142">
        <f>GETPIVOTDATA("Sum of NEW-Tot UG SCH Calc",'Pivot Table for Fact Book'!$A$3,"State","OK","type",9,"Type2","Two-Year")</f>
        <v>120330</v>
      </c>
      <c r="X15" s="142">
        <f>GETPIVOTDATA("Sum of OLD-Tot UG SCH Calc",'Pivot Table for Fact Book'!$A$3,"State","OK","type",10,"Type2","Two-Year")</f>
        <v>445740</v>
      </c>
      <c r="Y15" s="142">
        <f>GETPIVOTDATA("Sum of NEW-Tot UG SCH Calc",'Pivot Table for Fact Book'!$A$3,"State","OK","type",10,"Type2","Two-Year")</f>
        <v>447794</v>
      </c>
      <c r="Z15" s="143">
        <f>GETPIVOTDATA("Sum of OLD-Tot UG SCH Calc",'Pivot Table for Fact Book'!$A$3,"State","OK","Type2","Two-Year")</f>
        <v>1629226</v>
      </c>
      <c r="AA15" s="143">
        <f>GETPIVOTDATA("Sum of NEW-Tot UG SCH Calc",'Pivot Table for Fact Book'!$A$3,"State","OK","Type2","Two-Year")</f>
        <v>1715840</v>
      </c>
      <c r="AB15" s="139">
        <f>+GETPIVOTDATA("Sum of OLD-Tot UG SCH Calc",'Pivot Table for Fact Book'!$A$3,"State","OK","type",12,"type2","Techncial")</f>
        <v>0</v>
      </c>
      <c r="AC15" s="142">
        <f>+GETPIVOTDATA("Sum of NEW-Tot UG SCH Calc",'Pivot Table for Fact Book'!$A$3,"State","OK","type",12,"type2","Techncial")</f>
        <v>0</v>
      </c>
      <c r="AD15" s="139">
        <f>+GETPIVOTDATA("Sum of OLD-Tot UG SCH Calc",'Pivot Table for Fact Book'!$A$3,"State","OK","type",13,"type2","Techncial")</f>
        <v>0</v>
      </c>
      <c r="AE15" s="142">
        <f>+GETPIVOTDATA("Sum of NEW-Tot UG SCH Calc",'Pivot Table for Fact Book'!$A$3,"State","OK","type",13,"type2","Techncial")</f>
        <v>0</v>
      </c>
      <c r="AF15" s="144">
        <f>+GETPIVOTDATA("Sum of OLD-Tot UG SCH Calc",'Pivot Table for Fact Book'!$A$3,"State","OK","type2","Techncial")</f>
        <v>0</v>
      </c>
      <c r="AG15" s="145">
        <f>+GETPIVOTDATA("Sum of NEW-Tot UG SCH Calc",'Pivot Table for Fact Book'!$A$3,"State","OK","type2","Techncial")</f>
        <v>0</v>
      </c>
      <c r="AH15" s="14"/>
    </row>
    <row r="16" spans="1:34" x14ac:dyDescent="0.25">
      <c r="A16" s="297" t="s">
        <v>151</v>
      </c>
      <c r="B16" s="139">
        <f>GETPIVOTDATA("Sum of OLD-Tot UG SCH Calc",'Pivot Table for Fact Book'!$A$3,"State","SC","type",1,"Type2","Four-Year")</f>
        <v>1096262</v>
      </c>
      <c r="C16" s="140">
        <f>GETPIVOTDATA("Sum of NEW-Tot UG SCH Calc",'Pivot Table for Fact Book'!$A$3,"State","SC","type",1,"Type2","Four-Year")</f>
        <v>1166277</v>
      </c>
      <c r="D16" s="139">
        <f>GETPIVOTDATA("Sum of OLD-Tot UG SCH Calc",'Pivot Table for Fact Book'!$A$3,"State","SC","type",2,"Type2","Four-Year")</f>
        <v>0</v>
      </c>
      <c r="E16" s="140">
        <f>GETPIVOTDATA("Sum of NEW-Tot UG SCH Calc",'Pivot Table for Fact Book'!$A$3,"State","SC","type",2,"Type2","Four-Year")</f>
        <v>0</v>
      </c>
      <c r="F16" s="139">
        <f>GETPIVOTDATA("Sum of OLD-Tot UG SCH Calc",'Pivot Table for Fact Book'!$A$3,"State","SC","type",3,"Type2","Four-Year")</f>
        <v>438067.5</v>
      </c>
      <c r="G16" s="140">
        <f>GETPIVOTDATA("Sum of NEW-Tot UG SCH Calc",'Pivot Table for Fact Book'!$A$3,"State","SC","type",3,"Type2","Four-Year")</f>
        <v>445886</v>
      </c>
      <c r="H16" s="139">
        <f>GETPIVOTDATA("Sum of OLD-Tot UG SCH Calc",'Pivot Table for Fact Book'!$A$3,"State","SC","type",4,"Type2","Four-Year")</f>
        <v>85876</v>
      </c>
      <c r="I16" s="140">
        <f>GETPIVOTDATA("Sum of NEW-Tot UG SCH Calc",'Pivot Table for Fact Book'!$A$3,"State","SC","type",4,"Type2","Four-Year")</f>
        <v>87469</v>
      </c>
      <c r="J16" s="139">
        <f>GETPIVOTDATA("Sum of OLD-Tot UG SCH Calc",'Pivot Table for Fact Book'!$A$3,"State","SC","type",5,"Type2","Four-Year")</f>
        <v>454983</v>
      </c>
      <c r="K16" s="140">
        <f>GETPIVOTDATA("Sum of NEW-Tot UG SCH Calc",'Pivot Table for Fact Book'!$A$3,"State","SC","type",5,"Type2","Four-Year")</f>
        <v>467191</v>
      </c>
      <c r="L16" s="139">
        <f>GETPIVOTDATA("Sum of OLD-Tot UG SCH Calc",'Pivot Table for Fact Book'!$A$3,"State","SC","type",6,"Type2","Four-Year")</f>
        <v>361664.5</v>
      </c>
      <c r="M16" s="140">
        <f>GETPIVOTDATA("Sum of NEW-Tot UG SCH Calc",'Pivot Table for Fact Book'!$A$3,"State","SC","type",6,"Type2","Four-Year")</f>
        <v>392132</v>
      </c>
      <c r="N16" s="139">
        <f>GETPIVOTDATA("Sum of OLD-Tot UG SCH Calc",'Pivot Table for Fact Book'!$A$3,"State","SC","type",15,"Type2","Four-Year")</f>
        <v>0</v>
      </c>
      <c r="O16" s="140">
        <f>GETPIVOTDATA("Sum of NEW-Tot UG SCH Calc",'Pivot Table for Fact Book'!$A$3,"State","SC","type",15,"Type2","Four-Year")</f>
        <v>0</v>
      </c>
      <c r="P16" s="141">
        <f>GETPIVOTDATA("Sum of OLD-Tot UG SCH Calc",'Pivot Table for Fact Book'!$A$3,"State","SC","Type2","Four-Year")</f>
        <v>2436853</v>
      </c>
      <c r="Q16" s="141">
        <f>GETPIVOTDATA("Sum of NEW-Tot UG SCH Calc",'Pivot Table for Fact Book'!$A$3,"State","SC","Type2","Four-Year")</f>
        <v>2558955</v>
      </c>
      <c r="R16" s="139">
        <f>GETPIVOTDATA("Sum of OLD-Tot UG SCH Calc",'Pivot Table for Fact Book'!$A$3,"State","SC","type",7,"Type2","Two-Year")</f>
        <v>0</v>
      </c>
      <c r="S16" s="142">
        <f>GETPIVOTDATA("Sum of NEW-Tot UG SCH Calc",'Pivot Table for Fact Book'!$A$3,"State","SC","type",7,"Type2","Two-Year")</f>
        <v>0</v>
      </c>
      <c r="T16" s="142">
        <f>GETPIVOTDATA("Sum of OLD-Tot UG SCH Calc",'Pivot Table for Fact Book'!$A$3,"State","SC","type",8,"Type2","Two-Year")</f>
        <v>1329057</v>
      </c>
      <c r="U16" s="142">
        <f>GETPIVOTDATA("Sum of NEW-Tot UG SCH Calc",'Pivot Table for Fact Book'!$A$3,"State","SC","type",8,"Type2","Two-Year")</f>
        <v>1425625.79</v>
      </c>
      <c r="V16" s="142">
        <f>GETPIVOTDATA("Sum of OLD-Tot UG SCH Calc",'Pivot Table for Fact Book'!$A$3,"State","SC","type",9,"Type2","Two-Year")</f>
        <v>803203</v>
      </c>
      <c r="W16" s="142">
        <f>GETPIVOTDATA("Sum of NEW-Tot UG SCH Calc",'Pivot Table for Fact Book'!$A$3,"State","SC","type",9,"Type2","Two-Year")</f>
        <v>906819.92</v>
      </c>
      <c r="X16" s="142">
        <f>GETPIVOTDATA("Sum of OLD-Tot UG SCH Calc",'Pivot Table for Fact Book'!$A$3,"State","SC","type",10,"Type2","Two-Year")</f>
        <v>235856</v>
      </c>
      <c r="Y16" s="142">
        <f>GETPIVOTDATA("Sum of NEW-Tot UG SCH Calc",'Pivot Table for Fact Book'!$A$3,"State","SC","type",10,"Type2","Two-Year")</f>
        <v>258949.58</v>
      </c>
      <c r="Z16" s="143">
        <f>GETPIVOTDATA("Sum of OLD-Tot UG SCH Calc",'Pivot Table for Fact Book'!$A$3,"State","SC","Type2","Two-Year")</f>
        <v>2368116</v>
      </c>
      <c r="AA16" s="143">
        <f>GETPIVOTDATA("Sum of NEW-Tot UG SCH Calc",'Pivot Table for Fact Book'!$A$3,"State","SC","Type2","Two-Year")</f>
        <v>2591395.29</v>
      </c>
      <c r="AB16" s="139">
        <f>+GETPIVOTDATA("Sum of OLD-Tot UG SCH Calc",'Pivot Table for Fact Book'!$A$3,"State","SC","type",12,"type2","Techncial")</f>
        <v>0</v>
      </c>
      <c r="AC16" s="142">
        <f>+GETPIVOTDATA("Sum of NEW-Tot UG SCH Calc",'Pivot Table for Fact Book'!$A$3,"State","SC","type",12,"type2","Techncial")</f>
        <v>0</v>
      </c>
      <c r="AD16" s="139">
        <f>+GETPIVOTDATA("Sum of OLD-Tot UG SCH Calc",'Pivot Table for Fact Book'!$A$3,"State","SC","type",13,"type2","Techncial")</f>
        <v>0</v>
      </c>
      <c r="AE16" s="142">
        <f>+GETPIVOTDATA("Sum of NEW-Tot UG SCH Calc",'Pivot Table for Fact Book'!$A$3,"State","SC","type",13,"type2","Techncial")</f>
        <v>0</v>
      </c>
      <c r="AF16" s="144">
        <f>+GETPIVOTDATA("Sum of OLD-Tot UG SCH Calc",'Pivot Table for Fact Book'!$A$3,"State","SC","type2","Techncial")</f>
        <v>0</v>
      </c>
      <c r="AG16" s="145">
        <f>+GETPIVOTDATA("Sum of NEW-Tot UG SCH Calc",'Pivot Table for Fact Book'!$A$3,"State","SC","type2","Techncial")</f>
        <v>0</v>
      </c>
      <c r="AH16" s="14"/>
    </row>
    <row r="17" spans="1:34" x14ac:dyDescent="0.25">
      <c r="A17" s="297" t="s">
        <v>152</v>
      </c>
      <c r="B17" s="139">
        <f>GETPIVOTDATA("Sum of OLD-Tot UG SCH Calc",'Pivot Table for Fact Book'!$A$3,"State","TN","type",1,"Type2","Four-Year")</f>
        <v>990540</v>
      </c>
      <c r="C17" s="140">
        <f>GETPIVOTDATA("Sum of NEW-Tot UG SCH Calc",'Pivot Table for Fact Book'!$A$3,"State","TN","type",1,"Type2","Four-Year")</f>
        <v>1098614</v>
      </c>
      <c r="D17" s="139">
        <f>GETPIVOTDATA("Sum of OLD-Tot UG SCH Calc",'Pivot Table for Fact Book'!$A$3,"State","TN","type",2,"Type2","Four-Year")</f>
        <v>182408</v>
      </c>
      <c r="E17" s="140">
        <f>GETPIVOTDATA("Sum of NEW-Tot UG SCH Calc",'Pivot Table for Fact Book'!$A$3,"State","TN","type",2,"Type2","Four-Year")</f>
        <v>183269</v>
      </c>
      <c r="F17" s="139">
        <f>GETPIVOTDATA("Sum of OLD-Tot UG SCH Calc",'Pivot Table for Fact Book'!$A$3,"State","TN","type",3,"Type2","Four-Year")</f>
        <v>1668369</v>
      </c>
      <c r="G17" s="140">
        <f>GETPIVOTDATA("Sum of NEW-Tot UG SCH Calc",'Pivot Table for Fact Book'!$A$3,"State","TN","type",3,"Type2","Four-Year")</f>
        <v>1645112.3</v>
      </c>
      <c r="H17" s="139">
        <f>GETPIVOTDATA("Sum of OLD-Tot UG SCH Calc",'Pivot Table for Fact Book'!$A$3,"State","TN","type",4,"Type2","Four-Year")</f>
        <v>0</v>
      </c>
      <c r="I17" s="140">
        <f>GETPIVOTDATA("Sum of NEW-Tot UG SCH Calc",'Pivot Table for Fact Book'!$A$3,"State","TN","type",4,"Type2","Four-Year")</f>
        <v>0</v>
      </c>
      <c r="J17" s="139">
        <f>GETPIVOTDATA("Sum of OLD-Tot UG SCH Calc",'Pivot Table for Fact Book'!$A$3,"State","TN","type",5,"Type2","Four-Year")</f>
        <v>189533</v>
      </c>
      <c r="K17" s="140">
        <f>GETPIVOTDATA("Sum of NEW-Tot UG SCH Calc",'Pivot Table for Fact Book'!$A$3,"State","TN","type",5,"Type2","Four-Year")</f>
        <v>204980</v>
      </c>
      <c r="L17" s="139">
        <f>GETPIVOTDATA("Sum of OLD-Tot UG SCH Calc",'Pivot Table for Fact Book'!$A$3,"State","TN","type",6,"Type2","Four-Year")</f>
        <v>0</v>
      </c>
      <c r="M17" s="140">
        <f>GETPIVOTDATA("Sum of NEW-Tot UG SCH Calc",'Pivot Table for Fact Book'!$A$3,"State","TN","type",6,"Type2","Four-Year")</f>
        <v>0</v>
      </c>
      <c r="N17" s="139">
        <f>GETPIVOTDATA("Sum of OLD-Tot UG SCH Calc",'Pivot Table for Fact Book'!$A$3,"State","TN","type",15,"Type2","Four-Year")</f>
        <v>0</v>
      </c>
      <c r="O17" s="140">
        <f>GETPIVOTDATA("Sum of NEW-Tot UG SCH Calc",'Pivot Table for Fact Book'!$A$3,"State","TN","type",15,"Type2","Four-Year")</f>
        <v>0</v>
      </c>
      <c r="P17" s="141">
        <f>GETPIVOTDATA("Sum of OLD-Tot UG SCH Calc",'Pivot Table for Fact Book'!$A$3,"State","TN","Type2","Four-Year")</f>
        <v>3030850</v>
      </c>
      <c r="Q17" s="141">
        <f>GETPIVOTDATA("Sum of NEW-Tot UG SCH Calc",'Pivot Table for Fact Book'!$A$3,"State","TN","Type2","Four-Year")</f>
        <v>3131975.3</v>
      </c>
      <c r="R17" s="139">
        <f>GETPIVOTDATA("Sum of OLD-Tot UG SCH Calc",'Pivot Table for Fact Book'!$A$3,"State","TN","type",7,"Type2","Two-Year")</f>
        <v>0</v>
      </c>
      <c r="S17" s="142">
        <f>GETPIVOTDATA("Sum of NEW-Tot UG SCH Calc",'Pivot Table for Fact Book'!$A$3,"State","TN","type",7,"Type2","Two-Year")</f>
        <v>0</v>
      </c>
      <c r="T17" s="142">
        <f>GETPIVOTDATA("Sum of OLD-Tot UG SCH Calc",'Pivot Table for Fact Book'!$A$3,"State","TN","type",8,"Type2","Two-Year")</f>
        <v>1083827</v>
      </c>
      <c r="U17" s="142">
        <f>GETPIVOTDATA("Sum of NEW-Tot UG SCH Calc",'Pivot Table for Fact Book'!$A$3,"State","TN","type",8,"Type2","Two-Year")</f>
        <v>1098901.5</v>
      </c>
      <c r="V17" s="142">
        <f>GETPIVOTDATA("Sum of OLD-Tot UG SCH Calc",'Pivot Table for Fact Book'!$A$3,"State","TN","type",9,"Type2","Two-Year")</f>
        <v>902544</v>
      </c>
      <c r="W17" s="142">
        <f>GETPIVOTDATA("Sum of NEW-Tot UG SCH Calc",'Pivot Table for Fact Book'!$A$3,"State","TN","type",9,"Type2","Two-Year")</f>
        <v>885936</v>
      </c>
      <c r="X17" s="142">
        <f>GETPIVOTDATA("Sum of OLD-Tot UG SCH Calc",'Pivot Table for Fact Book'!$A$3,"State","TN","type",10,"Type2","Two-Year")</f>
        <v>0</v>
      </c>
      <c r="Y17" s="142">
        <f>GETPIVOTDATA("Sum of NEW-Tot UG SCH Calc",'Pivot Table for Fact Book'!$A$3,"State","TN","type",10,"Type2","Two-Year")</f>
        <v>0</v>
      </c>
      <c r="Z17" s="143">
        <f>GETPIVOTDATA("Sum of OLD-Tot UG SCH Calc",'Pivot Table for Fact Book'!$A$3,"State","TN","Type2","Two-Year")</f>
        <v>1986371</v>
      </c>
      <c r="AA17" s="143">
        <f>GETPIVOTDATA("Sum of NEW-Tot UG SCH Calc",'Pivot Table for Fact Book'!$A$3,"State","TN","Type2","Two-Year")</f>
        <v>1984837.5</v>
      </c>
      <c r="AB17" s="139">
        <f>+GETPIVOTDATA("Sum of OLD-Tot UG SCH Calc",'Pivot Table for Fact Book'!$A$3,"State","TN","type",12,"type2","Techncial")</f>
        <v>0</v>
      </c>
      <c r="AC17" s="142">
        <f>+GETPIVOTDATA("Sum of NEW-Tot UG SCH Calc",'Pivot Table for Fact Book'!$A$3,"State","TN","type",12,"type2","Techncial")</f>
        <v>0</v>
      </c>
      <c r="AD17" s="139">
        <f>+GETPIVOTDATA("Sum of OLD-Tot UG SCH Calc",'Pivot Table for Fact Book'!$A$3,"State","TN","type",13,"type2","Techncial")</f>
        <v>0</v>
      </c>
      <c r="AE17" s="142">
        <f>+GETPIVOTDATA("Sum of NEW-Tot UG SCH Calc",'Pivot Table for Fact Book'!$A$3,"State","TN","type",13,"type2","Techncial")</f>
        <v>0</v>
      </c>
      <c r="AF17" s="144">
        <f>+GETPIVOTDATA("Sum of OLD-Tot UG SCH Calc",'Pivot Table for Fact Book'!$A$3,"State","TN","type2","Techncial")</f>
        <v>0</v>
      </c>
      <c r="AG17" s="145">
        <f>+GETPIVOTDATA("Sum of NEW-Tot UG SCH Calc",'Pivot Table for Fact Book'!$A$3,"State","TN","type2","Techncial")</f>
        <v>0</v>
      </c>
      <c r="AH17" s="14"/>
    </row>
    <row r="18" spans="1:34" x14ac:dyDescent="0.25">
      <c r="A18" s="297" t="s">
        <v>153</v>
      </c>
      <c r="B18" s="139">
        <f>GETPIVOTDATA("Sum of OLD-Tot UG SCH Calc",'Pivot Table for Fact Book'!$A$3,"State","TX","type",1,"Type2","Four-Year")</f>
        <v>5122035</v>
      </c>
      <c r="C18" s="140">
        <f>GETPIVOTDATA("Sum of NEW-Tot UG SCH Calc",'Pivot Table for Fact Book'!$A$3,"State","TX","type",1,"Type2","Four-Year")</f>
        <v>5276587</v>
      </c>
      <c r="D18" s="139">
        <f>GETPIVOTDATA("Sum of OLD-Tot UG SCH Calc",'Pivot Table for Fact Book'!$A$3,"State","TX","type",2,"Type2","Four-Year")</f>
        <v>1275570</v>
      </c>
      <c r="E18" s="140">
        <f>GETPIVOTDATA("Sum of NEW-Tot UG SCH Calc",'Pivot Table for Fact Book'!$A$3,"State","TX","type",2,"Type2","Four-Year")</f>
        <v>1332619</v>
      </c>
      <c r="F18" s="139">
        <f>GETPIVOTDATA("Sum of OLD-Tot UG SCH Calc",'Pivot Table for Fact Book'!$A$3,"State","TX","type",3,"Type2","Four-Year")</f>
        <v>4170292</v>
      </c>
      <c r="G18" s="140">
        <f>GETPIVOTDATA("Sum of NEW-Tot UG SCH Calc",'Pivot Table for Fact Book'!$A$3,"State","TX","type",3,"Type2","Four-Year")</f>
        <v>4280207</v>
      </c>
      <c r="H18" s="139">
        <f>GETPIVOTDATA("Sum of OLD-Tot UG SCH Calc",'Pivot Table for Fact Book'!$A$3,"State","TX","type",4,"Type2","Four-Year")</f>
        <v>76964</v>
      </c>
      <c r="I18" s="140">
        <f>GETPIVOTDATA("Sum of NEW-Tot UG SCH Calc",'Pivot Table for Fact Book'!$A$3,"State","TX","type",4,"Type2","Four-Year")</f>
        <v>91001</v>
      </c>
      <c r="J18" s="139">
        <f>GETPIVOTDATA("Sum of OLD-Tot UG SCH Calc",'Pivot Table for Fact Book'!$A$3,"State","TX","type",5,"Type2","Four-Year")</f>
        <v>281735</v>
      </c>
      <c r="K18" s="140">
        <f>GETPIVOTDATA("Sum of NEW-Tot UG SCH Calc",'Pivot Table for Fact Book'!$A$3,"State","TX","type",5,"Type2","Four-Year")</f>
        <v>284896</v>
      </c>
      <c r="L18" s="139">
        <f>GETPIVOTDATA("Sum of OLD-Tot UG SCH Calc",'Pivot Table for Fact Book'!$A$3,"State","TX","type",6,"Type2","Four-Year")</f>
        <v>49475</v>
      </c>
      <c r="M18" s="140">
        <f>GETPIVOTDATA("Sum of NEW-Tot UG SCH Calc",'Pivot Table for Fact Book'!$A$3,"State","TX","type",6,"Type2","Four-Year")</f>
        <v>54166</v>
      </c>
      <c r="N18" s="139">
        <f>GETPIVOTDATA("Sum of OLD-Tot UG SCH Calc",'Pivot Table for Fact Book'!$A$3,"State","TX","type",15,"Type2","Four-Year")</f>
        <v>0</v>
      </c>
      <c r="O18" s="140">
        <f>GETPIVOTDATA("Sum of NEW-Tot UG SCH Calc",'Pivot Table for Fact Book'!$A$3,"State","TX","type",15,"Type2","Four-Year")</f>
        <v>0</v>
      </c>
      <c r="P18" s="141">
        <f>GETPIVOTDATA("Sum of OLD-Tot UG SCH Calc",'Pivot Table for Fact Book'!$A$3,"State","TX","Type2","Four-Year")</f>
        <v>11081842</v>
      </c>
      <c r="Q18" s="141">
        <f>GETPIVOTDATA("Sum of NEW-Tot UG SCH Calc",'Pivot Table for Fact Book'!$A$3,"State","TX","Type2","Four-Year")</f>
        <v>11436168</v>
      </c>
      <c r="R18" s="139">
        <f>GETPIVOTDATA("Sum of OLD-Tot UG SCH Calc",'Pivot Table for Fact Book'!$A$3,"State","TX","type",7,"Type2","Two-Year")</f>
        <v>748106</v>
      </c>
      <c r="S18" s="142">
        <f>GETPIVOTDATA("Sum of NEW-Tot UG SCH Calc",'Pivot Table for Fact Book'!$A$3,"State","TX","type",7,"Type2","Two-Year")</f>
        <v>767841</v>
      </c>
      <c r="T18" s="142">
        <f>GETPIVOTDATA("Sum of OLD-Tot UG SCH Calc",'Pivot Table for Fact Book'!$A$3,"State","TX","type",8,"Type2","Two-Year")</f>
        <v>11171131</v>
      </c>
      <c r="U18" s="142">
        <f>GETPIVOTDATA("Sum of NEW-Tot UG SCH Calc",'Pivot Table for Fact Book'!$A$3,"State","TX","type",8,"Type2","Two-Year")</f>
        <v>11367099</v>
      </c>
      <c r="V18" s="142">
        <f>GETPIVOTDATA("Sum of OLD-Tot UG SCH Calc",'Pivot Table for Fact Book'!$A$3,"State","TX","type",9,"Type2","Two-Year")</f>
        <v>2441495</v>
      </c>
      <c r="W18" s="142">
        <f>GETPIVOTDATA("Sum of NEW-Tot UG SCH Calc",'Pivot Table for Fact Book'!$A$3,"State","TX","type",9,"Type2","Two-Year")</f>
        <v>2412924</v>
      </c>
      <c r="X18" s="142">
        <f>GETPIVOTDATA("Sum of OLD-Tot UG SCH Calc",'Pivot Table for Fact Book'!$A$3,"State","TX","type",10,"Type2","Two-Year")</f>
        <v>411354</v>
      </c>
      <c r="Y18" s="142">
        <f>GETPIVOTDATA("Sum of NEW-Tot UG SCH Calc",'Pivot Table for Fact Book'!$A$3,"State","TX","type",10,"Type2","Two-Year")</f>
        <v>416048</v>
      </c>
      <c r="Z18" s="143">
        <f>GETPIVOTDATA("Sum of OLD-Tot UG SCH Calc",'Pivot Table for Fact Book'!$A$3,"State","TX","Type2","Two-Year")</f>
        <v>14772086</v>
      </c>
      <c r="AA18" s="143">
        <f>GETPIVOTDATA("Sum of NEW-Tot UG SCH Calc",'Pivot Table for Fact Book'!$A$3,"State","TX","Type2","Two-Year")</f>
        <v>14963912</v>
      </c>
      <c r="AB18" s="139">
        <f>+GETPIVOTDATA("Sum of OLD-Tot UG SCH Calc",'Pivot Table for Fact Book'!$A$3,"State","TX","type",12,"type2","Techncial")</f>
        <v>0</v>
      </c>
      <c r="AC18" s="142">
        <f>+GETPIVOTDATA("Sum of NEW-Tot UG SCH Calc",'Pivot Table for Fact Book'!$A$3,"State","TX","type",12,"type2","Techncial")</f>
        <v>0</v>
      </c>
      <c r="AD18" s="139">
        <f>+GETPIVOTDATA("Sum of OLD-Tot UG SCH Calc",'Pivot Table for Fact Book'!$A$3,"State","TX","type",13,"type2","Techncial")</f>
        <v>0</v>
      </c>
      <c r="AE18" s="142">
        <f>+GETPIVOTDATA("Sum of NEW-Tot UG SCH Calc",'Pivot Table for Fact Book'!$A$3,"State","TX","type",13,"type2","Techncial")</f>
        <v>0</v>
      </c>
      <c r="AF18" s="144">
        <f>+GETPIVOTDATA("Sum of OLD-Tot UG SCH Calc",'Pivot Table for Fact Book'!$A$3,"State","TX","type2","Techncial")</f>
        <v>0</v>
      </c>
      <c r="AG18" s="145">
        <f>+GETPIVOTDATA("Sum of NEW-Tot UG SCH Calc",'Pivot Table for Fact Book'!$A$3,"State","TX","type2","Techncial")</f>
        <v>0</v>
      </c>
      <c r="AH18" s="14"/>
    </row>
    <row r="19" spans="1:34" x14ac:dyDescent="0.25">
      <c r="A19" s="297" t="s">
        <v>154</v>
      </c>
      <c r="B19" s="139">
        <f>GETPIVOTDATA("Sum of OLD-Tot UG SCH Calc",'Pivot Table for Fact Book'!$A$3,"State","VA","type",1,"Type2","Four-Year")</f>
        <v>2239653.5</v>
      </c>
      <c r="C19" s="140">
        <f>GETPIVOTDATA("Sum of NEW-Tot UG SCH Calc",'Pivot Table for Fact Book'!$A$3,"State","VA","type",1,"Type2","Four-Year")</f>
        <v>2289603</v>
      </c>
      <c r="D19" s="139">
        <f>GETPIVOTDATA("Sum of OLD-Tot UG SCH Calc",'Pivot Table for Fact Book'!$A$3,"State","VA","type",2,"Type2","Four-Year")</f>
        <v>817799</v>
      </c>
      <c r="E19" s="140">
        <f>GETPIVOTDATA("Sum of NEW-Tot UG SCH Calc",'Pivot Table for Fact Book'!$A$3,"State","VA","type",2,"Type2","Four-Year")</f>
        <v>825507.5</v>
      </c>
      <c r="F19" s="139">
        <f>GETPIVOTDATA("Sum of OLD-Tot UG SCH Calc",'Pivot Table for Fact Book'!$A$3,"State","VA","type",3,"Type2","Four-Year")</f>
        <v>667628</v>
      </c>
      <c r="G19" s="140">
        <f>GETPIVOTDATA("Sum of NEW-Tot UG SCH Calc",'Pivot Table for Fact Book'!$A$3,"State","VA","type",3,"Type2","Four-Year")</f>
        <v>694589</v>
      </c>
      <c r="H19" s="139">
        <f>GETPIVOTDATA("Sum of OLD-Tot UG SCH Calc",'Pivot Table for Fact Book'!$A$3,"State","VA","type",4,"Type2","Four-Year")</f>
        <v>512517</v>
      </c>
      <c r="I19" s="140">
        <f>GETPIVOTDATA("Sum of NEW-Tot UG SCH Calc",'Pivot Table for Fact Book'!$A$3,"State","VA","type",4,"Type2","Four-Year")</f>
        <v>542305</v>
      </c>
      <c r="J19" s="139">
        <f>GETPIVOTDATA("Sum of OLD-Tot UG SCH Calc",'Pivot Table for Fact Book'!$A$3,"State","VA","type",5,"Type2","Four-Year")</f>
        <v>264323</v>
      </c>
      <c r="K19" s="140">
        <f>GETPIVOTDATA("Sum of NEW-Tot UG SCH Calc",'Pivot Table for Fact Book'!$A$3,"State","VA","type",5,"Type2","Four-Year")</f>
        <v>253503</v>
      </c>
      <c r="L19" s="139">
        <f>GETPIVOTDATA("Sum of OLD-Tot UG SCH Calc",'Pivot Table for Fact Book'!$A$3,"State","VA","type",6,"Type2","Four-Year")</f>
        <v>50690.3</v>
      </c>
      <c r="M19" s="140">
        <f>GETPIVOTDATA("Sum of NEW-Tot UG SCH Calc",'Pivot Table for Fact Book'!$A$3,"State","VA","type",6,"Type2","Four-Year")</f>
        <v>51098</v>
      </c>
      <c r="N19" s="139">
        <f>GETPIVOTDATA("Sum of OLD-Tot UG SCH Calc",'Pivot Table for Fact Book'!$A$3,"State","VA","type",15,"Type2","Four-Year")</f>
        <v>0</v>
      </c>
      <c r="O19" s="140">
        <f>GETPIVOTDATA("Sum of NEW-Tot UG SCH Calc",'Pivot Table for Fact Book'!$A$3,"State","VA","type",15,"Type2","Four-Year")</f>
        <v>0</v>
      </c>
      <c r="P19" s="141">
        <f>GETPIVOTDATA("Sum of OLD-Tot UG SCH Calc",'Pivot Table for Fact Book'!$A$3,"State","VA","Type2","Four-Year")</f>
        <v>4552610.8</v>
      </c>
      <c r="Q19" s="141">
        <f>GETPIVOTDATA("Sum of NEW-Tot UG SCH Calc",'Pivot Table for Fact Book'!$A$3,"State","VA","Type2","Four-Year")</f>
        <v>4656605.5</v>
      </c>
      <c r="R19" s="139">
        <f>GETPIVOTDATA("Sum of OLD-Tot UG SCH Calc",'Pivot Table for Fact Book'!$A$3,"State","VA","type",7,"Type2","Two-Year")</f>
        <v>0</v>
      </c>
      <c r="S19" s="142">
        <f>GETPIVOTDATA("Sum of NEW-Tot UG SCH Calc",'Pivot Table for Fact Book'!$A$3,"State","VA","type",7,"Type2","Two-Year")</f>
        <v>0</v>
      </c>
      <c r="T19" s="142">
        <f>GETPIVOTDATA("Sum of OLD-Tot UG SCH Calc",'Pivot Table for Fact Book'!$A$3,"State","VA","type",8,"Type2","Two-Year")</f>
        <v>2108344</v>
      </c>
      <c r="U19" s="142">
        <f>GETPIVOTDATA("Sum of NEW-Tot UG SCH Calc",'Pivot Table for Fact Book'!$A$3,"State","VA","type",8,"Type2","Two-Year")</f>
        <v>2216538</v>
      </c>
      <c r="V19" s="142">
        <f>GETPIVOTDATA("Sum of OLD-Tot UG SCH Calc",'Pivot Table for Fact Book'!$A$3,"State","VA","type",9,"Type2","Two-Year")</f>
        <v>1381549</v>
      </c>
      <c r="W19" s="142">
        <f>GETPIVOTDATA("Sum of NEW-Tot UG SCH Calc",'Pivot Table for Fact Book'!$A$3,"State","VA","type",9,"Type2","Two-Year")</f>
        <v>1313749</v>
      </c>
      <c r="X19" s="142">
        <f>GETPIVOTDATA("Sum of OLD-Tot UG SCH Calc",'Pivot Table for Fact Book'!$A$3,"State","VA","type",10,"Type2","Two-Year")</f>
        <v>292921</v>
      </c>
      <c r="Y19" s="142">
        <f>GETPIVOTDATA("Sum of NEW-Tot UG SCH Calc",'Pivot Table for Fact Book'!$A$3,"State","VA","type",10,"Type2","Two-Year")</f>
        <v>378830</v>
      </c>
      <c r="Z19" s="143">
        <f>GETPIVOTDATA("Sum of OLD-Tot UG SCH Calc",'Pivot Table for Fact Book'!$A$3,"State","VA","Type2","Two-Year")</f>
        <v>3782814</v>
      </c>
      <c r="AA19" s="143">
        <f>GETPIVOTDATA("Sum of NEW-Tot UG SCH Calc",'Pivot Table for Fact Book'!$A$3,"State","VA","Type2","Two-Year")</f>
        <v>3909117</v>
      </c>
      <c r="AB19" s="139">
        <f>+GETPIVOTDATA("Sum of OLD-Tot UG SCH Calc",'Pivot Table for Fact Book'!$A$3,"State","VA","type",12,"type2","Techncial")</f>
        <v>0</v>
      </c>
      <c r="AC19" s="142">
        <f>+GETPIVOTDATA("Sum of NEW-Tot UG SCH Calc",'Pivot Table for Fact Book'!$A$3,"State","VA","type",12,"type2","Techncial")</f>
        <v>0</v>
      </c>
      <c r="AD19" s="139">
        <f>+GETPIVOTDATA("Sum of OLD-Tot UG SCH Calc",'Pivot Table for Fact Book'!$A$3,"State","VA","type",13,"type2","Techncial")</f>
        <v>0</v>
      </c>
      <c r="AE19" s="142">
        <f>+GETPIVOTDATA("Sum of NEW-Tot UG SCH Calc",'Pivot Table for Fact Book'!$A$3,"State","VA","type",13,"type2","Techncial")</f>
        <v>0</v>
      </c>
      <c r="AF19" s="144">
        <f>+GETPIVOTDATA("Sum of OLD-Tot UG SCH Calc",'Pivot Table for Fact Book'!$A$3,"State","VA","type2","Techncial")</f>
        <v>0</v>
      </c>
      <c r="AG19" s="145">
        <f>+GETPIVOTDATA("Sum of NEW-Tot UG SCH Calc",'Pivot Table for Fact Book'!$A$3,"State","VA","type2","Techncial")</f>
        <v>0</v>
      </c>
      <c r="AH19" s="14"/>
    </row>
    <row r="20" spans="1:34" x14ac:dyDescent="0.25">
      <c r="A20" s="307" t="s">
        <v>155</v>
      </c>
      <c r="B20" s="308">
        <f>GETPIVOTDATA("Sum of OLD-Tot UG SCH Calc",'Pivot Table for Fact Book'!$A$3,"State","WV","type",1,"Type2","Four-Year")</f>
        <v>650374</v>
      </c>
      <c r="C20" s="309">
        <f>GETPIVOTDATA("Sum of NEW-Tot UG SCH Calc",'Pivot Table for Fact Book'!$A$3,"State","WV","type",1,"Type2","Four-Year")</f>
        <v>662072</v>
      </c>
      <c r="D20" s="308">
        <f>GETPIVOTDATA("Sum of OLD-Tot UG SCH Calc",'Pivot Table for Fact Book'!$A$3,"State","WV","type",2,"Type2","Four-Year")</f>
        <v>0</v>
      </c>
      <c r="E20" s="309">
        <f>GETPIVOTDATA("Sum of NEW-Tot UG SCH Calc",'Pivot Table for Fact Book'!$A$3,"State","WV","type",2,"Type2","Four-Year")</f>
        <v>0</v>
      </c>
      <c r="F20" s="308">
        <f>GETPIVOTDATA("Sum of OLD-Tot UG SCH Calc",'Pivot Table for Fact Book'!$A$3,"State","WV","type",3,"Type2","Four-Year")</f>
        <v>268026</v>
      </c>
      <c r="G20" s="309">
        <f>GETPIVOTDATA("Sum of NEW-Tot UG SCH Calc",'Pivot Table for Fact Book'!$A$3,"State","WV","type",3,"Type2","Four-Year")</f>
        <v>274112</v>
      </c>
      <c r="H20" s="308">
        <f>GETPIVOTDATA("Sum of OLD-Tot UG SCH Calc",'Pivot Table for Fact Book'!$A$3,"State","WV","type",4,"Type2","Four-Year")</f>
        <v>0</v>
      </c>
      <c r="I20" s="309">
        <f>GETPIVOTDATA("Sum of NEW-Tot UG SCH Calc",'Pivot Table for Fact Book'!$A$3,"State","WV","type",4,"Type2","Four-Year")</f>
        <v>0</v>
      </c>
      <c r="J20" s="308">
        <f>GETPIVOTDATA("Sum of OLD-Tot UG SCH Calc",'Pivot Table for Fact Book'!$A$3,"State","WV","type",5,"Type2","Four-Year")</f>
        <v>229207</v>
      </c>
      <c r="K20" s="309">
        <f>GETPIVOTDATA("Sum of NEW-Tot UG SCH Calc",'Pivot Table for Fact Book'!$A$3,"State","WV","type",5,"Type2","Four-Year")</f>
        <v>231167</v>
      </c>
      <c r="L20" s="308">
        <f>GETPIVOTDATA("Sum of OLD-Tot UG SCH Calc",'Pivot Table for Fact Book'!$A$3,"State","WV","type",6,"Type2","Four-Year")</f>
        <v>365992</v>
      </c>
      <c r="M20" s="309">
        <f>GETPIVOTDATA("Sum of NEW-Tot UG SCH Calc",'Pivot Table for Fact Book'!$A$3,"State","WV","type",6,"Type2","Four-Year")</f>
        <v>359710</v>
      </c>
      <c r="N20" s="308">
        <f>GETPIVOTDATA("Sum of OLD-Tot UG SCH Calc",'Pivot Table for Fact Book'!$A$3,"State","WV","type",15,"Type2","Four-Year")</f>
        <v>0</v>
      </c>
      <c r="O20" s="309">
        <f>GETPIVOTDATA("Sum of NEW-Tot UG SCH Calc",'Pivot Table for Fact Book'!$A$3,"State","WV","type",15,"Type2","Four-Year")</f>
        <v>0</v>
      </c>
      <c r="P20" s="310">
        <f>GETPIVOTDATA("Sum of OLD-Tot UG SCH Calc",'Pivot Table for Fact Book'!$A$3,"State","WV","Type2","Four-Year")</f>
        <v>1513599</v>
      </c>
      <c r="Q20" s="310">
        <f>GETPIVOTDATA("Sum of NEW-Tot UG SCH Calc",'Pivot Table for Fact Book'!$A$3,"State","WV","Type2","Four-Year")</f>
        <v>1527061</v>
      </c>
      <c r="R20" s="308">
        <f>GETPIVOTDATA("Sum of OLD-Tot UG SCH Calc",'Pivot Table for Fact Book'!$A$3,"State","WV","type",7,"Type2","Two-Year")</f>
        <v>149791</v>
      </c>
      <c r="S20" s="309">
        <f>GETPIVOTDATA("Sum of NEW-Tot UG SCH Calc",'Pivot Table for Fact Book'!$A$3,"State","WV","type",7,"Type2","Two-Year")</f>
        <v>148566</v>
      </c>
      <c r="T20" s="309">
        <f>GETPIVOTDATA("Sum of OLD-Tot UG SCH Calc",'Pivot Table for Fact Book'!$A$3,"State","WV","type",8,"Type2","Two-Year")</f>
        <v>0</v>
      </c>
      <c r="U20" s="309">
        <f>GETPIVOTDATA("Sum of NEW-Tot UG SCH Calc",'Pivot Table for Fact Book'!$A$3,"State","WV","type",8,"Type2","Two-Year")</f>
        <v>0</v>
      </c>
      <c r="V20" s="309">
        <f>GETPIVOTDATA("Sum of OLD-Tot UG SCH Calc",'Pivot Table for Fact Book'!$A$3,"State","WV","type",9,"Type2","Two-Year")</f>
        <v>76666</v>
      </c>
      <c r="W20" s="309">
        <f>GETPIVOTDATA("Sum of NEW-Tot UG SCH Calc",'Pivot Table for Fact Book'!$A$3,"State","WV","type",9,"Type2","Two-Year")</f>
        <v>71666</v>
      </c>
      <c r="X20" s="309">
        <f>GETPIVOTDATA("Sum of OLD-Tot UG SCH Calc",'Pivot Table for Fact Book'!$A$3,"State","WV","type",10,"Type2","Two-Year")</f>
        <v>358666</v>
      </c>
      <c r="Y20" s="309">
        <f>GETPIVOTDATA("Sum of NEW-Tot UG SCH Calc",'Pivot Table for Fact Book'!$A$3,"State","WV","type",10,"Type2","Two-Year")</f>
        <v>365478</v>
      </c>
      <c r="Z20" s="311">
        <f>GETPIVOTDATA("Sum of OLD-Tot UG SCH Calc",'Pivot Table for Fact Book'!$A$3,"State","WV","Type2","Two-Year")</f>
        <v>585123</v>
      </c>
      <c r="AA20" s="311">
        <f>GETPIVOTDATA("Sum of NEW-Tot UG SCH Calc",'Pivot Table for Fact Book'!$A$3,"State","WV","Type2","Two-Year")</f>
        <v>585710</v>
      </c>
      <c r="AB20" s="308">
        <f>+GETPIVOTDATA("Sum of OLD-Tot UG SCH Calc",'Pivot Table for Fact Book'!$A$3,"State","WV","type",12,"type2","Techncial")</f>
        <v>0</v>
      </c>
      <c r="AC20" s="309">
        <f>+GETPIVOTDATA("Sum of NEW-Tot UG SCH Calc",'Pivot Table for Fact Book'!$A$3,"State","WV","type",12,"type2","Techncial")</f>
        <v>0</v>
      </c>
      <c r="AD20" s="308">
        <f>+GETPIVOTDATA("Sum of OLD-Tot UG SCH Calc",'Pivot Table for Fact Book'!$A$3,"State","WV","type",13,"type2","Techncial")</f>
        <v>0</v>
      </c>
      <c r="AE20" s="309">
        <f>+GETPIVOTDATA("Sum of NEW-Tot UG SCH Calc",'Pivot Table for Fact Book'!$A$3,"State","WV","type",13,"type2","Techncial")</f>
        <v>0</v>
      </c>
      <c r="AF20" s="312">
        <f>+GETPIVOTDATA("Sum of OLD-Tot UG SCH Calc",'Pivot Table for Fact Book'!$A$3,"State","WV","type2","Techncial")</f>
        <v>0</v>
      </c>
      <c r="AG20" s="313">
        <f>+GETPIVOTDATA("Sum of NEW-Tot UG SCH Calc",'Pivot Table for Fact Book'!$A$3,"State","WV","type2","Techncial")</f>
        <v>0</v>
      </c>
      <c r="AH20" s="14"/>
    </row>
    <row r="21" spans="1:34" x14ac:dyDescent="0.25">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1:34" x14ac:dyDescent="0.25">
      <c r="A22" s="298" t="s">
        <v>187</v>
      </c>
    </row>
    <row r="23" spans="1:34" x14ac:dyDescent="0.25">
      <c r="B23" s="124" t="s">
        <v>183</v>
      </c>
      <c r="C23" s="125"/>
      <c r="D23" s="125"/>
      <c r="E23" s="125"/>
      <c r="F23" s="125"/>
      <c r="G23" s="125"/>
      <c r="H23" s="125"/>
      <c r="I23" s="125"/>
      <c r="J23" s="125"/>
      <c r="K23" s="125"/>
      <c r="L23" s="125"/>
      <c r="M23" s="125"/>
      <c r="N23" s="125"/>
      <c r="O23" s="125"/>
      <c r="P23" s="125"/>
      <c r="Q23" s="126"/>
      <c r="R23" s="127" t="s">
        <v>184</v>
      </c>
      <c r="S23" s="128"/>
      <c r="T23" s="128"/>
      <c r="U23" s="128"/>
      <c r="V23" s="128"/>
      <c r="W23" s="128"/>
      <c r="X23" s="128"/>
      <c r="Y23" s="128"/>
      <c r="Z23" s="128"/>
      <c r="AA23" s="129"/>
      <c r="AB23" s="130" t="s">
        <v>185</v>
      </c>
      <c r="AC23" s="131"/>
      <c r="AD23" s="131"/>
      <c r="AE23" s="131"/>
      <c r="AF23" s="131"/>
      <c r="AG23" s="131"/>
    </row>
    <row r="24" spans="1:34" x14ac:dyDescent="0.25">
      <c r="B24" s="132">
        <v>1</v>
      </c>
      <c r="C24" s="133"/>
      <c r="D24" s="132">
        <v>2</v>
      </c>
      <c r="E24" s="133"/>
      <c r="F24" s="132">
        <v>3</v>
      </c>
      <c r="G24" s="133"/>
      <c r="H24" s="132">
        <v>4</v>
      </c>
      <c r="I24" s="133"/>
      <c r="J24" s="132">
        <v>5</v>
      </c>
      <c r="K24" s="133"/>
      <c r="L24" s="132">
        <v>6</v>
      </c>
      <c r="M24" s="133"/>
      <c r="N24" s="132">
        <v>15</v>
      </c>
      <c r="O24" s="133"/>
      <c r="P24" s="132" t="s">
        <v>186</v>
      </c>
      <c r="Q24" s="134"/>
      <c r="R24" s="135">
        <v>7</v>
      </c>
      <c r="S24" s="136"/>
      <c r="T24" s="135">
        <v>8</v>
      </c>
      <c r="U24" s="136"/>
      <c r="V24" s="135">
        <v>9</v>
      </c>
      <c r="W24" s="136"/>
      <c r="X24" s="135">
        <v>10</v>
      </c>
      <c r="Y24" s="136"/>
      <c r="Z24" s="135" t="s">
        <v>186</v>
      </c>
      <c r="AA24" s="136"/>
      <c r="AB24" s="137">
        <v>12</v>
      </c>
      <c r="AC24" s="138"/>
      <c r="AD24" s="137">
        <v>13</v>
      </c>
      <c r="AE24" s="138"/>
      <c r="AF24" s="137" t="s">
        <v>186</v>
      </c>
      <c r="AG24" s="138"/>
    </row>
    <row r="25" spans="1:34" x14ac:dyDescent="0.25">
      <c r="B25" s="301">
        <v>2010</v>
      </c>
      <c r="C25" s="302">
        <v>2011</v>
      </c>
      <c r="D25" s="301">
        <v>2010</v>
      </c>
      <c r="E25" s="302">
        <v>2011</v>
      </c>
      <c r="F25" s="301">
        <v>2010</v>
      </c>
      <c r="G25" s="302">
        <v>2011</v>
      </c>
      <c r="H25" s="301">
        <v>2010</v>
      </c>
      <c r="I25" s="302">
        <v>2011</v>
      </c>
      <c r="J25" s="301">
        <v>2010</v>
      </c>
      <c r="K25" s="302">
        <v>2011</v>
      </c>
      <c r="L25" s="301">
        <v>2010</v>
      </c>
      <c r="M25" s="302">
        <v>2011</v>
      </c>
      <c r="N25" s="301">
        <v>2010</v>
      </c>
      <c r="O25" s="302">
        <v>2011</v>
      </c>
      <c r="P25" s="301">
        <v>2010</v>
      </c>
      <c r="Q25" s="302">
        <v>2011</v>
      </c>
      <c r="R25" s="303">
        <v>2010</v>
      </c>
      <c r="S25" s="304">
        <v>2011</v>
      </c>
      <c r="T25" s="303">
        <v>2010</v>
      </c>
      <c r="U25" s="304">
        <v>2011</v>
      </c>
      <c r="V25" s="303">
        <v>2010</v>
      </c>
      <c r="W25" s="304">
        <v>2011</v>
      </c>
      <c r="X25" s="303">
        <v>2010</v>
      </c>
      <c r="Y25" s="304">
        <v>2011</v>
      </c>
      <c r="Z25" s="303">
        <v>2010</v>
      </c>
      <c r="AA25" s="304">
        <v>2011</v>
      </c>
      <c r="AB25" s="305">
        <v>2010</v>
      </c>
      <c r="AC25" s="306">
        <v>2011</v>
      </c>
      <c r="AD25" s="305">
        <v>2010</v>
      </c>
      <c r="AE25" s="306">
        <v>2011</v>
      </c>
      <c r="AF25" s="305">
        <v>2010</v>
      </c>
      <c r="AG25" s="306">
        <v>2011</v>
      </c>
      <c r="AH25" s="14"/>
    </row>
    <row r="26" spans="1:34" x14ac:dyDescent="0.25">
      <c r="A26" s="297" t="s">
        <v>141</v>
      </c>
      <c r="B26" s="139">
        <f>GETPIVOTDATA("Sum of Old UG E-Learning",'Pivot Table for Fact Book'!$A$3,"State","AL","type",1,"Type2","Four-Year")</f>
        <v>65970</v>
      </c>
      <c r="C26" s="140">
        <f>GETPIVOTDATA("Sum of New UG E-Learning",'Pivot Table for Fact Book'!$A$3,"State","AL","type",1,"Type2","Four-Year")</f>
        <v>79932</v>
      </c>
      <c r="D26" s="139">
        <f>GETPIVOTDATA("Sum of Old UG E-Learning",'Pivot Table for Fact Book'!$A$3,"State","AL","type",2,"Type2","Four-Year")</f>
        <v>1991</v>
      </c>
      <c r="E26" s="140">
        <f>GETPIVOTDATA("Sum of New UG E-Learning",'Pivot Table for Fact Book'!$A$3,"State","AL","type",2,"Type2","Four-Year")</f>
        <v>2542</v>
      </c>
      <c r="F26" s="139">
        <f>GETPIVOTDATA("Sum of Old UG E-Learning",'Pivot Table for Fact Book'!$A$3,"State","AL","type",3,"Type2","Four-Year")</f>
        <v>157476</v>
      </c>
      <c r="G26" s="140">
        <f>GETPIVOTDATA("Sum of New UG E-Learning",'Pivot Table for Fact Book'!$A$3,"State","AL","type",3,"Type2","Four-Year")</f>
        <v>207173</v>
      </c>
      <c r="H26" s="139">
        <f>GETPIVOTDATA("Sum of Old UG E-Learning",'Pivot Table for Fact Book'!$A$3,"State","AL","type",4,"Type2","Four-Year")</f>
        <v>40275</v>
      </c>
      <c r="I26" s="140">
        <f>GETPIVOTDATA("Sum of New UG E-Learning",'Pivot Table for Fact Book'!$A$3,"State","AL","type",4,"Type2","Four-Year")</f>
        <v>42961</v>
      </c>
      <c r="J26" s="139">
        <f>GETPIVOTDATA("Sum of Old UG E-Learning",'Pivot Table for Fact Book'!$A$3,"State","AL","type",5,"Type2","Four-Year")</f>
        <v>3794</v>
      </c>
      <c r="K26" s="140">
        <f>GETPIVOTDATA("Sum of New UG E-Learning",'Pivot Table for Fact Book'!$A$3,"State","AL","type",5,"Type2","Four-Year")</f>
        <v>5747</v>
      </c>
      <c r="L26" s="139">
        <f>GETPIVOTDATA("Sum of Old UG E-Learning",'Pivot Table for Fact Book'!$A$3,"State","AL","type",6,"Type2","Four-Year")</f>
        <v>63163</v>
      </c>
      <c r="M26" s="140">
        <f>GETPIVOTDATA("Sum of New UG E-Learning",'Pivot Table for Fact Book'!$A$3,"State","AL","type",6,"Type2","Four-Year")</f>
        <v>61157</v>
      </c>
      <c r="N26" s="139">
        <f>GETPIVOTDATA("Sum of Old UG E-Learning",'Pivot Table for Fact Book'!$A$3,"State","AL","type",15,"Type2","Four-Year")</f>
        <v>0</v>
      </c>
      <c r="O26" s="140">
        <f>GETPIVOTDATA("Sum of New UG E-Learning",'Pivot Table for Fact Book'!$A$3,"State","AL","type",15,"Type2","Four-Year")</f>
        <v>0</v>
      </c>
      <c r="P26" s="141">
        <f>GETPIVOTDATA("Sum of Old UG E-Learning",'Pivot Table for Fact Book'!$A$3,"State","AL","Type2","Four-Year")</f>
        <v>332669</v>
      </c>
      <c r="Q26" s="141">
        <f>GETPIVOTDATA("Sum of New UG E-Learning",'Pivot Table for Fact Book'!$A$3,"State","AL","Type2","Four-Year")</f>
        <v>399512</v>
      </c>
      <c r="R26" s="139">
        <f>GETPIVOTDATA("Sum of Old UG E-Learning",'Pivot Table for Fact Book'!$A$3,"State","AL","type",7,"Type2","Two-Year")</f>
        <v>0</v>
      </c>
      <c r="S26" s="142">
        <f>GETPIVOTDATA("Sum of New UG E-Learning",'Pivot Table for Fact Book'!$A$3,"State","AL","type",7,"Type2","Two-Year")</f>
        <v>0</v>
      </c>
      <c r="T26" s="142">
        <f>GETPIVOTDATA("Sum of Old UG E-Learning",'Pivot Table for Fact Book'!$A$3,"State","AL","type",8,"Type2","Two-Year")</f>
        <v>154118</v>
      </c>
      <c r="U26" s="142">
        <f>GETPIVOTDATA("Sum of New UG E-Learning",'Pivot Table for Fact Book'!$A$3,"State","AL","type",8,"Type2","Two-Year")</f>
        <v>163099</v>
      </c>
      <c r="V26" s="142">
        <f>GETPIVOTDATA("Sum of Old UG E-Learning",'Pivot Table for Fact Book'!$A$3,"State","AL","type",9,"Type2","Two-Year")</f>
        <v>163221</v>
      </c>
      <c r="W26" s="142">
        <f>GETPIVOTDATA("Sum of New UG E-Learning",'Pivot Table for Fact Book'!$A$3,"State","AL","type",9,"Type2","Two-Year")</f>
        <v>170990</v>
      </c>
      <c r="X26" s="142">
        <f>GETPIVOTDATA("Sum of Old UG E-Learning",'Pivot Table for Fact Book'!$A$3,"State","AL","type",10,"Type2","Two-Year")</f>
        <v>64844</v>
      </c>
      <c r="Y26" s="142">
        <f>GETPIVOTDATA("Sum of New UG E-Learning",'Pivot Table for Fact Book'!$A$3,"State","AL","type",10,"Type2","Two-Year")</f>
        <v>64476</v>
      </c>
      <c r="Z26" s="143">
        <f>GETPIVOTDATA("Sum of Old UG E-Learning",'Pivot Table for Fact Book'!$A$3,"State","AL","Type2","Two-Year")</f>
        <v>382183</v>
      </c>
      <c r="AA26" s="143">
        <f>GETPIVOTDATA("Sum of New UG E-Learning",'Pivot Table for Fact Book'!$A$3,"State","AL","Type2","Two-Year")</f>
        <v>398565</v>
      </c>
      <c r="AB26" s="139">
        <f>+GETPIVOTDATA("Sum of Old UG E-Learning",'Pivot Table for Fact Book'!$A$3,"State","AL","type",12,"type2","Techncial")</f>
        <v>3740</v>
      </c>
      <c r="AC26" s="142">
        <f>+GETPIVOTDATA("Sum of New UG E-Learning",'Pivot Table for Fact Book'!$A$3,"State","AL","type",12,"type2","Techncial")</f>
        <v>3402</v>
      </c>
      <c r="AD26" s="142">
        <f>+GETPIVOTDATA("Sum of Old UG E-Learning",'Pivot Table for Fact Book'!$A$3,"State","AL","type",13,"type2","Techncial")</f>
        <v>6456</v>
      </c>
      <c r="AE26" s="142">
        <f>+GETPIVOTDATA("Sum of New UG E-Learning",'Pivot Table for Fact Book'!$A$3,"State","AL","type",13,"type2","Techncial")</f>
        <v>8988</v>
      </c>
      <c r="AF26" s="145">
        <f>+GETPIVOTDATA("Sum of Old UG E-Learning",'Pivot Table for Fact Book'!$A$3,"State","AL","type2","Techncial")</f>
        <v>10196</v>
      </c>
      <c r="AG26" s="145">
        <f>+GETPIVOTDATA("Sum of New UG E-Learning",'Pivot Table for Fact Book'!$A$3,"State","AL","type2","Techncial")</f>
        <v>12390</v>
      </c>
      <c r="AH26" s="14"/>
    </row>
    <row r="27" spans="1:34" x14ac:dyDescent="0.25">
      <c r="A27" s="297" t="s">
        <v>142</v>
      </c>
      <c r="B27" s="139">
        <f>GETPIVOTDATA("Sum of Old UG E-Learning",'Pivot Table for Fact Book'!$A$3,"State","AR","type",1,"Type2","Four-Year")</f>
        <v>15109</v>
      </c>
      <c r="C27" s="140">
        <f>GETPIVOTDATA("Sum of New UG E-Learning",'Pivot Table for Fact Book'!$A$3,"State","AR","type",1,"Type2","Four-Year")</f>
        <v>15554</v>
      </c>
      <c r="D27" s="139">
        <f>GETPIVOTDATA("Sum of Old UG E-Learning",'Pivot Table for Fact Book'!$A$3,"State","AR","type",2,"Type2","Four-Year")</f>
        <v>0</v>
      </c>
      <c r="E27" s="140">
        <f>GETPIVOTDATA("Sum of New UG E-Learning",'Pivot Table for Fact Book'!$A$3,"State","AR","type",2,"Type2","Four-Year")</f>
        <v>0</v>
      </c>
      <c r="F27" s="139">
        <f>GETPIVOTDATA("Sum of Old UG E-Learning",'Pivot Table for Fact Book'!$A$3,"State","AR","type",3,"Type2","Four-Year")</f>
        <v>118459</v>
      </c>
      <c r="G27" s="140">
        <f>GETPIVOTDATA("Sum of New UG E-Learning",'Pivot Table for Fact Book'!$A$3,"State","AR","type",3,"Type2","Four-Year")</f>
        <v>127844</v>
      </c>
      <c r="H27" s="139">
        <f>GETPIVOTDATA("Sum of Old UG E-Learning",'Pivot Table for Fact Book'!$A$3,"State","AR","type",4,"Type2","Four-Year")</f>
        <v>45687</v>
      </c>
      <c r="I27" s="140">
        <f>GETPIVOTDATA("Sum of New UG E-Learning",'Pivot Table for Fact Book'!$A$3,"State","AR","type",4,"Type2","Four-Year")</f>
        <v>55034</v>
      </c>
      <c r="J27" s="139">
        <f>GETPIVOTDATA("Sum of Old UG E-Learning",'Pivot Table for Fact Book'!$A$3,"State","AR","type",5,"Type2","Four-Year")</f>
        <v>9894</v>
      </c>
      <c r="K27" s="140">
        <f>GETPIVOTDATA("Sum of New UG E-Learning",'Pivot Table for Fact Book'!$A$3,"State","AR","type",5,"Type2","Four-Year")</f>
        <v>11817</v>
      </c>
      <c r="L27" s="139">
        <f>GETPIVOTDATA("Sum of Old UG E-Learning",'Pivot Table for Fact Book'!$A$3,"State","AR","type",6,"Type2","Four-Year")</f>
        <v>30094</v>
      </c>
      <c r="M27" s="140">
        <f>GETPIVOTDATA("Sum of New UG E-Learning",'Pivot Table for Fact Book'!$A$3,"State","AR","type",6,"Type2","Four-Year")</f>
        <v>32443</v>
      </c>
      <c r="N27" s="139">
        <f>GETPIVOTDATA("Sum of Old UG E-Learning",'Pivot Table for Fact Book'!$A$3,"State","AR","type",15,"Type2","Four-Year")</f>
        <v>0</v>
      </c>
      <c r="O27" s="140">
        <f>GETPIVOTDATA("Sum of New UG E-Learning",'Pivot Table for Fact Book'!$A$3,"State","AR","type",15,"Type2","Four-Year")</f>
        <v>0</v>
      </c>
      <c r="P27" s="141">
        <f>GETPIVOTDATA("Sum of Old UG E-Learning",'Pivot Table for Fact Book'!$A$3,"State","AR","Type2","Four-Year")</f>
        <v>219243</v>
      </c>
      <c r="Q27" s="141">
        <f>GETPIVOTDATA("Sum of New UG E-Learning",'Pivot Table for Fact Book'!$A$3,"State","AR","Type2","Four-Year")</f>
        <v>242692</v>
      </c>
      <c r="R27" s="139">
        <f>GETPIVOTDATA("Sum of Old UG E-Learning",'Pivot Table for Fact Book'!$A$3,"State","AR","type",7,"Type2","Two-Year")</f>
        <v>0</v>
      </c>
      <c r="S27" s="142">
        <f>GETPIVOTDATA("Sum of New UG E-Learning",'Pivot Table for Fact Book'!$A$3,"State","AR","type",7,"Type2","Two-Year")</f>
        <v>0</v>
      </c>
      <c r="T27" s="142">
        <f>GETPIVOTDATA("Sum of Old UG E-Learning",'Pivot Table for Fact Book'!$A$3,"State","AR","type",8,"Type2","Two-Year")</f>
        <v>112983</v>
      </c>
      <c r="U27" s="142">
        <f>GETPIVOTDATA("Sum of New UG E-Learning",'Pivot Table for Fact Book'!$A$3,"State","AR","type",8,"Type2","Two-Year")</f>
        <v>121356</v>
      </c>
      <c r="V27" s="142">
        <f>GETPIVOTDATA("Sum of Old UG E-Learning",'Pivot Table for Fact Book'!$A$3,"State","AR","type",9,"Type2","Two-Year")</f>
        <v>31542</v>
      </c>
      <c r="W27" s="142">
        <f>GETPIVOTDATA("Sum of New UG E-Learning",'Pivot Table for Fact Book'!$A$3,"State","AR","type",9,"Type2","Two-Year")</f>
        <v>34522</v>
      </c>
      <c r="X27" s="142">
        <f>GETPIVOTDATA("Sum of Old UG E-Learning",'Pivot Table for Fact Book'!$A$3,"State","AR","type",10,"Type2","Two-Year")</f>
        <v>131038</v>
      </c>
      <c r="Y27" s="142">
        <f>GETPIVOTDATA("Sum of New UG E-Learning",'Pivot Table for Fact Book'!$A$3,"State","AR","type",10,"Type2","Two-Year")</f>
        <v>138112</v>
      </c>
      <c r="Z27" s="143">
        <f>GETPIVOTDATA("Sum of Old UG E-Learning",'Pivot Table for Fact Book'!$A$3,"State","AR","Type2","Two-Year")</f>
        <v>275563</v>
      </c>
      <c r="AA27" s="143">
        <f>GETPIVOTDATA("Sum of New UG E-Learning",'Pivot Table for Fact Book'!$A$3,"State","AR","Type2","Two-Year")</f>
        <v>293990</v>
      </c>
      <c r="AB27" s="139">
        <f>+GETPIVOTDATA("Sum of Old UG E-Learning",'Pivot Table for Fact Book'!$A$3,"State","AR","type",12,"type2","Techncial")</f>
        <v>0</v>
      </c>
      <c r="AC27" s="142">
        <f>+GETPIVOTDATA("Sum of New UG E-Learning",'Pivot Table for Fact Book'!$A$3,"State","AR","type",12,"type2","Techncial")</f>
        <v>0</v>
      </c>
      <c r="AD27" s="142">
        <f>+GETPIVOTDATA("Sum of Old UG E-Learning",'Pivot Table for Fact Book'!$A$3,"State","AR","type",13,"type2","Techncial")</f>
        <v>0</v>
      </c>
      <c r="AE27" s="142">
        <f>+GETPIVOTDATA("Sum of New UG E-Learning",'Pivot Table for Fact Book'!$A$3,"State","AR","type",13,"type2","Techncial")</f>
        <v>0</v>
      </c>
      <c r="AF27" s="145">
        <f>+GETPIVOTDATA("Sum of Old UG E-Learning",'Pivot Table for Fact Book'!$A$3,"State","AR","type2","Techncial")</f>
        <v>0</v>
      </c>
      <c r="AG27" s="145">
        <f>+GETPIVOTDATA("Sum of New UG E-Learning",'Pivot Table for Fact Book'!$A$3,"State","AR","type2","Techncial")</f>
        <v>0</v>
      </c>
      <c r="AH27" s="14"/>
    </row>
    <row r="28" spans="1:34" x14ac:dyDescent="0.25">
      <c r="A28" s="297" t="s">
        <v>143</v>
      </c>
      <c r="B28" s="139">
        <f>GETPIVOTDATA("Sum of Old UG E-Learning",'Pivot Table for Fact Book'!$A$3,"State","DE","type",1,"Type2","Four-Year")</f>
        <v>18191</v>
      </c>
      <c r="C28" s="140">
        <f>GETPIVOTDATA("Sum of New UG E-Learning",'Pivot Table for Fact Book'!$A$3,"State","DE","type",1,"Type2","Four-Year")</f>
        <v>15918</v>
      </c>
      <c r="D28" s="139">
        <f>GETPIVOTDATA("Sum of Old UG E-Learning",'Pivot Table for Fact Book'!$A$3,"State","DE","type",2,"Type2","Four-Year")</f>
        <v>0</v>
      </c>
      <c r="E28" s="140">
        <f>GETPIVOTDATA("Sum of New UG E-Learning",'Pivot Table for Fact Book'!$A$3,"State","DE","type",2,"Type2","Four-Year")</f>
        <v>0</v>
      </c>
      <c r="F28" s="139">
        <f>GETPIVOTDATA("Sum of Old UG E-Learning",'Pivot Table for Fact Book'!$A$3,"State","DE","type",3,"Type2","Four-Year")</f>
        <v>0</v>
      </c>
      <c r="G28" s="140">
        <f>GETPIVOTDATA("Sum of New UG E-Learning",'Pivot Table for Fact Book'!$A$3,"State","DE","type",3,"Type2","Four-Year")</f>
        <v>0</v>
      </c>
      <c r="H28" s="139">
        <f>GETPIVOTDATA("Sum of Old UG E-Learning",'Pivot Table for Fact Book'!$A$3,"State","DE","type",4,"Type2","Four-Year")</f>
        <v>96</v>
      </c>
      <c r="I28" s="140">
        <f>GETPIVOTDATA("Sum of New UG E-Learning",'Pivot Table for Fact Book'!$A$3,"State","DE","type",4,"Type2","Four-Year")</f>
        <v>1731</v>
      </c>
      <c r="J28" s="139">
        <f>GETPIVOTDATA("Sum of Old UG E-Learning",'Pivot Table for Fact Book'!$A$3,"State","DE","type",5,"Type2","Four-Year")</f>
        <v>0</v>
      </c>
      <c r="K28" s="140">
        <f>GETPIVOTDATA("Sum of New UG E-Learning",'Pivot Table for Fact Book'!$A$3,"State","DE","type",5,"Type2","Four-Year")</f>
        <v>0</v>
      </c>
      <c r="L28" s="139">
        <f>GETPIVOTDATA("Sum of Old UG E-Learning",'Pivot Table for Fact Book'!$A$3,"State","DE","type",6,"Type2","Four-Year")</f>
        <v>0</v>
      </c>
      <c r="M28" s="140">
        <f>GETPIVOTDATA("Sum of New UG E-Learning",'Pivot Table for Fact Book'!$A$3,"State","DE","type",6,"Type2","Four-Year")</f>
        <v>0</v>
      </c>
      <c r="N28" s="139">
        <f>GETPIVOTDATA("Sum of Old UG E-Learning",'Pivot Table for Fact Book'!$A$3,"State","DE","type",15,"Type2","Four-Year")</f>
        <v>0</v>
      </c>
      <c r="O28" s="140">
        <f>GETPIVOTDATA("Sum of New UG E-Learning",'Pivot Table for Fact Book'!$A$3,"State","DE","type",15,"Type2","Four-Year")</f>
        <v>0</v>
      </c>
      <c r="P28" s="141">
        <f>GETPIVOTDATA("Sum of Old UG E-Learning",'Pivot Table for Fact Book'!$A$3,"State","DE","Type2","Four-Year")</f>
        <v>18287</v>
      </c>
      <c r="Q28" s="141">
        <f>GETPIVOTDATA("Sum of New UG E-Learning",'Pivot Table for Fact Book'!$A$3,"State","DE","Type2","Four-Year")</f>
        <v>17649</v>
      </c>
      <c r="R28" s="139">
        <f>GETPIVOTDATA("Sum of Old UG E-Learning",'Pivot Table for Fact Book'!$A$3,"State","DE","type",7,"Type2","Two-Year")</f>
        <v>0</v>
      </c>
      <c r="S28" s="142">
        <f>GETPIVOTDATA("Sum of New UG E-Learning",'Pivot Table for Fact Book'!$A$3,"State","DE","type",7,"Type2","Two-Year")</f>
        <v>0</v>
      </c>
      <c r="T28" s="142">
        <f>GETPIVOTDATA("Sum of Old UG E-Learning",'Pivot Table for Fact Book'!$A$3,"State","DE","type",8,"Type2","Two-Year")</f>
        <v>16805</v>
      </c>
      <c r="U28" s="142">
        <f>GETPIVOTDATA("Sum of New UG E-Learning",'Pivot Table for Fact Book'!$A$3,"State","DE","type",8,"Type2","Two-Year")</f>
        <v>20973</v>
      </c>
      <c r="V28" s="142">
        <f>GETPIVOTDATA("Sum of Old UG E-Learning",'Pivot Table for Fact Book'!$A$3,"State","DE","type",9,"Type2","Two-Year")</f>
        <v>30623</v>
      </c>
      <c r="W28" s="142">
        <f>GETPIVOTDATA("Sum of New UG E-Learning",'Pivot Table for Fact Book'!$A$3,"State","DE","type",9,"Type2","Two-Year")</f>
        <v>34033</v>
      </c>
      <c r="X28" s="142">
        <f>GETPIVOTDATA("Sum of Old UG E-Learning",'Pivot Table for Fact Book'!$A$3,"State","DE","type",10,"Type2","Two-Year")</f>
        <v>0</v>
      </c>
      <c r="Y28" s="142">
        <f>GETPIVOTDATA("Sum of New UG E-Learning",'Pivot Table for Fact Book'!$A$3,"State","DE","type",10,"Type2","Two-Year")</f>
        <v>0</v>
      </c>
      <c r="Z28" s="143">
        <f>GETPIVOTDATA("Sum of Old UG E-Learning",'Pivot Table for Fact Book'!$A$3,"State","DE","Type2","Two-Year")</f>
        <v>47428</v>
      </c>
      <c r="AA28" s="143">
        <f>GETPIVOTDATA("Sum of New UG E-Learning",'Pivot Table for Fact Book'!$A$3,"State","DE","Type2","Two-Year")</f>
        <v>55006</v>
      </c>
      <c r="AB28" s="139">
        <f>+GETPIVOTDATA("Sum of Old UG E-Learning",'Pivot Table for Fact Book'!$A$3,"State","DE","type",12,"type2","Techncial")</f>
        <v>0</v>
      </c>
      <c r="AC28" s="142">
        <f>+GETPIVOTDATA("Sum of New UG E-Learning",'Pivot Table for Fact Book'!$A$3,"State","DE","type",12,"type2","Techncial")</f>
        <v>0</v>
      </c>
      <c r="AD28" s="142">
        <f>+GETPIVOTDATA("Sum of Old UG E-Learning",'Pivot Table for Fact Book'!$A$3,"State","DE","type",13,"type2","Techncial")</f>
        <v>0</v>
      </c>
      <c r="AE28" s="142">
        <f>+GETPIVOTDATA("Sum of New UG E-Learning",'Pivot Table for Fact Book'!$A$3,"State","DE","type",13,"type2","Techncial")</f>
        <v>0</v>
      </c>
      <c r="AF28" s="145">
        <f>+GETPIVOTDATA("Sum of Old UG E-Learning",'Pivot Table for Fact Book'!$A$3,"State","DE","type2","Techncial")</f>
        <v>0</v>
      </c>
      <c r="AG28" s="145">
        <f>+GETPIVOTDATA("Sum of New UG E-Learning",'Pivot Table for Fact Book'!$A$3,"State","DE","type2","Techncial")</f>
        <v>0</v>
      </c>
      <c r="AH28" s="14"/>
    </row>
    <row r="29" spans="1:34" x14ac:dyDescent="0.25">
      <c r="A29" s="297" t="s">
        <v>144</v>
      </c>
      <c r="B29" s="139">
        <f>GETPIVOTDATA("Sum of Old UG E-Learning",'Pivot Table for Fact Book'!$A$3,"State","FL","type",1,"Type2","Four-Year")</f>
        <v>999740</v>
      </c>
      <c r="C29" s="140">
        <f>GETPIVOTDATA("Sum of New UG E-Learning",'Pivot Table for Fact Book'!$A$3,"State","FL","type",1,"Type2","Four-Year")</f>
        <v>1073681</v>
      </c>
      <c r="D29" s="139">
        <f>GETPIVOTDATA("Sum of Old UG E-Learning",'Pivot Table for Fact Book'!$A$3,"State","FL","type",2,"Type2","Four-Year")</f>
        <v>37041</v>
      </c>
      <c r="E29" s="140">
        <f>GETPIVOTDATA("Sum of New UG E-Learning",'Pivot Table for Fact Book'!$A$3,"State","FL","type",2,"Type2","Four-Year")</f>
        <v>44769</v>
      </c>
      <c r="F29" s="139">
        <f>GETPIVOTDATA("Sum of Old UG E-Learning",'Pivot Table for Fact Book'!$A$3,"State","FL","type",3,"Type2","Four-Year")</f>
        <v>130797</v>
      </c>
      <c r="G29" s="140">
        <f>GETPIVOTDATA("Sum of New UG E-Learning",'Pivot Table for Fact Book'!$A$3,"State","FL","type",3,"Type2","Four-Year")</f>
        <v>142670</v>
      </c>
      <c r="H29" s="139">
        <f>GETPIVOTDATA("Sum of Old UG E-Learning",'Pivot Table for Fact Book'!$A$3,"State","FL","type",4,"Type2","Four-Year")</f>
        <v>51796</v>
      </c>
      <c r="I29" s="140">
        <f>GETPIVOTDATA("Sum of New UG E-Learning",'Pivot Table for Fact Book'!$A$3,"State","FL","type",4,"Type2","Four-Year")</f>
        <v>50153</v>
      </c>
      <c r="J29" s="139">
        <f>GETPIVOTDATA("Sum of Old UG E-Learning",'Pivot Table for Fact Book'!$A$3,"State","FL","type",5,"Type2","Four-Year")</f>
        <v>0</v>
      </c>
      <c r="K29" s="140">
        <f>GETPIVOTDATA("Sum of New UG E-Learning",'Pivot Table for Fact Book'!$A$3,"State","FL","type",5,"Type2","Four-Year")</f>
        <v>0</v>
      </c>
      <c r="L29" s="139">
        <f>GETPIVOTDATA("Sum of Old UG E-Learning",'Pivot Table for Fact Book'!$A$3,"State","FL","type",6,"Type2","Four-Year")</f>
        <v>0</v>
      </c>
      <c r="M29" s="140">
        <f>GETPIVOTDATA("Sum of New UG E-Learning",'Pivot Table for Fact Book'!$A$3,"State","FL","type",6,"Type2","Four-Year")</f>
        <v>0</v>
      </c>
      <c r="N29" s="139">
        <f>GETPIVOTDATA("Sum of Old UG E-Learning",'Pivot Table for Fact Book'!$A$3,"State","FL","type",15,"Type2","Four-Year")</f>
        <v>0</v>
      </c>
      <c r="O29" s="140">
        <f>GETPIVOTDATA("Sum of New UG E-Learning",'Pivot Table for Fact Book'!$A$3,"State","FL","type",15,"Type2","Four-Year")</f>
        <v>0</v>
      </c>
      <c r="P29" s="141">
        <f>GETPIVOTDATA("Sum of Old UG E-Learning",'Pivot Table for Fact Book'!$A$3,"State","FL","Type2","Four-Year")</f>
        <v>1219374</v>
      </c>
      <c r="Q29" s="141">
        <f>GETPIVOTDATA("Sum of New UG E-Learning",'Pivot Table for Fact Book'!$A$3,"State","FL","Type2","Four-Year")</f>
        <v>1311273</v>
      </c>
      <c r="R29" s="139">
        <f>GETPIVOTDATA("Sum of Old UG E-Learning",'Pivot Table for Fact Book'!$A$3,"State","FL","type",7,"Type2","Two-Year")</f>
        <v>960466</v>
      </c>
      <c r="S29" s="142">
        <f>GETPIVOTDATA("Sum of New UG E-Learning",'Pivot Table for Fact Book'!$A$3,"State","FL","type",7,"Type2","Two-Year")</f>
        <v>1358258</v>
      </c>
      <c r="T29" s="142">
        <f>GETPIVOTDATA("Sum of Old UG E-Learning",'Pivot Table for Fact Book'!$A$3,"State","FL","type",8,"Type2","Two-Year")</f>
        <v>1176144</v>
      </c>
      <c r="U29" s="142">
        <f>GETPIVOTDATA("Sum of New UG E-Learning",'Pivot Table for Fact Book'!$A$3,"State","FL","type",8,"Type2","Two-Year")</f>
        <v>1508168</v>
      </c>
      <c r="V29" s="142">
        <f>GETPIVOTDATA("Sum of Old UG E-Learning",'Pivot Table for Fact Book'!$A$3,"State","FL","type",9,"Type2","Two-Year")</f>
        <v>136382</v>
      </c>
      <c r="W29" s="142">
        <f>GETPIVOTDATA("Sum of New UG E-Learning",'Pivot Table for Fact Book'!$A$3,"State","FL","type",9,"Type2","Two-Year")</f>
        <v>153018</v>
      </c>
      <c r="X29" s="142">
        <f>GETPIVOTDATA("Sum of Old UG E-Learning",'Pivot Table for Fact Book'!$A$3,"State","FL","type",10,"Type2","Two-Year")</f>
        <v>15826</v>
      </c>
      <c r="Y29" s="142">
        <f>GETPIVOTDATA("Sum of New UG E-Learning",'Pivot Table for Fact Book'!$A$3,"State","FL","type",10,"Type2","Two-Year")</f>
        <v>31007</v>
      </c>
      <c r="Z29" s="143">
        <f>GETPIVOTDATA("Sum of Old UG E-Learning",'Pivot Table for Fact Book'!$A$3,"State","FL","Type2","Two-Year")</f>
        <v>2288818</v>
      </c>
      <c r="AA29" s="143">
        <f>GETPIVOTDATA("Sum of New UG E-Learning",'Pivot Table for Fact Book'!$A$3,"State","FL","Type2","Two-Year")</f>
        <v>3050451</v>
      </c>
      <c r="AB29" s="139">
        <f>+GETPIVOTDATA("Sum of Old UG E-Learning",'Pivot Table for Fact Book'!$A$3,"State","FL","type",12,"type2","Techncial")</f>
        <v>0</v>
      </c>
      <c r="AC29" s="142">
        <f>+GETPIVOTDATA("Sum of New UG E-Learning",'Pivot Table for Fact Book'!$A$3,"State","FL","type",12,"type2","Techncial")</f>
        <v>0</v>
      </c>
      <c r="AD29" s="142">
        <f>+GETPIVOTDATA("Sum of Old UG E-Learning",'Pivot Table for Fact Book'!$A$3,"State","FL","type",13,"type2","Techncial")</f>
        <v>0</v>
      </c>
      <c r="AE29" s="142">
        <f>+GETPIVOTDATA("Sum of New UG E-Learning",'Pivot Table for Fact Book'!$A$3,"State","FL","type",13,"type2","Techncial")</f>
        <v>0</v>
      </c>
      <c r="AF29" s="145">
        <f>+GETPIVOTDATA("Sum of Old UG E-Learning",'Pivot Table for Fact Book'!$A$3,"State","FL","type2","Techncial")</f>
        <v>0</v>
      </c>
      <c r="AG29" s="145">
        <f>+GETPIVOTDATA("Sum of New UG E-Learning",'Pivot Table for Fact Book'!$A$3,"State","FL","type2","Techncial")</f>
        <v>0</v>
      </c>
      <c r="AH29" s="14"/>
    </row>
    <row r="30" spans="1:34" x14ac:dyDescent="0.25">
      <c r="A30" s="297" t="s">
        <v>145</v>
      </c>
      <c r="B30" s="139">
        <f>GETPIVOTDATA("Sum of Old UG E-Learning",'Pivot Table for Fact Book'!$A$3,"State","GA","type",1,"Type2","Four-Year")</f>
        <v>0</v>
      </c>
      <c r="C30" s="140">
        <f>GETPIVOTDATA("Sum of New UG E-Learning",'Pivot Table for Fact Book'!$A$3,"State","GA","type",1,"Type2","Four-Year")</f>
        <v>0</v>
      </c>
      <c r="D30" s="139">
        <f>GETPIVOTDATA("Sum of Old UG E-Learning",'Pivot Table for Fact Book'!$A$3,"State","GA","type",2,"Type2","Four-Year")</f>
        <v>0</v>
      </c>
      <c r="E30" s="140">
        <f>GETPIVOTDATA("Sum of New UG E-Learning",'Pivot Table for Fact Book'!$A$3,"State","GA","type",2,"Type2","Four-Year")</f>
        <v>0</v>
      </c>
      <c r="F30" s="139">
        <f>GETPIVOTDATA("Sum of Old UG E-Learning",'Pivot Table for Fact Book'!$A$3,"State","GA","type",3,"Type2","Four-Year")</f>
        <v>0</v>
      </c>
      <c r="G30" s="140">
        <f>GETPIVOTDATA("Sum of New UG E-Learning",'Pivot Table for Fact Book'!$A$3,"State","GA","type",3,"Type2","Four-Year")</f>
        <v>0</v>
      </c>
      <c r="H30" s="139">
        <f>GETPIVOTDATA("Sum of Old UG E-Learning",'Pivot Table for Fact Book'!$A$3,"State","GA","type",4,"Type2","Four-Year")</f>
        <v>0</v>
      </c>
      <c r="I30" s="140">
        <f>GETPIVOTDATA("Sum of New UG E-Learning",'Pivot Table for Fact Book'!$A$3,"State","GA","type",4,"Type2","Four-Year")</f>
        <v>0</v>
      </c>
      <c r="J30" s="139">
        <f>GETPIVOTDATA("Sum of Old UG E-Learning",'Pivot Table for Fact Book'!$A$3,"State","GA","type",5,"Type2","Four-Year")</f>
        <v>0</v>
      </c>
      <c r="K30" s="140">
        <f>GETPIVOTDATA("Sum of New UG E-Learning",'Pivot Table for Fact Book'!$A$3,"State","GA","type",5,"Type2","Four-Year")</f>
        <v>0</v>
      </c>
      <c r="L30" s="139">
        <f>GETPIVOTDATA("Sum of Old UG E-Learning",'Pivot Table for Fact Book'!$A$3,"State","GA","type",6,"Type2","Four-Year")</f>
        <v>0</v>
      </c>
      <c r="M30" s="140">
        <f>GETPIVOTDATA("Sum of New UG E-Learning",'Pivot Table for Fact Book'!$A$3,"State","GA","type",6,"Type2","Four-Year")</f>
        <v>0</v>
      </c>
      <c r="N30" s="139">
        <f>GETPIVOTDATA("Sum of Old UG E-Learning",'Pivot Table for Fact Book'!$A$3,"State","GA","type",15,"Type2","Four-Year")</f>
        <v>0</v>
      </c>
      <c r="O30" s="140">
        <f>GETPIVOTDATA("Sum of New UG E-Learning",'Pivot Table for Fact Book'!$A$3,"State","GA","type",15,"Type2","Four-Year")</f>
        <v>0</v>
      </c>
      <c r="P30" s="141">
        <f>GETPIVOTDATA("Sum of Old UG E-Learning",'Pivot Table for Fact Book'!$A$3,"State","GA","Type2","Four-Year")</f>
        <v>0</v>
      </c>
      <c r="Q30" s="141">
        <f>GETPIVOTDATA("Sum of New UG E-Learning",'Pivot Table for Fact Book'!$A$3,"State","GA","Type2","Four-Year")</f>
        <v>0</v>
      </c>
      <c r="R30" s="139">
        <f>GETPIVOTDATA("Sum of Old UG E-Learning",'Pivot Table for Fact Book'!$A$3,"State","GA","type",7,"Type2","Two-Year")</f>
        <v>0</v>
      </c>
      <c r="S30" s="142">
        <f>GETPIVOTDATA("Sum of New UG E-Learning",'Pivot Table for Fact Book'!$A$3,"State","GA","type",7,"Type2","Two-Year")</f>
        <v>0</v>
      </c>
      <c r="T30" s="142">
        <f>GETPIVOTDATA("Sum of Old UG E-Learning",'Pivot Table for Fact Book'!$A$3,"State","GA","type",8,"Type2","Two-Year")</f>
        <v>0</v>
      </c>
      <c r="U30" s="142">
        <f>GETPIVOTDATA("Sum of New UG E-Learning",'Pivot Table for Fact Book'!$A$3,"State","GA","type",8,"Type2","Two-Year")</f>
        <v>0</v>
      </c>
      <c r="V30" s="142">
        <f>GETPIVOTDATA("Sum of Old UG E-Learning",'Pivot Table for Fact Book'!$A$3,"State","GA","type",9,"Type2","Two-Year")</f>
        <v>0</v>
      </c>
      <c r="W30" s="142">
        <f>GETPIVOTDATA("Sum of New UG E-Learning",'Pivot Table for Fact Book'!$A$3,"State","GA","type",9,"Type2","Two-Year")</f>
        <v>0</v>
      </c>
      <c r="X30" s="142">
        <f>GETPIVOTDATA("Sum of Old UG E-Learning",'Pivot Table for Fact Book'!$A$3,"State","GA","type",10,"Type2","Two-Year")</f>
        <v>0</v>
      </c>
      <c r="Y30" s="142">
        <f>GETPIVOTDATA("Sum of New UG E-Learning",'Pivot Table for Fact Book'!$A$3,"State","GA","type",10,"Type2","Two-Year")</f>
        <v>0</v>
      </c>
      <c r="Z30" s="143">
        <f>GETPIVOTDATA("Sum of Old UG E-Learning",'Pivot Table for Fact Book'!$A$3,"State","GA","Type2","Two-Year")</f>
        <v>0</v>
      </c>
      <c r="AA30" s="143">
        <f>GETPIVOTDATA("Sum of New UG E-Learning",'Pivot Table for Fact Book'!$A$3,"State","GA","Type2","Two-Year")</f>
        <v>0</v>
      </c>
      <c r="AB30" s="139">
        <f>+GETPIVOTDATA("Sum of Old UG E-Learning",'Pivot Table for Fact Book'!$A$3,"State","GA","type",12,"type2","Techncial")</f>
        <v>617566.21010000014</v>
      </c>
      <c r="AC30" s="142">
        <f>+GETPIVOTDATA("Sum of New UG E-Learning",'Pivot Table for Fact Book'!$A$3,"State","GA","type",12,"type2","Techncial")</f>
        <v>651259.60000000009</v>
      </c>
      <c r="AD30" s="142">
        <f>+GETPIVOTDATA("Sum of Old UG E-Learning",'Pivot Table for Fact Book'!$A$3,"State","GA","type",13,"type2","Techncial")</f>
        <v>0</v>
      </c>
      <c r="AE30" s="142">
        <f>+GETPIVOTDATA("Sum of New UG E-Learning",'Pivot Table for Fact Book'!$A$3,"State","GA","type",13,"type2","Techncial")</f>
        <v>0</v>
      </c>
      <c r="AF30" s="145">
        <f>+GETPIVOTDATA("Sum of Old UG E-Learning",'Pivot Table for Fact Book'!$A$3,"State","GA","type2","Techncial")</f>
        <v>617566.21010000014</v>
      </c>
      <c r="AG30" s="145">
        <f>+GETPIVOTDATA("Sum of New UG E-Learning",'Pivot Table for Fact Book'!$A$3,"State","GA","type2","Techncial")</f>
        <v>651259.60000000009</v>
      </c>
      <c r="AH30" s="14"/>
    </row>
    <row r="31" spans="1:34" x14ac:dyDescent="0.25">
      <c r="A31" s="297" t="s">
        <v>146</v>
      </c>
      <c r="B31" s="139">
        <f>GETPIVOTDATA("Sum of Old UG E-Learning",'Pivot Table for Fact Book'!$A$3,"State","KY","type",1,"Type2","Four-Year")</f>
        <v>40145</v>
      </c>
      <c r="C31" s="140">
        <f>GETPIVOTDATA("Sum of New UG E-Learning",'Pivot Table for Fact Book'!$A$3,"State","KY","type",1,"Type2","Four-Year")</f>
        <v>49583</v>
      </c>
      <c r="D31" s="139">
        <f>GETPIVOTDATA("Sum of Old UG E-Learning",'Pivot Table for Fact Book'!$A$3,"State","KY","type",2,"Type2","Four-Year")</f>
        <v>0</v>
      </c>
      <c r="E31" s="140">
        <f>GETPIVOTDATA("Sum of New UG E-Learning",'Pivot Table for Fact Book'!$A$3,"State","KY","type",2,"Type2","Four-Year")</f>
        <v>0</v>
      </c>
      <c r="F31" s="139">
        <f>GETPIVOTDATA("Sum of Old UG E-Learning",'Pivot Table for Fact Book'!$A$3,"State","KY","type",3,"Type2","Four-Year")</f>
        <v>180189</v>
      </c>
      <c r="G31" s="140">
        <f>GETPIVOTDATA("Sum of New UG E-Learning",'Pivot Table for Fact Book'!$A$3,"State","KY","type",3,"Type2","Four-Year")</f>
        <v>185952.5</v>
      </c>
      <c r="H31" s="139">
        <f>GETPIVOTDATA("Sum of Old UG E-Learning",'Pivot Table for Fact Book'!$A$3,"State","KY","type",4,"Type2","Four-Year")</f>
        <v>40337</v>
      </c>
      <c r="I31" s="140">
        <f>GETPIVOTDATA("Sum of New UG E-Learning",'Pivot Table for Fact Book'!$A$3,"State","KY","type",4,"Type2","Four-Year")</f>
        <v>51128</v>
      </c>
      <c r="J31" s="139">
        <f>GETPIVOTDATA("Sum of Old UG E-Learning",'Pivot Table for Fact Book'!$A$3,"State","KY","type",5,"Type2","Four-Year")</f>
        <v>0</v>
      </c>
      <c r="K31" s="140">
        <f>GETPIVOTDATA("Sum of New UG E-Learning",'Pivot Table for Fact Book'!$A$3,"State","KY","type",5,"Type2","Four-Year")</f>
        <v>0</v>
      </c>
      <c r="L31" s="139">
        <f>GETPIVOTDATA("Sum of Old UG E-Learning",'Pivot Table for Fact Book'!$A$3,"State","KY","type",6,"Type2","Four-Year")</f>
        <v>0</v>
      </c>
      <c r="M31" s="140">
        <f>GETPIVOTDATA("Sum of New UG E-Learning",'Pivot Table for Fact Book'!$A$3,"State","KY","type",6,"Type2","Four-Year")</f>
        <v>0</v>
      </c>
      <c r="N31" s="139">
        <f>GETPIVOTDATA("Sum of Old UG E-Learning",'Pivot Table for Fact Book'!$A$3,"State","KY","type",15,"Type2","Four-Year")</f>
        <v>0</v>
      </c>
      <c r="O31" s="140">
        <f>GETPIVOTDATA("Sum of New UG E-Learning",'Pivot Table for Fact Book'!$A$3,"State","KY","type",15,"Type2","Four-Year")</f>
        <v>0</v>
      </c>
      <c r="P31" s="141">
        <f>GETPIVOTDATA("Sum of Old UG E-Learning",'Pivot Table for Fact Book'!$A$3,"State","KY","Type2","Four-Year")</f>
        <v>260671</v>
      </c>
      <c r="Q31" s="141">
        <f>GETPIVOTDATA("Sum of New UG E-Learning",'Pivot Table for Fact Book'!$A$3,"State","KY","Type2","Four-Year")</f>
        <v>286663.5</v>
      </c>
      <c r="R31" s="139">
        <f>GETPIVOTDATA("Sum of Old UG E-Learning",'Pivot Table for Fact Book'!$A$3,"State","KY","type",7,"Type2","Two-Year")</f>
        <v>0</v>
      </c>
      <c r="S31" s="142">
        <f>GETPIVOTDATA("Sum of New UG E-Learning",'Pivot Table for Fact Book'!$A$3,"State","KY","type",7,"Type2","Two-Year")</f>
        <v>0</v>
      </c>
      <c r="T31" s="142">
        <f>GETPIVOTDATA("Sum of Old UG E-Learning",'Pivot Table for Fact Book'!$A$3,"State","KY","type",8,"Type2","Two-Year")</f>
        <v>118920</v>
      </c>
      <c r="U31" s="142">
        <f>GETPIVOTDATA("Sum of New UG E-Learning",'Pivot Table for Fact Book'!$A$3,"State","KY","type",8,"Type2","Two-Year")</f>
        <v>132797</v>
      </c>
      <c r="V31" s="142">
        <f>GETPIVOTDATA("Sum of Old UG E-Learning",'Pivot Table for Fact Book'!$A$3,"State","KY","type",9,"Type2","Two-Year")</f>
        <v>290137</v>
      </c>
      <c r="W31" s="142">
        <f>GETPIVOTDATA("Sum of New UG E-Learning",'Pivot Table for Fact Book'!$A$3,"State","KY","type",9,"Type2","Two-Year")</f>
        <v>321016</v>
      </c>
      <c r="X31" s="142">
        <f>GETPIVOTDATA("Sum of Old UG E-Learning",'Pivot Table for Fact Book'!$A$3,"State","KY","type",10,"Type2","Two-Year")</f>
        <v>36121</v>
      </c>
      <c r="Y31" s="142">
        <f>GETPIVOTDATA("Sum of New UG E-Learning",'Pivot Table for Fact Book'!$A$3,"State","KY","type",10,"Type2","Two-Year")</f>
        <v>41111</v>
      </c>
      <c r="Z31" s="143">
        <f>GETPIVOTDATA("Sum of Old UG E-Learning",'Pivot Table for Fact Book'!$A$3,"State","KY","Type2","Two-Year")</f>
        <v>445178</v>
      </c>
      <c r="AA31" s="143">
        <f>GETPIVOTDATA("Sum of New UG E-Learning",'Pivot Table for Fact Book'!$A$3,"State","KY","Type2","Two-Year")</f>
        <v>494924</v>
      </c>
      <c r="AB31" s="139">
        <f>+GETPIVOTDATA("Sum of Old UG E-Learning",'Pivot Table for Fact Book'!$A$3,"State","KY","type",12,"type2","Techncial")</f>
        <v>10371</v>
      </c>
      <c r="AC31" s="142">
        <f>+GETPIVOTDATA("Sum of New UG E-Learning",'Pivot Table for Fact Book'!$A$3,"State","KY","type",12,"type2","Techncial")</f>
        <v>14730</v>
      </c>
      <c r="AD31" s="142">
        <f>+GETPIVOTDATA("Sum of Old UG E-Learning",'Pivot Table for Fact Book'!$A$3,"State","KY","type",13,"type2","Techncial")</f>
        <v>0</v>
      </c>
      <c r="AE31" s="142">
        <f>+GETPIVOTDATA("Sum of New UG E-Learning",'Pivot Table for Fact Book'!$A$3,"State","KY","type",13,"type2","Techncial")</f>
        <v>0</v>
      </c>
      <c r="AF31" s="145">
        <f>+GETPIVOTDATA("Sum of Old UG E-Learning",'Pivot Table for Fact Book'!$A$3,"State","KY","type2","Techncial")</f>
        <v>10371</v>
      </c>
      <c r="AG31" s="145">
        <f>+GETPIVOTDATA("Sum of New UG E-Learning",'Pivot Table for Fact Book'!$A$3,"State","KY","type2","Techncial")</f>
        <v>14730</v>
      </c>
      <c r="AH31" s="14"/>
    </row>
    <row r="32" spans="1:34" x14ac:dyDescent="0.25">
      <c r="A32" s="297" t="s">
        <v>147</v>
      </c>
      <c r="B32" s="139">
        <f>GETPIVOTDATA("Sum of Old UG E-Learning",'Pivot Table for Fact Book'!$A$3,"State","LA","type",1,"Type2","Four-Year")</f>
        <v>0</v>
      </c>
      <c r="C32" s="140">
        <f>GETPIVOTDATA("Sum of New UG E-Learning",'Pivot Table for Fact Book'!$A$3,"State","LA","type",1,"Type2","Four-Year")</f>
        <v>0</v>
      </c>
      <c r="D32" s="139">
        <f>GETPIVOTDATA("Sum of Old UG E-Learning",'Pivot Table for Fact Book'!$A$3,"State","LA","type",2,"Type2","Four-Year")</f>
        <v>0</v>
      </c>
      <c r="E32" s="140">
        <f>GETPIVOTDATA("Sum of New UG E-Learning",'Pivot Table for Fact Book'!$A$3,"State","LA","type",2,"Type2","Four-Year")</f>
        <v>0</v>
      </c>
      <c r="F32" s="139">
        <f>GETPIVOTDATA("Sum of Old UG E-Learning",'Pivot Table for Fact Book'!$A$3,"State","LA","type",3,"Type2","Four-Year")</f>
        <v>0</v>
      </c>
      <c r="G32" s="140">
        <f>GETPIVOTDATA("Sum of New UG E-Learning",'Pivot Table for Fact Book'!$A$3,"State","LA","type",3,"Type2","Four-Year")</f>
        <v>0</v>
      </c>
      <c r="H32" s="139">
        <f>GETPIVOTDATA("Sum of Old UG E-Learning",'Pivot Table for Fact Book'!$A$3,"State","LA","type",4,"Type2","Four-Year")</f>
        <v>0</v>
      </c>
      <c r="I32" s="140">
        <f>GETPIVOTDATA("Sum of New UG E-Learning",'Pivot Table for Fact Book'!$A$3,"State","LA","type",4,"Type2","Four-Year")</f>
        <v>0</v>
      </c>
      <c r="J32" s="139">
        <f>GETPIVOTDATA("Sum of Old UG E-Learning",'Pivot Table for Fact Book'!$A$3,"State","LA","type",5,"Type2","Four-Year")</f>
        <v>0</v>
      </c>
      <c r="K32" s="140">
        <f>GETPIVOTDATA("Sum of New UG E-Learning",'Pivot Table for Fact Book'!$A$3,"State","LA","type",5,"Type2","Four-Year")</f>
        <v>0</v>
      </c>
      <c r="L32" s="139">
        <f>GETPIVOTDATA("Sum of Old UG E-Learning",'Pivot Table for Fact Book'!$A$3,"State","LA","type",6,"Type2","Four-Year")</f>
        <v>0</v>
      </c>
      <c r="M32" s="140">
        <f>GETPIVOTDATA("Sum of New UG E-Learning",'Pivot Table for Fact Book'!$A$3,"State","LA","type",6,"Type2","Four-Year")</f>
        <v>0</v>
      </c>
      <c r="N32" s="139">
        <f>GETPIVOTDATA("Sum of Old UG E-Learning",'Pivot Table for Fact Book'!$A$3,"State","LA","type",15,"Type2","Four-Year")</f>
        <v>0</v>
      </c>
      <c r="O32" s="140">
        <f>GETPIVOTDATA("Sum of New UG E-Learning",'Pivot Table for Fact Book'!$A$3,"State","LA","type",15,"Type2","Four-Year")</f>
        <v>0</v>
      </c>
      <c r="P32" s="141">
        <f>GETPIVOTDATA("Sum of Old UG E-Learning",'Pivot Table for Fact Book'!$A$3,"State","LA","Type2","Four-Year")</f>
        <v>0</v>
      </c>
      <c r="Q32" s="141">
        <f>GETPIVOTDATA("Sum of New UG E-Learning",'Pivot Table for Fact Book'!$A$3,"State","LA","Type2","Four-Year")</f>
        <v>0</v>
      </c>
      <c r="R32" s="139">
        <f>GETPIVOTDATA("Sum of Old UG E-Learning",'Pivot Table for Fact Book'!$A$3,"State","LA","type",7,"Type2","Two-Year")</f>
        <v>0</v>
      </c>
      <c r="S32" s="142">
        <f>GETPIVOTDATA("Sum of New UG E-Learning",'Pivot Table for Fact Book'!$A$3,"State","LA","type",7,"Type2","Two-Year")</f>
        <v>0</v>
      </c>
      <c r="T32" s="142">
        <f>GETPIVOTDATA("Sum of Old UG E-Learning",'Pivot Table for Fact Book'!$A$3,"State","LA","type",8,"Type2","Two-Year")</f>
        <v>0</v>
      </c>
      <c r="U32" s="142">
        <f>GETPIVOTDATA("Sum of New UG E-Learning",'Pivot Table for Fact Book'!$A$3,"State","LA","type",8,"Type2","Two-Year")</f>
        <v>0</v>
      </c>
      <c r="V32" s="142">
        <f>GETPIVOTDATA("Sum of Old UG E-Learning",'Pivot Table for Fact Book'!$A$3,"State","LA","type",9,"Type2","Two-Year")</f>
        <v>0</v>
      </c>
      <c r="W32" s="142">
        <f>GETPIVOTDATA("Sum of New UG E-Learning",'Pivot Table for Fact Book'!$A$3,"State","LA","type",9,"Type2","Two-Year")</f>
        <v>0</v>
      </c>
      <c r="X32" s="142">
        <f>GETPIVOTDATA("Sum of Old UG E-Learning",'Pivot Table for Fact Book'!$A$3,"State","LA","type",10,"Type2","Two-Year")</f>
        <v>0</v>
      </c>
      <c r="Y32" s="142">
        <f>GETPIVOTDATA("Sum of New UG E-Learning",'Pivot Table for Fact Book'!$A$3,"State","LA","type",10,"Type2","Two-Year")</f>
        <v>0</v>
      </c>
      <c r="Z32" s="143">
        <f>GETPIVOTDATA("Sum of Old UG E-Learning",'Pivot Table for Fact Book'!$A$3,"State","LA","Type2","Two-Year")</f>
        <v>0</v>
      </c>
      <c r="AA32" s="143">
        <f>GETPIVOTDATA("Sum of New UG E-Learning",'Pivot Table for Fact Book'!$A$3,"State","LA","Type2","Two-Year")</f>
        <v>0</v>
      </c>
      <c r="AB32" s="139">
        <f>+GETPIVOTDATA("Sum of Old UG E-Learning",'Pivot Table for Fact Book'!$A$3,"State","LA","type",12,"type2","Techncial")</f>
        <v>0</v>
      </c>
      <c r="AC32" s="142">
        <f>+GETPIVOTDATA("Sum of New UG E-Learning",'Pivot Table for Fact Book'!$A$3,"State","LA","type",12,"type2","Techncial")</f>
        <v>0</v>
      </c>
      <c r="AD32" s="142">
        <f>+GETPIVOTDATA("Sum of Old UG E-Learning",'Pivot Table for Fact Book'!$A$3,"State","LA","type",13,"type2","Techncial")</f>
        <v>0</v>
      </c>
      <c r="AE32" s="142">
        <f>+GETPIVOTDATA("Sum of New UG E-Learning",'Pivot Table for Fact Book'!$A$3,"State","LA","type",13,"type2","Techncial")</f>
        <v>0</v>
      </c>
      <c r="AF32" s="145">
        <f>+GETPIVOTDATA("Sum of Old UG E-Learning",'Pivot Table for Fact Book'!$A$3,"State","LA","type2","Techncial")</f>
        <v>0</v>
      </c>
      <c r="AG32" s="145">
        <f>+GETPIVOTDATA("Sum of New UG E-Learning",'Pivot Table for Fact Book'!$A$3,"State","LA","type2","Techncial")</f>
        <v>0</v>
      </c>
      <c r="AH32" s="14"/>
    </row>
    <row r="33" spans="1:34" x14ac:dyDescent="0.25">
      <c r="A33" s="297" t="s">
        <v>177</v>
      </c>
      <c r="B33" s="139">
        <f>GETPIVOTDATA("Sum of Old UG E-Learning",'Pivot Table for Fact Book'!$A$3,"State","MD","type",1,"Type2","Four-Year")</f>
        <v>11064</v>
      </c>
      <c r="C33" s="140">
        <f>GETPIVOTDATA("Sum of New UG E-Learning",'Pivot Table for Fact Book'!$A$3,"State","MD","type",1,"Type2","Four-Year")</f>
        <v>14961</v>
      </c>
      <c r="D33" s="139">
        <f>GETPIVOTDATA("Sum of Old UG E-Learning",'Pivot Table for Fact Book'!$A$3,"State","MD","type",2,"Type2","Four-Year")</f>
        <v>22879</v>
      </c>
      <c r="E33" s="140">
        <f>GETPIVOTDATA("Sum of New UG E-Learning",'Pivot Table for Fact Book'!$A$3,"State","MD","type",2,"Type2","Four-Year")</f>
        <v>27787</v>
      </c>
      <c r="F33" s="139">
        <f>GETPIVOTDATA("Sum of Old UG E-Learning",'Pivot Table for Fact Book'!$A$3,"State","MD","type",3,"Type2","Four-Year")</f>
        <v>25124</v>
      </c>
      <c r="G33" s="140">
        <f>GETPIVOTDATA("Sum of New UG E-Learning",'Pivot Table for Fact Book'!$A$3,"State","MD","type",3,"Type2","Four-Year")</f>
        <v>26030</v>
      </c>
      <c r="H33" s="139">
        <f>GETPIVOTDATA("Sum of Old UG E-Learning",'Pivot Table for Fact Book'!$A$3,"State","MD","type",4,"Type2","Four-Year")</f>
        <v>60441</v>
      </c>
      <c r="I33" s="140">
        <f>GETPIVOTDATA("Sum of New UG E-Learning",'Pivot Table for Fact Book'!$A$3,"State","MD","type",4,"Type2","Four-Year")</f>
        <v>71483</v>
      </c>
      <c r="J33" s="139">
        <f>GETPIVOTDATA("Sum of Old UG E-Learning",'Pivot Table for Fact Book'!$A$3,"State","MD","type",5,"Type2","Four-Year")</f>
        <v>0</v>
      </c>
      <c r="K33" s="140">
        <f>GETPIVOTDATA("Sum of New UG E-Learning",'Pivot Table for Fact Book'!$A$3,"State","MD","type",5,"Type2","Four-Year")</f>
        <v>0</v>
      </c>
      <c r="L33" s="139">
        <f>GETPIVOTDATA("Sum of Old UG E-Learning",'Pivot Table for Fact Book'!$A$3,"State","MD","type",6,"Type2","Four-Year")</f>
        <v>0</v>
      </c>
      <c r="M33" s="140">
        <f>GETPIVOTDATA("Sum of New UG E-Learning",'Pivot Table for Fact Book'!$A$3,"State","MD","type",6,"Type2","Four-Year")</f>
        <v>0</v>
      </c>
      <c r="N33" s="139">
        <f>GETPIVOTDATA("Sum of Old UG E-Learning",'Pivot Table for Fact Book'!$A$3,"State","MD","type",15,"Type2","Four-Year")</f>
        <v>365434</v>
      </c>
      <c r="O33" s="140">
        <f>GETPIVOTDATA("Sum of New UG E-Learning",'Pivot Table for Fact Book'!$A$3,"State","MD","type",15,"Type2","Four-Year")</f>
        <v>425286</v>
      </c>
      <c r="P33" s="141">
        <f>GETPIVOTDATA("Sum of Old UG E-Learning",'Pivot Table for Fact Book'!$A$3,"State","MD","Type2","Four-Year")</f>
        <v>484942</v>
      </c>
      <c r="Q33" s="141">
        <f>GETPIVOTDATA("Sum of New UG E-Learning",'Pivot Table for Fact Book'!$A$3,"State","MD","Type2","Four-Year")</f>
        <v>565547</v>
      </c>
      <c r="R33" s="139">
        <f>GETPIVOTDATA("Sum of Old UG E-Learning",'Pivot Table for Fact Book'!$A$3,"State","MD","type",7,"Type2","Two-Year")</f>
        <v>0</v>
      </c>
      <c r="S33" s="142">
        <f>GETPIVOTDATA("Sum of New UG E-Learning",'Pivot Table for Fact Book'!$A$3,"State","MD","type",7,"Type2","Two-Year")</f>
        <v>0</v>
      </c>
      <c r="T33" s="142">
        <f>GETPIVOTDATA("Sum of Old UG E-Learning",'Pivot Table for Fact Book'!$A$3,"State","MD","type",8,"Type2","Two-Year")</f>
        <v>258430.5</v>
      </c>
      <c r="U33" s="142">
        <f>GETPIVOTDATA("Sum of New UG E-Learning",'Pivot Table for Fact Book'!$A$3,"State","MD","type",8,"Type2","Two-Year")</f>
        <v>302013</v>
      </c>
      <c r="V33" s="142">
        <f>GETPIVOTDATA("Sum of Old UG E-Learning",'Pivot Table for Fact Book'!$A$3,"State","MD","type",9,"Type2","Two-Year")</f>
        <v>101665.5</v>
      </c>
      <c r="W33" s="142">
        <f>GETPIVOTDATA("Sum of New UG E-Learning",'Pivot Table for Fact Book'!$A$3,"State","MD","type",9,"Type2","Two-Year")</f>
        <v>117557</v>
      </c>
      <c r="X33" s="142">
        <f>GETPIVOTDATA("Sum of Old UG E-Learning",'Pivot Table for Fact Book'!$A$3,"State","MD","type",10,"Type2","Two-Year")</f>
        <v>17327</v>
      </c>
      <c r="Y33" s="142">
        <f>GETPIVOTDATA("Sum of New UG E-Learning",'Pivot Table for Fact Book'!$A$3,"State","MD","type",10,"Type2","Two-Year")</f>
        <v>22218</v>
      </c>
      <c r="Z33" s="143">
        <f>GETPIVOTDATA("Sum of Old UG E-Learning",'Pivot Table for Fact Book'!$A$3,"State","MD","Type2","Two-Year")</f>
        <v>377423</v>
      </c>
      <c r="AA33" s="143">
        <f>GETPIVOTDATA("Sum of New UG E-Learning",'Pivot Table for Fact Book'!$A$3,"State","MD","Type2","Two-Year")</f>
        <v>441788</v>
      </c>
      <c r="AB33" s="139">
        <f>+GETPIVOTDATA("Sum of Old UG E-Learning",'Pivot Table for Fact Book'!$A$3,"State","MD","type",12,"type2","Techncial")</f>
        <v>0</v>
      </c>
      <c r="AC33" s="142">
        <f>+GETPIVOTDATA("Sum of New UG E-Learning",'Pivot Table for Fact Book'!$A$3,"State","MD","type",12,"type2","Techncial")</f>
        <v>0</v>
      </c>
      <c r="AD33" s="142">
        <f>+GETPIVOTDATA("Sum of Old UG E-Learning",'Pivot Table for Fact Book'!$A$3,"State","MD","type",13,"type2","Techncial")</f>
        <v>0</v>
      </c>
      <c r="AE33" s="142">
        <f>+GETPIVOTDATA("Sum of New UG E-Learning",'Pivot Table for Fact Book'!$A$3,"State","MD","type",13,"type2","Techncial")</f>
        <v>0</v>
      </c>
      <c r="AF33" s="145">
        <f>+GETPIVOTDATA("Sum of Old UG E-Learning",'Pivot Table for Fact Book'!$A$3,"State","MD","type2","Techncial")</f>
        <v>0</v>
      </c>
      <c r="AG33" s="145">
        <f>+GETPIVOTDATA("Sum of New UG E-Learning",'Pivot Table for Fact Book'!$A$3,"State","MD","type2","Techncial")</f>
        <v>0</v>
      </c>
      <c r="AH33" s="14"/>
    </row>
    <row r="34" spans="1:34" x14ac:dyDescent="0.25">
      <c r="A34" s="297" t="s">
        <v>148</v>
      </c>
      <c r="B34" s="139">
        <f>GETPIVOTDATA("Sum of Old UG E-Learning",'Pivot Table for Fact Book'!$A$3,"State","MS","type",1,"Type2","Four-Year")</f>
        <v>56180</v>
      </c>
      <c r="C34" s="140">
        <f>GETPIVOTDATA("Sum of New UG E-Learning",'Pivot Table for Fact Book'!$A$3,"State","MS","type",1,"Type2","Four-Year")</f>
        <v>59316</v>
      </c>
      <c r="D34" s="139">
        <f>GETPIVOTDATA("Sum of Old UG E-Learning",'Pivot Table for Fact Book'!$A$3,"State","MS","type",2,"Type2","Four-Year")</f>
        <v>20722</v>
      </c>
      <c r="E34" s="140">
        <f>GETPIVOTDATA("Sum of New UG E-Learning",'Pivot Table for Fact Book'!$A$3,"State","MS","type",2,"Type2","Four-Year")</f>
        <v>26498</v>
      </c>
      <c r="F34" s="139">
        <f>GETPIVOTDATA("Sum of Old UG E-Learning",'Pivot Table for Fact Book'!$A$3,"State","MS","type",3,"Type2","Four-Year")</f>
        <v>0</v>
      </c>
      <c r="G34" s="140">
        <f>GETPIVOTDATA("Sum of New UG E-Learning",'Pivot Table for Fact Book'!$A$3,"State","MS","type",3,"Type2","Four-Year")</f>
        <v>0</v>
      </c>
      <c r="H34" s="139">
        <f>GETPIVOTDATA("Sum of Old UG E-Learning",'Pivot Table for Fact Book'!$A$3,"State","MS","type",4,"Type2","Four-Year")</f>
        <v>29692.5</v>
      </c>
      <c r="I34" s="140">
        <f>GETPIVOTDATA("Sum of New UG E-Learning",'Pivot Table for Fact Book'!$A$3,"State","MS","type",4,"Type2","Four-Year")</f>
        <v>39766</v>
      </c>
      <c r="J34" s="139">
        <f>GETPIVOTDATA("Sum of Old UG E-Learning",'Pivot Table for Fact Book'!$A$3,"State","MS","type",5,"Type2","Four-Year")</f>
        <v>19169</v>
      </c>
      <c r="K34" s="140">
        <f>GETPIVOTDATA("Sum of New UG E-Learning",'Pivot Table for Fact Book'!$A$3,"State","MS","type",5,"Type2","Four-Year")</f>
        <v>27672</v>
      </c>
      <c r="L34" s="139">
        <f>GETPIVOTDATA("Sum of Old UG E-Learning",'Pivot Table for Fact Book'!$A$3,"State","MS","type",6,"Type2","Four-Year")</f>
        <v>0</v>
      </c>
      <c r="M34" s="140">
        <f>GETPIVOTDATA("Sum of New UG E-Learning",'Pivot Table for Fact Book'!$A$3,"State","MS","type",6,"Type2","Four-Year")</f>
        <v>0</v>
      </c>
      <c r="N34" s="139">
        <f>GETPIVOTDATA("Sum of Old UG E-Learning",'Pivot Table for Fact Book'!$A$3,"State","MS","type",15,"Type2","Four-Year")</f>
        <v>0</v>
      </c>
      <c r="O34" s="140">
        <f>GETPIVOTDATA("Sum of New UG E-Learning",'Pivot Table for Fact Book'!$A$3,"State","MS","type",15,"Type2","Four-Year")</f>
        <v>0</v>
      </c>
      <c r="P34" s="141">
        <f>GETPIVOTDATA("Sum of Old UG E-Learning",'Pivot Table for Fact Book'!$A$3,"State","MS","Type2","Four-Year")</f>
        <v>125763.5</v>
      </c>
      <c r="Q34" s="141">
        <f>GETPIVOTDATA("Sum of New UG E-Learning",'Pivot Table for Fact Book'!$A$3,"State","MS","Type2","Four-Year")</f>
        <v>153252</v>
      </c>
      <c r="R34" s="139">
        <f>GETPIVOTDATA("Sum of Old UG E-Learning",'Pivot Table for Fact Book'!$A$3,"State","MS","type",7,"Type2","Two-Year")</f>
        <v>0</v>
      </c>
      <c r="S34" s="142">
        <f>GETPIVOTDATA("Sum of New UG E-Learning",'Pivot Table for Fact Book'!$A$3,"State","MS","type",7,"Type2","Two-Year")</f>
        <v>0</v>
      </c>
      <c r="T34" s="142">
        <f>GETPIVOTDATA("Sum of Old UG E-Learning",'Pivot Table for Fact Book'!$A$3,"State","MS","type",8,"Type2","Two-Year")</f>
        <v>215435</v>
      </c>
      <c r="U34" s="142">
        <f>GETPIVOTDATA("Sum of New UG E-Learning",'Pivot Table for Fact Book'!$A$3,"State","MS","type",8,"Type2","Two-Year")</f>
        <v>217043</v>
      </c>
      <c r="V34" s="142">
        <f>GETPIVOTDATA("Sum of Old UG E-Learning",'Pivot Table for Fact Book'!$A$3,"State","MS","type",9,"Type2","Two-Year")</f>
        <v>172678</v>
      </c>
      <c r="W34" s="142">
        <f>GETPIVOTDATA("Sum of New UG E-Learning",'Pivot Table for Fact Book'!$A$3,"State","MS","type",9,"Type2","Two-Year")</f>
        <v>188545</v>
      </c>
      <c r="X34" s="142">
        <f>GETPIVOTDATA("Sum of Old UG E-Learning",'Pivot Table for Fact Book'!$A$3,"State","MS","type",10,"Type2","Two-Year")</f>
        <v>11706</v>
      </c>
      <c r="Y34" s="142">
        <f>GETPIVOTDATA("Sum of New UG E-Learning",'Pivot Table for Fact Book'!$A$3,"State","MS","type",10,"Type2","Two-Year")</f>
        <v>15718</v>
      </c>
      <c r="Z34" s="143">
        <f>GETPIVOTDATA("Sum of Old UG E-Learning",'Pivot Table for Fact Book'!$A$3,"State","MS","Type2","Two-Year")</f>
        <v>399819</v>
      </c>
      <c r="AA34" s="143">
        <f>GETPIVOTDATA("Sum of New UG E-Learning",'Pivot Table for Fact Book'!$A$3,"State","MS","Type2","Two-Year")</f>
        <v>421306</v>
      </c>
      <c r="AB34" s="139">
        <f>+GETPIVOTDATA("Sum of Old UG E-Learning",'Pivot Table for Fact Book'!$A$3,"State","MS","type",12,"type2","Techncial")</f>
        <v>0</v>
      </c>
      <c r="AC34" s="142">
        <f>+GETPIVOTDATA("Sum of New UG E-Learning",'Pivot Table for Fact Book'!$A$3,"State","MS","type",12,"type2","Techncial")</f>
        <v>0</v>
      </c>
      <c r="AD34" s="142">
        <f>+GETPIVOTDATA("Sum of Old UG E-Learning",'Pivot Table for Fact Book'!$A$3,"State","MS","type",13,"type2","Techncial")</f>
        <v>0</v>
      </c>
      <c r="AE34" s="142">
        <f>+GETPIVOTDATA("Sum of New UG E-Learning",'Pivot Table for Fact Book'!$A$3,"State","MS","type",13,"type2","Techncial")</f>
        <v>0</v>
      </c>
      <c r="AF34" s="145">
        <f>+GETPIVOTDATA("Sum of Old UG E-Learning",'Pivot Table for Fact Book'!$A$3,"State","MS","type2","Techncial")</f>
        <v>0</v>
      </c>
      <c r="AG34" s="145">
        <f>+GETPIVOTDATA("Sum of New UG E-Learning",'Pivot Table for Fact Book'!$A$3,"State","MS","type2","Techncial")</f>
        <v>0</v>
      </c>
      <c r="AH34" s="14"/>
    </row>
    <row r="35" spans="1:34" x14ac:dyDescent="0.25">
      <c r="A35" s="297" t="s">
        <v>149</v>
      </c>
      <c r="B35" s="139">
        <f>GETPIVOTDATA("Sum of Old UG E-Learning",'Pivot Table for Fact Book'!$A$3,"State","NC","type",1,"Type2","Four-Year")</f>
        <v>149560</v>
      </c>
      <c r="C35" s="140">
        <f>GETPIVOTDATA("Sum of New UG E-Learning",'Pivot Table for Fact Book'!$A$3,"State","NC","type",1,"Type2","Four-Year")</f>
        <v>160731</v>
      </c>
      <c r="D35" s="139">
        <f>GETPIVOTDATA("Sum of Old UG E-Learning",'Pivot Table for Fact Book'!$A$3,"State","NC","type",2,"Type2","Four-Year")</f>
        <v>20126</v>
      </c>
      <c r="E35" s="140">
        <f>GETPIVOTDATA("Sum of New UG E-Learning",'Pivot Table for Fact Book'!$A$3,"State","NC","type",2,"Type2","Four-Year")</f>
        <v>22987</v>
      </c>
      <c r="F35" s="139">
        <f>GETPIVOTDATA("Sum of Old UG E-Learning",'Pivot Table for Fact Book'!$A$3,"State","NC","type",3,"Type2","Four-Year")</f>
        <v>164895</v>
      </c>
      <c r="G35" s="140">
        <f>GETPIVOTDATA("Sum of New UG E-Learning",'Pivot Table for Fact Book'!$A$3,"State","NC","type",3,"Type2","Four-Year")</f>
        <v>180461</v>
      </c>
      <c r="H35" s="139">
        <f>GETPIVOTDATA("Sum of Old UG E-Learning",'Pivot Table for Fact Book'!$A$3,"State","NC","type",4,"Type2","Four-Year")</f>
        <v>22072</v>
      </c>
      <c r="I35" s="140">
        <f>GETPIVOTDATA("Sum of New UG E-Learning",'Pivot Table for Fact Book'!$A$3,"State","NC","type",4,"Type2","Four-Year")</f>
        <v>23627</v>
      </c>
      <c r="J35" s="139">
        <f>GETPIVOTDATA("Sum of Old UG E-Learning",'Pivot Table for Fact Book'!$A$3,"State","NC","type",5,"Type2","Four-Year")</f>
        <v>51837</v>
      </c>
      <c r="K35" s="140">
        <f>GETPIVOTDATA("Sum of New UG E-Learning",'Pivot Table for Fact Book'!$A$3,"State","NC","type",5,"Type2","Four-Year")</f>
        <v>53056</v>
      </c>
      <c r="L35" s="139">
        <f>GETPIVOTDATA("Sum of Old UG E-Learning",'Pivot Table for Fact Book'!$A$3,"State","NC","type",6,"Type2","Four-Year")</f>
        <v>15046</v>
      </c>
      <c r="M35" s="140">
        <f>GETPIVOTDATA("Sum of New UG E-Learning",'Pivot Table for Fact Book'!$A$3,"State","NC","type",6,"Type2","Four-Year")</f>
        <v>17522</v>
      </c>
      <c r="N35" s="139">
        <f>GETPIVOTDATA("Sum of Old UG E-Learning",'Pivot Table for Fact Book'!$A$3,"State","NC","type",15,"Type2","Four-Year")</f>
        <v>0</v>
      </c>
      <c r="O35" s="140">
        <f>GETPIVOTDATA("Sum of New UG E-Learning",'Pivot Table for Fact Book'!$A$3,"State","NC","type",15,"Type2","Four-Year")</f>
        <v>0</v>
      </c>
      <c r="P35" s="141">
        <f>GETPIVOTDATA("Sum of Old UG E-Learning",'Pivot Table for Fact Book'!$A$3,"State","NC","Type2","Four-Year")</f>
        <v>423536</v>
      </c>
      <c r="Q35" s="141">
        <f>GETPIVOTDATA("Sum of New UG E-Learning",'Pivot Table for Fact Book'!$A$3,"State","NC","Type2","Four-Year")</f>
        <v>458384</v>
      </c>
      <c r="R35" s="139">
        <f>GETPIVOTDATA("Sum of Old UG E-Learning",'Pivot Table for Fact Book'!$A$3,"State","NC","type",7,"Type2","Two-Year")</f>
        <v>0</v>
      </c>
      <c r="S35" s="142">
        <f>GETPIVOTDATA("Sum of New UG E-Learning",'Pivot Table for Fact Book'!$A$3,"State","NC","type",7,"Type2","Two-Year")</f>
        <v>0</v>
      </c>
      <c r="T35" s="142">
        <f>GETPIVOTDATA("Sum of Old UG E-Learning",'Pivot Table for Fact Book'!$A$3,"State","NC","type",8,"Type2","Two-Year")</f>
        <v>515842</v>
      </c>
      <c r="U35" s="142">
        <f>GETPIVOTDATA("Sum of New UG E-Learning",'Pivot Table for Fact Book'!$A$3,"State","NC","type",8,"Type2","Two-Year")</f>
        <v>770943</v>
      </c>
      <c r="V35" s="142">
        <f>GETPIVOTDATA("Sum of Old UG E-Learning",'Pivot Table for Fact Book'!$A$3,"State","NC","type",9,"Type2","Two-Year")</f>
        <v>498157</v>
      </c>
      <c r="W35" s="142">
        <f>GETPIVOTDATA("Sum of New UG E-Learning",'Pivot Table for Fact Book'!$A$3,"State","NC","type",9,"Type2","Two-Year")</f>
        <v>709843</v>
      </c>
      <c r="X35" s="142">
        <f>GETPIVOTDATA("Sum of Old UG E-Learning",'Pivot Table for Fact Book'!$A$3,"State","NC","type",10,"Type2","Two-Year")</f>
        <v>217647</v>
      </c>
      <c r="Y35" s="142">
        <f>GETPIVOTDATA("Sum of New UG E-Learning",'Pivot Table for Fact Book'!$A$3,"State","NC","type",10,"Type2","Two-Year")</f>
        <v>306526</v>
      </c>
      <c r="Z35" s="143">
        <f>GETPIVOTDATA("Sum of Old UG E-Learning",'Pivot Table for Fact Book'!$A$3,"State","NC","Type2","Two-Year")</f>
        <v>1231646</v>
      </c>
      <c r="AA35" s="143">
        <f>GETPIVOTDATA("Sum of New UG E-Learning",'Pivot Table for Fact Book'!$A$3,"State","NC","Type2","Two-Year")</f>
        <v>1787312</v>
      </c>
      <c r="AB35" s="139">
        <f>+GETPIVOTDATA("Sum of Old UG E-Learning",'Pivot Table for Fact Book'!$A$3,"State","NC","type",12,"type2","Techncial")</f>
        <v>0</v>
      </c>
      <c r="AC35" s="142">
        <f>+GETPIVOTDATA("Sum of New UG E-Learning",'Pivot Table for Fact Book'!$A$3,"State","NC","type",12,"type2","Techncial")</f>
        <v>0</v>
      </c>
      <c r="AD35" s="142">
        <f>+GETPIVOTDATA("Sum of Old UG E-Learning",'Pivot Table for Fact Book'!$A$3,"State","NC","type",13,"type2","Techncial")</f>
        <v>0</v>
      </c>
      <c r="AE35" s="142">
        <f>+GETPIVOTDATA("Sum of New UG E-Learning",'Pivot Table for Fact Book'!$A$3,"State","NC","type",13,"type2","Techncial")</f>
        <v>0</v>
      </c>
      <c r="AF35" s="145">
        <f>+GETPIVOTDATA("Sum of Old UG E-Learning",'Pivot Table for Fact Book'!$A$3,"State","NC","type2","Techncial")</f>
        <v>0</v>
      </c>
      <c r="AG35" s="145">
        <f>+GETPIVOTDATA("Sum of New UG E-Learning",'Pivot Table for Fact Book'!$A$3,"State","NC","type2","Techncial")</f>
        <v>0</v>
      </c>
      <c r="AH35" s="14"/>
    </row>
    <row r="36" spans="1:34" x14ac:dyDescent="0.25">
      <c r="A36" s="297" t="s">
        <v>150</v>
      </c>
      <c r="B36" s="139">
        <f>GETPIVOTDATA("Sum of Old UG E-Learning",'Pivot Table for Fact Book'!$A$3,"State","OK","type",1,"Type2","Four-Year")</f>
        <v>50889</v>
      </c>
      <c r="C36" s="140">
        <f>GETPIVOTDATA("Sum of New UG E-Learning",'Pivot Table for Fact Book'!$A$3,"State","OK","type",1,"Type2","Four-Year")</f>
        <v>61870</v>
      </c>
      <c r="D36" s="139">
        <f>GETPIVOTDATA("Sum of Old UG E-Learning",'Pivot Table for Fact Book'!$A$3,"State","OK","type",2,"Type2","Four-Year")</f>
        <v>0</v>
      </c>
      <c r="E36" s="140">
        <f>GETPIVOTDATA("Sum of New UG E-Learning",'Pivot Table for Fact Book'!$A$3,"State","OK","type",2,"Type2","Four-Year")</f>
        <v>0</v>
      </c>
      <c r="F36" s="139">
        <f>GETPIVOTDATA("Sum of Old UG E-Learning",'Pivot Table for Fact Book'!$A$3,"State","OK","type",3,"Type2","Four-Year")</f>
        <v>46358</v>
      </c>
      <c r="G36" s="140">
        <f>GETPIVOTDATA("Sum of New UG E-Learning",'Pivot Table for Fact Book'!$A$3,"State","OK","type",3,"Type2","Four-Year")</f>
        <v>67198</v>
      </c>
      <c r="H36" s="139">
        <f>GETPIVOTDATA("Sum of Old UG E-Learning",'Pivot Table for Fact Book'!$A$3,"State","OK","type",4,"Type2","Four-Year")</f>
        <v>0</v>
      </c>
      <c r="I36" s="140">
        <f>GETPIVOTDATA("Sum of New UG E-Learning",'Pivot Table for Fact Book'!$A$3,"State","OK","type",4,"Type2","Four-Year")</f>
        <v>0</v>
      </c>
      <c r="J36" s="139">
        <f>GETPIVOTDATA("Sum of Old UG E-Learning",'Pivot Table for Fact Book'!$A$3,"State","OK","type",5,"Type2","Four-Year")</f>
        <v>96036</v>
      </c>
      <c r="K36" s="140">
        <f>GETPIVOTDATA("Sum of New UG E-Learning",'Pivot Table for Fact Book'!$A$3,"State","OK","type",5,"Type2","Four-Year")</f>
        <v>102412</v>
      </c>
      <c r="L36" s="139">
        <f>GETPIVOTDATA("Sum of Old UG E-Learning",'Pivot Table for Fact Book'!$A$3,"State","OK","type",6,"Type2","Four-Year")</f>
        <v>35476</v>
      </c>
      <c r="M36" s="140">
        <f>GETPIVOTDATA("Sum of New UG E-Learning",'Pivot Table for Fact Book'!$A$3,"State","OK","type",6,"Type2","Four-Year")</f>
        <v>34297</v>
      </c>
      <c r="N36" s="139">
        <f>GETPIVOTDATA("Sum of Old UG E-Learning",'Pivot Table for Fact Book'!$A$3,"State","OK","type",15,"Type2","Four-Year")</f>
        <v>0</v>
      </c>
      <c r="O36" s="140">
        <f>GETPIVOTDATA("Sum of New UG E-Learning",'Pivot Table for Fact Book'!$A$3,"State","OK","type",15,"Type2","Four-Year")</f>
        <v>0</v>
      </c>
      <c r="P36" s="141">
        <f>GETPIVOTDATA("Sum of Old UG E-Learning",'Pivot Table for Fact Book'!$A$3,"State","OK","Type2","Four-Year")</f>
        <v>228759</v>
      </c>
      <c r="Q36" s="141">
        <f>GETPIVOTDATA("Sum of New UG E-Learning",'Pivot Table for Fact Book'!$A$3,"State","OK","Type2","Four-Year")</f>
        <v>265777</v>
      </c>
      <c r="R36" s="139">
        <f>GETPIVOTDATA("Sum of Old UG E-Learning",'Pivot Table for Fact Book'!$A$3,"State","OK","type",7,"Type2","Two-Year")</f>
        <v>55365</v>
      </c>
      <c r="S36" s="142">
        <f>GETPIVOTDATA("Sum of New UG E-Learning",'Pivot Table for Fact Book'!$A$3,"State","OK","type",7,"Type2","Two-Year")</f>
        <v>62848</v>
      </c>
      <c r="T36" s="142">
        <f>GETPIVOTDATA("Sum of Old UG E-Learning",'Pivot Table for Fact Book'!$A$3,"State","OK","type",8,"Type2","Two-Year")</f>
        <v>144707</v>
      </c>
      <c r="U36" s="142">
        <f>GETPIVOTDATA("Sum of New UG E-Learning",'Pivot Table for Fact Book'!$A$3,"State","OK","type",8,"Type2","Two-Year")</f>
        <v>235842</v>
      </c>
      <c r="V36" s="142">
        <f>GETPIVOTDATA("Sum of Old UG E-Learning",'Pivot Table for Fact Book'!$A$3,"State","OK","type",9,"Type2","Two-Year")</f>
        <v>24506</v>
      </c>
      <c r="W36" s="142">
        <f>GETPIVOTDATA("Sum of New UG E-Learning",'Pivot Table for Fact Book'!$A$3,"State","OK","type",9,"Type2","Two-Year")</f>
        <v>28120</v>
      </c>
      <c r="X36" s="142">
        <f>GETPIVOTDATA("Sum of Old UG E-Learning",'Pivot Table for Fact Book'!$A$3,"State","OK","type",10,"Type2","Two-Year")</f>
        <v>140143</v>
      </c>
      <c r="Y36" s="142">
        <f>GETPIVOTDATA("Sum of New UG E-Learning",'Pivot Table for Fact Book'!$A$3,"State","OK","type",10,"Type2","Two-Year")</f>
        <v>152261</v>
      </c>
      <c r="Z36" s="143">
        <f>GETPIVOTDATA("Sum of Old UG E-Learning",'Pivot Table for Fact Book'!$A$3,"State","OK","Type2","Two-Year")</f>
        <v>364721</v>
      </c>
      <c r="AA36" s="143">
        <f>GETPIVOTDATA("Sum of New UG E-Learning",'Pivot Table for Fact Book'!$A$3,"State","OK","Type2","Two-Year")</f>
        <v>479071</v>
      </c>
      <c r="AB36" s="139">
        <f>+GETPIVOTDATA("Sum of Old UG E-Learning",'Pivot Table for Fact Book'!$A$3,"State","OK","type",12,"type2","Techncial")</f>
        <v>0</v>
      </c>
      <c r="AC36" s="142">
        <f>+GETPIVOTDATA("Sum of New UG E-Learning",'Pivot Table for Fact Book'!$A$3,"State","OK","type",12,"type2","Techncial")</f>
        <v>0</v>
      </c>
      <c r="AD36" s="142">
        <f>+GETPIVOTDATA("Sum of Old UG E-Learning",'Pivot Table for Fact Book'!$A$3,"State","OK","type",13,"type2","Techncial")</f>
        <v>0</v>
      </c>
      <c r="AE36" s="142">
        <f>+GETPIVOTDATA("Sum of New UG E-Learning",'Pivot Table for Fact Book'!$A$3,"State","OK","type",13,"type2","Techncial")</f>
        <v>0</v>
      </c>
      <c r="AF36" s="145">
        <f>+GETPIVOTDATA("Sum of Old UG E-Learning",'Pivot Table for Fact Book'!$A$3,"State","OK","type2","Techncial")</f>
        <v>0</v>
      </c>
      <c r="AG36" s="145">
        <f>+GETPIVOTDATA("Sum of New UG E-Learning",'Pivot Table for Fact Book'!$A$3,"State","OK","type2","Techncial")</f>
        <v>0</v>
      </c>
      <c r="AH36" s="14"/>
    </row>
    <row r="37" spans="1:34" x14ac:dyDescent="0.25">
      <c r="A37" s="297" t="s">
        <v>151</v>
      </c>
      <c r="B37" s="139">
        <f>GETPIVOTDATA("Sum of Old UG E-Learning",'Pivot Table for Fact Book'!$A$3,"State","SC","type",1,"Type2","Four-Year")</f>
        <v>42584</v>
      </c>
      <c r="C37" s="140">
        <f>GETPIVOTDATA("Sum of New UG E-Learning",'Pivot Table for Fact Book'!$A$3,"State","SC","type",1,"Type2","Four-Year")</f>
        <v>46156</v>
      </c>
      <c r="D37" s="139">
        <f>GETPIVOTDATA("Sum of Old UG E-Learning",'Pivot Table for Fact Book'!$A$3,"State","SC","type",2,"Type2","Four-Year")</f>
        <v>0</v>
      </c>
      <c r="E37" s="140">
        <f>GETPIVOTDATA("Sum of New UG E-Learning",'Pivot Table for Fact Book'!$A$3,"State","SC","type",2,"Type2","Four-Year")</f>
        <v>0</v>
      </c>
      <c r="F37" s="314">
        <f>GETPIVOTDATA("Sum of Old UG E-Learning",'Pivot Table for Fact Book'!$A$3,"State","SC","type",3,"Type2","Four-Year")</f>
        <v>0</v>
      </c>
      <c r="G37" s="140">
        <f>GETPIVOTDATA("Sum of New UG E-Learning",'Pivot Table for Fact Book'!$A$3,"State","SC","type",3,"Type2","Four-Year")</f>
        <v>4166</v>
      </c>
      <c r="H37" s="139">
        <f>GETPIVOTDATA("Sum of Old UG E-Learning",'Pivot Table for Fact Book'!$A$3,"State","SC","type",4,"Type2","Four-Year")</f>
        <v>219</v>
      </c>
      <c r="I37" s="140">
        <f>GETPIVOTDATA("Sum of New UG E-Learning",'Pivot Table for Fact Book'!$A$3,"State","SC","type",4,"Type2","Four-Year")</f>
        <v>620</v>
      </c>
      <c r="J37" s="139">
        <f>GETPIVOTDATA("Sum of Old UG E-Learning",'Pivot Table for Fact Book'!$A$3,"State","SC","type",5,"Type2","Four-Year")</f>
        <v>10168.469999999999</v>
      </c>
      <c r="K37" s="140">
        <f>GETPIVOTDATA("Sum of New UG E-Learning",'Pivot Table for Fact Book'!$A$3,"State","SC","type",5,"Type2","Four-Year")</f>
        <v>18486</v>
      </c>
      <c r="L37" s="139">
        <f>GETPIVOTDATA("Sum of Old UG E-Learning",'Pivot Table for Fact Book'!$A$3,"State","SC","type",6,"Type2","Four-Year")</f>
        <v>21272</v>
      </c>
      <c r="M37" s="140">
        <f>GETPIVOTDATA("Sum of New UG E-Learning",'Pivot Table for Fact Book'!$A$3,"State","SC","type",6,"Type2","Four-Year")</f>
        <v>23966</v>
      </c>
      <c r="N37" s="139">
        <f>GETPIVOTDATA("Sum of Old UG E-Learning",'Pivot Table for Fact Book'!$A$3,"State","SC","type",15,"Type2","Four-Year")</f>
        <v>0</v>
      </c>
      <c r="O37" s="140">
        <f>GETPIVOTDATA("Sum of New UG E-Learning",'Pivot Table for Fact Book'!$A$3,"State","SC","type",15,"Type2","Four-Year")</f>
        <v>0</v>
      </c>
      <c r="P37" s="141">
        <f>GETPIVOTDATA("Sum of Old UG E-Learning",'Pivot Table for Fact Book'!$A$3,"State","SC","Type2","Four-Year")</f>
        <v>74243.47</v>
      </c>
      <c r="Q37" s="141">
        <f>GETPIVOTDATA("Sum of New UG E-Learning",'Pivot Table for Fact Book'!$A$3,"State","SC","Type2","Four-Year")</f>
        <v>93394</v>
      </c>
      <c r="R37" s="139">
        <f>GETPIVOTDATA("Sum of Old UG E-Learning",'Pivot Table for Fact Book'!$A$3,"State","SC","type",7,"Type2","Two-Year")</f>
        <v>0</v>
      </c>
      <c r="S37" s="142">
        <f>GETPIVOTDATA("Sum of New UG E-Learning",'Pivot Table for Fact Book'!$A$3,"State","SC","type",7,"Type2","Two-Year")</f>
        <v>0</v>
      </c>
      <c r="T37" s="142">
        <f>GETPIVOTDATA("Sum of Old UG E-Learning",'Pivot Table for Fact Book'!$A$3,"State","SC","type",8,"Type2","Two-Year")</f>
        <v>268536</v>
      </c>
      <c r="U37" s="142">
        <f>GETPIVOTDATA("Sum of New UG E-Learning",'Pivot Table for Fact Book'!$A$3,"State","SC","type",8,"Type2","Two-Year")</f>
        <v>263953</v>
      </c>
      <c r="V37" s="142">
        <f>GETPIVOTDATA("Sum of Old UG E-Learning",'Pivot Table for Fact Book'!$A$3,"State","SC","type",9,"Type2","Two-Year")</f>
        <v>181773</v>
      </c>
      <c r="W37" s="142">
        <f>GETPIVOTDATA("Sum of New UG E-Learning",'Pivot Table for Fact Book'!$A$3,"State","SC","type",9,"Type2","Two-Year")</f>
        <v>181047</v>
      </c>
      <c r="X37" s="142">
        <f>GETPIVOTDATA("Sum of Old UG E-Learning",'Pivot Table for Fact Book'!$A$3,"State","SC","type",10,"Type2","Two-Year")</f>
        <v>30293</v>
      </c>
      <c r="Y37" s="142">
        <f>GETPIVOTDATA("Sum of New UG E-Learning",'Pivot Table for Fact Book'!$A$3,"State","SC","type",10,"Type2","Two-Year")</f>
        <v>25970</v>
      </c>
      <c r="Z37" s="143">
        <f>GETPIVOTDATA("Sum of Old UG E-Learning",'Pivot Table for Fact Book'!$A$3,"State","SC","Type2","Two-Year")</f>
        <v>480602</v>
      </c>
      <c r="AA37" s="143">
        <f>GETPIVOTDATA("Sum of New UG E-Learning",'Pivot Table for Fact Book'!$A$3,"State","SC","Type2","Two-Year")</f>
        <v>470970</v>
      </c>
      <c r="AB37" s="139">
        <f>+GETPIVOTDATA("Sum of Old UG E-Learning",'Pivot Table for Fact Book'!$A$3,"State","SC","type",12,"type2","Techncial")</f>
        <v>0</v>
      </c>
      <c r="AC37" s="142">
        <f>+GETPIVOTDATA("Sum of New UG E-Learning",'Pivot Table for Fact Book'!$A$3,"State","SC","type",12,"type2","Techncial")</f>
        <v>0</v>
      </c>
      <c r="AD37" s="142">
        <f>+GETPIVOTDATA("Sum of Old UG E-Learning",'Pivot Table for Fact Book'!$A$3,"State","SC","type",13,"type2","Techncial")</f>
        <v>0</v>
      </c>
      <c r="AE37" s="142">
        <f>+GETPIVOTDATA("Sum of New UG E-Learning",'Pivot Table for Fact Book'!$A$3,"State","SC","type",13,"type2","Techncial")</f>
        <v>0</v>
      </c>
      <c r="AF37" s="145">
        <f>+GETPIVOTDATA("Sum of Old UG E-Learning",'Pivot Table for Fact Book'!$A$3,"State","SC","type2","Techncial")</f>
        <v>0</v>
      </c>
      <c r="AG37" s="145">
        <f>+GETPIVOTDATA("Sum of New UG E-Learning",'Pivot Table for Fact Book'!$A$3,"State","SC","type2","Techncial")</f>
        <v>0</v>
      </c>
      <c r="AH37" s="14"/>
    </row>
    <row r="38" spans="1:34" x14ac:dyDescent="0.25">
      <c r="A38" s="297" t="s">
        <v>152</v>
      </c>
      <c r="B38" s="139">
        <f>GETPIVOTDATA("Sum of Old UG E-Learning",'Pivot Table for Fact Book'!$A$3,"State","TN","type",1,"Type2","Four-Year")</f>
        <v>138967</v>
      </c>
      <c r="C38" s="140">
        <f>GETPIVOTDATA("Sum of New UG E-Learning",'Pivot Table for Fact Book'!$A$3,"State","TN","type",1,"Type2","Four-Year")</f>
        <v>158212</v>
      </c>
      <c r="D38" s="139">
        <f>GETPIVOTDATA("Sum of Old UG E-Learning",'Pivot Table for Fact Book'!$A$3,"State","TN","type",2,"Type2","Four-Year")</f>
        <v>13379</v>
      </c>
      <c r="E38" s="140">
        <f>GETPIVOTDATA("Sum of New UG E-Learning",'Pivot Table for Fact Book'!$A$3,"State","TN","type",2,"Type2","Four-Year")</f>
        <v>14647</v>
      </c>
      <c r="F38" s="139">
        <f>GETPIVOTDATA("Sum of Old UG E-Learning",'Pivot Table for Fact Book'!$A$3,"State","TN","type",3,"Type2","Four-Year")</f>
        <v>228266</v>
      </c>
      <c r="G38" s="140">
        <f>GETPIVOTDATA("Sum of New UG E-Learning",'Pivot Table for Fact Book'!$A$3,"State","TN","type",3,"Type2","Four-Year")</f>
        <v>256333</v>
      </c>
      <c r="H38" s="139">
        <f>GETPIVOTDATA("Sum of Old UG E-Learning",'Pivot Table for Fact Book'!$A$3,"State","TN","type",4,"Type2","Four-Year")</f>
        <v>0</v>
      </c>
      <c r="I38" s="140">
        <f>GETPIVOTDATA("Sum of New UG E-Learning",'Pivot Table for Fact Book'!$A$3,"State","TN","type",4,"Type2","Four-Year")</f>
        <v>0</v>
      </c>
      <c r="J38" s="139">
        <f>GETPIVOTDATA("Sum of Old UG E-Learning",'Pivot Table for Fact Book'!$A$3,"State","TN","type",5,"Type2","Four-Year")</f>
        <v>11593</v>
      </c>
      <c r="K38" s="140">
        <f>GETPIVOTDATA("Sum of New UG E-Learning",'Pivot Table for Fact Book'!$A$3,"State","TN","type",5,"Type2","Four-Year")</f>
        <v>15720</v>
      </c>
      <c r="L38" s="139">
        <f>GETPIVOTDATA("Sum of Old UG E-Learning",'Pivot Table for Fact Book'!$A$3,"State","TN","type",6,"Type2","Four-Year")</f>
        <v>0</v>
      </c>
      <c r="M38" s="140">
        <f>GETPIVOTDATA("Sum of New UG E-Learning",'Pivot Table for Fact Book'!$A$3,"State","TN","type",6,"Type2","Four-Year")</f>
        <v>0</v>
      </c>
      <c r="N38" s="139">
        <f>GETPIVOTDATA("Sum of Old UG E-Learning",'Pivot Table for Fact Book'!$A$3,"State","TN","type",15,"Type2","Four-Year")</f>
        <v>0</v>
      </c>
      <c r="O38" s="140">
        <f>GETPIVOTDATA("Sum of New UG E-Learning",'Pivot Table for Fact Book'!$A$3,"State","TN","type",15,"Type2","Four-Year")</f>
        <v>0</v>
      </c>
      <c r="P38" s="141">
        <f>GETPIVOTDATA("Sum of Old UG E-Learning",'Pivot Table for Fact Book'!$A$3,"State","TN","Type2","Four-Year")</f>
        <v>392205</v>
      </c>
      <c r="Q38" s="141">
        <f>GETPIVOTDATA("Sum of New UG E-Learning",'Pivot Table for Fact Book'!$A$3,"State","TN","Type2","Four-Year")</f>
        <v>444912</v>
      </c>
      <c r="R38" s="139">
        <f>GETPIVOTDATA("Sum of Old UG E-Learning",'Pivot Table for Fact Book'!$A$3,"State","TN","type",7,"Type2","Two-Year")</f>
        <v>0</v>
      </c>
      <c r="S38" s="142">
        <f>GETPIVOTDATA("Sum of New UG E-Learning",'Pivot Table for Fact Book'!$A$3,"State","TN","type",7,"Type2","Two-Year")</f>
        <v>0</v>
      </c>
      <c r="T38" s="142">
        <f>GETPIVOTDATA("Sum of Old UG E-Learning",'Pivot Table for Fact Book'!$A$3,"State","TN","type",8,"Type2","Two-Year")</f>
        <v>237733</v>
      </c>
      <c r="U38" s="142">
        <f>GETPIVOTDATA("Sum of New UG E-Learning",'Pivot Table for Fact Book'!$A$3,"State","TN","type",8,"Type2","Two-Year")</f>
        <v>245835</v>
      </c>
      <c r="V38" s="142">
        <f>GETPIVOTDATA("Sum of Old UG E-Learning",'Pivot Table for Fact Book'!$A$3,"State","TN","type",9,"Type2","Two-Year")</f>
        <v>220062</v>
      </c>
      <c r="W38" s="142">
        <f>GETPIVOTDATA("Sum of New UG E-Learning",'Pivot Table for Fact Book'!$A$3,"State","TN","type",9,"Type2","Two-Year")</f>
        <v>220912</v>
      </c>
      <c r="X38" s="142">
        <f>GETPIVOTDATA("Sum of Old UG E-Learning",'Pivot Table for Fact Book'!$A$3,"State","TN","type",10,"Type2","Two-Year")</f>
        <v>0</v>
      </c>
      <c r="Y38" s="142">
        <f>GETPIVOTDATA("Sum of New UG E-Learning",'Pivot Table for Fact Book'!$A$3,"State","TN","type",10,"Type2","Two-Year")</f>
        <v>0</v>
      </c>
      <c r="Z38" s="143">
        <f>GETPIVOTDATA("Sum of Old UG E-Learning",'Pivot Table for Fact Book'!$A$3,"State","TN","Type2","Two-Year")</f>
        <v>457795</v>
      </c>
      <c r="AA38" s="143">
        <f>GETPIVOTDATA("Sum of New UG E-Learning",'Pivot Table for Fact Book'!$A$3,"State","TN","Type2","Two-Year")</f>
        <v>466747</v>
      </c>
      <c r="AB38" s="139">
        <f>+GETPIVOTDATA("Sum of Old UG E-Learning",'Pivot Table for Fact Book'!$A$3,"State","TN","type",12,"type2","Techncial")</f>
        <v>0</v>
      </c>
      <c r="AC38" s="142">
        <f>+GETPIVOTDATA("Sum of New UG E-Learning",'Pivot Table for Fact Book'!$A$3,"State","TN","type",12,"type2","Techncial")</f>
        <v>0</v>
      </c>
      <c r="AD38" s="142">
        <f>+GETPIVOTDATA("Sum of Old UG E-Learning",'Pivot Table for Fact Book'!$A$3,"State","TN","type",13,"type2","Techncial")</f>
        <v>0</v>
      </c>
      <c r="AE38" s="142">
        <f>+GETPIVOTDATA("Sum of New UG E-Learning",'Pivot Table for Fact Book'!$A$3,"State","TN","type",13,"type2","Techncial")</f>
        <v>0</v>
      </c>
      <c r="AF38" s="145">
        <f>+GETPIVOTDATA("Sum of Old UG E-Learning",'Pivot Table for Fact Book'!$A$3,"State","TN","type2","Techncial")</f>
        <v>0</v>
      </c>
      <c r="AG38" s="145">
        <f>+GETPIVOTDATA("Sum of New UG E-Learning",'Pivot Table for Fact Book'!$A$3,"State","TN","type2","Techncial")</f>
        <v>0</v>
      </c>
      <c r="AH38" s="14"/>
    </row>
    <row r="39" spans="1:34" x14ac:dyDescent="0.25">
      <c r="A39" s="297" t="s">
        <v>153</v>
      </c>
      <c r="B39" s="139">
        <f>GETPIVOTDATA("Sum of Old UG E-Learning",'Pivot Table for Fact Book'!$A$3,"State","TX","type",1,"Type2","Four-Year")</f>
        <v>370133</v>
      </c>
      <c r="C39" s="140">
        <f>GETPIVOTDATA("Sum of New UG E-Learning",'Pivot Table for Fact Book'!$A$3,"State","TX","type",1,"Type2","Four-Year")</f>
        <v>461559</v>
      </c>
      <c r="D39" s="139">
        <f>GETPIVOTDATA("Sum of Old UG E-Learning",'Pivot Table for Fact Book'!$A$3,"State","TX","type",2,"Type2","Four-Year")</f>
        <v>88967</v>
      </c>
      <c r="E39" s="140">
        <f>GETPIVOTDATA("Sum of New UG E-Learning",'Pivot Table for Fact Book'!$A$3,"State","TX","type",2,"Type2","Four-Year")</f>
        <v>121592</v>
      </c>
      <c r="F39" s="139">
        <f>GETPIVOTDATA("Sum of Old UG E-Learning",'Pivot Table for Fact Book'!$A$3,"State","TX","type",3,"Type2","Four-Year")</f>
        <v>320146</v>
      </c>
      <c r="G39" s="140">
        <f>GETPIVOTDATA("Sum of New UG E-Learning",'Pivot Table for Fact Book'!$A$3,"State","TX","type",3,"Type2","Four-Year")</f>
        <v>412976</v>
      </c>
      <c r="H39" s="139">
        <f>GETPIVOTDATA("Sum of Old UG E-Learning",'Pivot Table for Fact Book'!$A$3,"State","TX","type",4,"Type2","Four-Year")</f>
        <v>41925</v>
      </c>
      <c r="I39" s="140">
        <f>GETPIVOTDATA("Sum of New UG E-Learning",'Pivot Table for Fact Book'!$A$3,"State","TX","type",4,"Type2","Four-Year")</f>
        <v>44071</v>
      </c>
      <c r="J39" s="139">
        <f>GETPIVOTDATA("Sum of Old UG E-Learning",'Pivot Table for Fact Book'!$A$3,"State","TX","type",5,"Type2","Four-Year")</f>
        <v>49229</v>
      </c>
      <c r="K39" s="140">
        <f>GETPIVOTDATA("Sum of New UG E-Learning",'Pivot Table for Fact Book'!$A$3,"State","TX","type",5,"Type2","Four-Year")</f>
        <v>74644</v>
      </c>
      <c r="L39" s="139">
        <f>GETPIVOTDATA("Sum of Old UG E-Learning",'Pivot Table for Fact Book'!$A$3,"State","TX","type",6,"Type2","Four-Year")</f>
        <v>0</v>
      </c>
      <c r="M39" s="140">
        <f>GETPIVOTDATA("Sum of New UG E-Learning",'Pivot Table for Fact Book'!$A$3,"State","TX","type",6,"Type2","Four-Year")</f>
        <v>0</v>
      </c>
      <c r="N39" s="139">
        <f>GETPIVOTDATA("Sum of Old UG E-Learning",'Pivot Table for Fact Book'!$A$3,"State","TX","type",15,"Type2","Four-Year")</f>
        <v>0</v>
      </c>
      <c r="O39" s="140">
        <f>GETPIVOTDATA("Sum of New UG E-Learning",'Pivot Table for Fact Book'!$A$3,"State","TX","type",15,"Type2","Four-Year")</f>
        <v>0</v>
      </c>
      <c r="P39" s="141">
        <f>GETPIVOTDATA("Sum of Old UG E-Learning",'Pivot Table for Fact Book'!$A$3,"State","TX","Type2","Four-Year")</f>
        <v>880740</v>
      </c>
      <c r="Q39" s="141">
        <f>GETPIVOTDATA("Sum of New UG E-Learning",'Pivot Table for Fact Book'!$A$3,"State","TX","Type2","Four-Year")</f>
        <v>1145272</v>
      </c>
      <c r="R39" s="139">
        <f>GETPIVOTDATA("Sum of Old UG E-Learning",'Pivot Table for Fact Book'!$A$3,"State","TX","type",7,"Type2","Two-Year")</f>
        <v>128838</v>
      </c>
      <c r="S39" s="142">
        <f>GETPIVOTDATA("Sum of New UG E-Learning",'Pivot Table for Fact Book'!$A$3,"State","TX","type",7,"Type2","Two-Year")</f>
        <v>148330</v>
      </c>
      <c r="T39" s="142">
        <f>GETPIVOTDATA("Sum of Old UG E-Learning",'Pivot Table for Fact Book'!$A$3,"State","TX","type",8,"Type2","Two-Year")</f>
        <v>1907840</v>
      </c>
      <c r="U39" s="142">
        <f>GETPIVOTDATA("Sum of New UG E-Learning",'Pivot Table for Fact Book'!$A$3,"State","TX","type",8,"Type2","Two-Year")</f>
        <v>1999366</v>
      </c>
      <c r="V39" s="142">
        <f>GETPIVOTDATA("Sum of Old UG E-Learning",'Pivot Table for Fact Book'!$A$3,"State","TX","type",9,"Type2","Two-Year")</f>
        <v>471106</v>
      </c>
      <c r="W39" s="142">
        <f>GETPIVOTDATA("Sum of New UG E-Learning",'Pivot Table for Fact Book'!$A$3,"State","TX","type",9,"Type2","Two-Year")</f>
        <v>534262</v>
      </c>
      <c r="X39" s="142">
        <f>GETPIVOTDATA("Sum of Old UG E-Learning",'Pivot Table for Fact Book'!$A$3,"State","TX","type",10,"Type2","Two-Year")</f>
        <v>97384</v>
      </c>
      <c r="Y39" s="142">
        <f>GETPIVOTDATA("Sum of New UG E-Learning",'Pivot Table for Fact Book'!$A$3,"State","TX","type",10,"Type2","Two-Year")</f>
        <v>101626</v>
      </c>
      <c r="Z39" s="143">
        <f>GETPIVOTDATA("Sum of Old UG E-Learning",'Pivot Table for Fact Book'!$A$3,"State","TX","Type2","Two-Year")</f>
        <v>2605168</v>
      </c>
      <c r="AA39" s="143">
        <f>GETPIVOTDATA("Sum of New UG E-Learning",'Pivot Table for Fact Book'!$A$3,"State","TX","Type2","Two-Year")</f>
        <v>2783584</v>
      </c>
      <c r="AB39" s="139">
        <f>+GETPIVOTDATA("Sum of Old UG E-Learning",'Pivot Table for Fact Book'!$A$3,"State","TX","type",12,"type2","Techncial")</f>
        <v>0</v>
      </c>
      <c r="AC39" s="142">
        <f>+GETPIVOTDATA("Sum of New UG E-Learning",'Pivot Table for Fact Book'!$A$3,"State","TX","type",12,"type2","Techncial")</f>
        <v>0</v>
      </c>
      <c r="AD39" s="142">
        <f>+GETPIVOTDATA("Sum of Old UG E-Learning",'Pivot Table for Fact Book'!$A$3,"State","TX","type",13,"type2","Techncial")</f>
        <v>0</v>
      </c>
      <c r="AE39" s="142">
        <f>+GETPIVOTDATA("Sum of New UG E-Learning",'Pivot Table for Fact Book'!$A$3,"State","TX","type",13,"type2","Techncial")</f>
        <v>0</v>
      </c>
      <c r="AF39" s="145">
        <f>+GETPIVOTDATA("Sum of Old UG E-Learning",'Pivot Table for Fact Book'!$A$3,"State","TX","type2","Techncial")</f>
        <v>0</v>
      </c>
      <c r="AG39" s="145">
        <f>+GETPIVOTDATA("Sum of New UG E-Learning",'Pivot Table for Fact Book'!$A$3,"State","TX","type2","Techncial")</f>
        <v>0</v>
      </c>
      <c r="AH39" s="14"/>
    </row>
    <row r="40" spans="1:34" x14ac:dyDescent="0.25">
      <c r="A40" s="297" t="s">
        <v>154</v>
      </c>
      <c r="B40" s="139">
        <f>GETPIVOTDATA("Sum of Old UG E-Learning",'Pivot Table for Fact Book'!$A$3,"State","VA","type",1,"Type2","Four-Year")</f>
        <v>86712</v>
      </c>
      <c r="C40" s="140">
        <f>GETPIVOTDATA("Sum of New UG E-Learning",'Pivot Table for Fact Book'!$A$3,"State","VA","type",1,"Type2","Four-Year")</f>
        <v>99302</v>
      </c>
      <c r="D40" s="139">
        <f>GETPIVOTDATA("Sum of Old UG E-Learning",'Pivot Table for Fact Book'!$A$3,"State","VA","type",2,"Type2","Four-Year")</f>
        <v>15580</v>
      </c>
      <c r="E40" s="140">
        <f>GETPIVOTDATA("Sum of New UG E-Learning",'Pivot Table for Fact Book'!$A$3,"State","VA","type",2,"Type2","Four-Year")</f>
        <v>24280</v>
      </c>
      <c r="F40" s="139">
        <f>GETPIVOTDATA("Sum of Old UG E-Learning",'Pivot Table for Fact Book'!$A$3,"State","VA","type",3,"Type2","Four-Year")</f>
        <v>18759</v>
      </c>
      <c r="G40" s="140">
        <f>GETPIVOTDATA("Sum of New UG E-Learning",'Pivot Table for Fact Book'!$A$3,"State","VA","type",3,"Type2","Four-Year")</f>
        <v>39964</v>
      </c>
      <c r="H40" s="139">
        <f>GETPIVOTDATA("Sum of Old UG E-Learning",'Pivot Table for Fact Book'!$A$3,"State","VA","type",4,"Type2","Four-Year")</f>
        <v>10325</v>
      </c>
      <c r="I40" s="140">
        <f>GETPIVOTDATA("Sum of New UG E-Learning",'Pivot Table for Fact Book'!$A$3,"State","VA","type",4,"Type2","Four-Year")</f>
        <v>2752</v>
      </c>
      <c r="J40" s="139">
        <f>GETPIVOTDATA("Sum of Old UG E-Learning",'Pivot Table for Fact Book'!$A$3,"State","VA","type",5,"Type2","Four-Year")</f>
        <v>5733</v>
      </c>
      <c r="K40" s="140">
        <f>GETPIVOTDATA("Sum of New UG E-Learning",'Pivot Table for Fact Book'!$A$3,"State","VA","type",5,"Type2","Four-Year")</f>
        <v>12099</v>
      </c>
      <c r="L40" s="139">
        <f>GETPIVOTDATA("Sum of Old UG E-Learning",'Pivot Table for Fact Book'!$A$3,"State","VA","type",6,"Type2","Four-Year")</f>
        <v>2020</v>
      </c>
      <c r="M40" s="140">
        <f>GETPIVOTDATA("Sum of New UG E-Learning",'Pivot Table for Fact Book'!$A$3,"State","VA","type",6,"Type2","Four-Year")</f>
        <v>1704</v>
      </c>
      <c r="N40" s="139">
        <f>GETPIVOTDATA("Sum of Old UG E-Learning",'Pivot Table for Fact Book'!$A$3,"State","VA","type",15,"Type2","Four-Year")</f>
        <v>0</v>
      </c>
      <c r="O40" s="140">
        <f>GETPIVOTDATA("Sum of New UG E-Learning",'Pivot Table for Fact Book'!$A$3,"State","VA","type",15,"Type2","Four-Year")</f>
        <v>0</v>
      </c>
      <c r="P40" s="141">
        <f>GETPIVOTDATA("Sum of Old UG E-Learning",'Pivot Table for Fact Book'!$A$3,"State","VA","Type2","Four-Year")</f>
        <v>139129</v>
      </c>
      <c r="Q40" s="141">
        <f>GETPIVOTDATA("Sum of New UG E-Learning",'Pivot Table for Fact Book'!$A$3,"State","VA","Type2","Four-Year")</f>
        <v>180101</v>
      </c>
      <c r="R40" s="139">
        <f>GETPIVOTDATA("Sum of Old UG E-Learning",'Pivot Table for Fact Book'!$A$3,"State","VA","type",7,"Type2","Two-Year")</f>
        <v>0</v>
      </c>
      <c r="S40" s="142">
        <f>GETPIVOTDATA("Sum of New UG E-Learning",'Pivot Table for Fact Book'!$A$3,"State","VA","type",7,"Type2","Two-Year")</f>
        <v>0</v>
      </c>
      <c r="T40" s="142">
        <f>GETPIVOTDATA("Sum of Old UG E-Learning",'Pivot Table for Fact Book'!$A$3,"State","VA","type",8,"Type2","Two-Year")</f>
        <v>475722</v>
      </c>
      <c r="U40" s="142">
        <f>GETPIVOTDATA("Sum of New UG E-Learning",'Pivot Table for Fact Book'!$A$3,"State","VA","type",8,"Type2","Two-Year")</f>
        <v>524476</v>
      </c>
      <c r="V40" s="142">
        <f>GETPIVOTDATA("Sum of Old UG E-Learning",'Pivot Table for Fact Book'!$A$3,"State","VA","type",9,"Type2","Two-Year")</f>
        <v>330383</v>
      </c>
      <c r="W40" s="142">
        <f>GETPIVOTDATA("Sum of New UG E-Learning",'Pivot Table for Fact Book'!$A$3,"State","VA","type",9,"Type2","Two-Year")</f>
        <v>378686</v>
      </c>
      <c r="X40" s="142">
        <f>GETPIVOTDATA("Sum of Old UG E-Learning",'Pivot Table for Fact Book'!$A$3,"State","VA","type",10,"Type2","Two-Year")</f>
        <v>87657</v>
      </c>
      <c r="Y40" s="142">
        <f>GETPIVOTDATA("Sum of New UG E-Learning",'Pivot Table for Fact Book'!$A$3,"State","VA","type",10,"Type2","Two-Year")</f>
        <v>94911</v>
      </c>
      <c r="Z40" s="143">
        <f>GETPIVOTDATA("Sum of Old UG E-Learning",'Pivot Table for Fact Book'!$A$3,"State","VA","Type2","Two-Year")</f>
        <v>893762</v>
      </c>
      <c r="AA40" s="143">
        <f>GETPIVOTDATA("Sum of New UG E-Learning",'Pivot Table for Fact Book'!$A$3,"State","VA","Type2","Two-Year")</f>
        <v>998073</v>
      </c>
      <c r="AB40" s="139">
        <f>+GETPIVOTDATA("Sum of Old UG E-Learning",'Pivot Table for Fact Book'!$A$3,"State","VA","type",12,"type2","Techncial")</f>
        <v>0</v>
      </c>
      <c r="AC40" s="142">
        <f>+GETPIVOTDATA("Sum of New UG E-Learning",'Pivot Table for Fact Book'!$A$3,"State","VA","type",12,"type2","Techncial")</f>
        <v>0</v>
      </c>
      <c r="AD40" s="142">
        <f>+GETPIVOTDATA("Sum of Old UG E-Learning",'Pivot Table for Fact Book'!$A$3,"State","VA","type",13,"type2","Techncial")</f>
        <v>0</v>
      </c>
      <c r="AE40" s="142">
        <f>+GETPIVOTDATA("Sum of New UG E-Learning",'Pivot Table for Fact Book'!$A$3,"State","VA","type",13,"type2","Techncial")</f>
        <v>0</v>
      </c>
      <c r="AF40" s="145">
        <f>+GETPIVOTDATA("Sum of Old UG E-Learning",'Pivot Table for Fact Book'!$A$3,"State","VA","type2","Techncial")</f>
        <v>0</v>
      </c>
      <c r="AG40" s="145">
        <f>+GETPIVOTDATA("Sum of New UG E-Learning",'Pivot Table for Fact Book'!$A$3,"State","VA","type2","Techncial")</f>
        <v>0</v>
      </c>
      <c r="AH40" s="14"/>
    </row>
    <row r="41" spans="1:34" x14ac:dyDescent="0.25">
      <c r="A41" s="307" t="s">
        <v>155</v>
      </c>
      <c r="B41" s="308">
        <f>GETPIVOTDATA("Sum of Old UG E-Learning",'Pivot Table for Fact Book'!$A$3,"State","WV","type",1,"Type2","Four-Year")</f>
        <v>42506</v>
      </c>
      <c r="C41" s="309">
        <f>GETPIVOTDATA("Sum of New UG E-Learning",'Pivot Table for Fact Book'!$A$3,"State","WV","type",1,"Type2","Four-Year")</f>
        <v>47582</v>
      </c>
      <c r="D41" s="308">
        <f>GETPIVOTDATA("Sum of Old UG E-Learning",'Pivot Table for Fact Book'!$A$3,"State","WV","type",2,"Type2","Four-Year")</f>
        <v>0</v>
      </c>
      <c r="E41" s="309">
        <f>GETPIVOTDATA("Sum of New UG E-Learning",'Pivot Table for Fact Book'!$A$3,"State","WV","type",2,"Type2","Four-Year")</f>
        <v>0</v>
      </c>
      <c r="F41" s="308">
        <f>GETPIVOTDATA("Sum of Old UG E-Learning",'Pivot Table for Fact Book'!$A$3,"State","WV","type",3,"Type2","Four-Year")</f>
        <v>34846</v>
      </c>
      <c r="G41" s="309">
        <f>GETPIVOTDATA("Sum of New UG E-Learning",'Pivot Table for Fact Book'!$A$3,"State","WV","type",3,"Type2","Four-Year")</f>
        <v>38858</v>
      </c>
      <c r="H41" s="308">
        <f>GETPIVOTDATA("Sum of Old UG E-Learning",'Pivot Table for Fact Book'!$A$3,"State","WV","type",4,"Type2","Four-Year")</f>
        <v>0</v>
      </c>
      <c r="I41" s="309">
        <f>GETPIVOTDATA("Sum of New UG E-Learning",'Pivot Table for Fact Book'!$A$3,"State","WV","type",4,"Type2","Four-Year")</f>
        <v>0</v>
      </c>
      <c r="J41" s="308">
        <f>GETPIVOTDATA("Sum of Old UG E-Learning",'Pivot Table for Fact Book'!$A$3,"State","WV","type",5,"Type2","Four-Year")</f>
        <v>15796</v>
      </c>
      <c r="K41" s="309">
        <f>GETPIVOTDATA("Sum of New UG E-Learning",'Pivot Table for Fact Book'!$A$3,"State","WV","type",5,"Type2","Four-Year")</f>
        <v>15838</v>
      </c>
      <c r="L41" s="308">
        <f>GETPIVOTDATA("Sum of Old UG E-Learning",'Pivot Table for Fact Book'!$A$3,"State","WV","type",6,"Type2","Four-Year")</f>
        <v>40016</v>
      </c>
      <c r="M41" s="309">
        <f>GETPIVOTDATA("Sum of New UG E-Learning",'Pivot Table for Fact Book'!$A$3,"State","WV","type",6,"Type2","Four-Year")</f>
        <v>48676</v>
      </c>
      <c r="N41" s="308">
        <f>GETPIVOTDATA("Sum of Old UG E-Learning",'Pivot Table for Fact Book'!$A$3,"State","WV","type",15,"Type2","Four-Year")</f>
        <v>0</v>
      </c>
      <c r="O41" s="309">
        <f>GETPIVOTDATA("Sum of New UG E-Learning",'Pivot Table for Fact Book'!$A$3,"State","WV","type",15,"Type2","Four-Year")</f>
        <v>0</v>
      </c>
      <c r="P41" s="310">
        <f>GETPIVOTDATA("Sum of Old UG E-Learning",'Pivot Table for Fact Book'!$A$3,"State","WV","Type2","Four-Year")</f>
        <v>133164</v>
      </c>
      <c r="Q41" s="310">
        <f>GETPIVOTDATA("Sum of New UG E-Learning",'Pivot Table for Fact Book'!$A$3,"State","WV","Type2","Four-Year")</f>
        <v>150954</v>
      </c>
      <c r="R41" s="308">
        <f>GETPIVOTDATA("Sum of Old UG E-Learning",'Pivot Table for Fact Book'!$A$3,"State","WV","type",7,"Type2","Two-Year")</f>
        <v>27169</v>
      </c>
      <c r="S41" s="309">
        <f>GETPIVOTDATA("Sum of New UG E-Learning",'Pivot Table for Fact Book'!$A$3,"State","WV","type",7,"Type2","Two-Year")</f>
        <v>31389</v>
      </c>
      <c r="T41" s="309">
        <f>GETPIVOTDATA("Sum of Old UG E-Learning",'Pivot Table for Fact Book'!$A$3,"State","WV","type",8,"Type2","Two-Year")</f>
        <v>0</v>
      </c>
      <c r="U41" s="309">
        <f>GETPIVOTDATA("Sum of New UG E-Learning",'Pivot Table for Fact Book'!$A$3,"State","WV","type",8,"Type2","Two-Year")</f>
        <v>0</v>
      </c>
      <c r="V41" s="309">
        <f>GETPIVOTDATA("Sum of Old UG E-Learning",'Pivot Table for Fact Book'!$A$3,"State","WV","type",9,"Type2","Two-Year")</f>
        <v>12088</v>
      </c>
      <c r="W41" s="309">
        <f>GETPIVOTDATA("Sum of New UG E-Learning",'Pivot Table for Fact Book'!$A$3,"State","WV","type",9,"Type2","Two-Year")</f>
        <v>17410</v>
      </c>
      <c r="X41" s="309">
        <f>GETPIVOTDATA("Sum of Old UG E-Learning",'Pivot Table for Fact Book'!$A$3,"State","WV","type",10,"Type2","Two-Year")</f>
        <v>62515</v>
      </c>
      <c r="Y41" s="309">
        <f>GETPIVOTDATA("Sum of New UG E-Learning",'Pivot Table for Fact Book'!$A$3,"State","WV","type",10,"Type2","Two-Year")</f>
        <v>68137</v>
      </c>
      <c r="Z41" s="311">
        <f>GETPIVOTDATA("Sum of Old UG E-Learning",'Pivot Table for Fact Book'!$A$3,"State","WV","Type2","Two-Year")</f>
        <v>101772</v>
      </c>
      <c r="AA41" s="311">
        <f>GETPIVOTDATA("Sum of New UG E-Learning",'Pivot Table for Fact Book'!$A$3,"State","WV","Type2","Two-Year")</f>
        <v>116936</v>
      </c>
      <c r="AB41" s="308">
        <f>+GETPIVOTDATA("Sum of Old UG E-Learning",'Pivot Table for Fact Book'!$A$3,"State","WV","type",12,"type2","Techncial")</f>
        <v>0</v>
      </c>
      <c r="AC41" s="309">
        <f>+GETPIVOTDATA("Sum of New UG E-Learning",'Pivot Table for Fact Book'!$A$3,"State","WV","type",12,"type2","Techncial")</f>
        <v>0</v>
      </c>
      <c r="AD41" s="309">
        <f>+GETPIVOTDATA("Sum of Old UG E-Learning",'Pivot Table for Fact Book'!$A$3,"State","WV","type",13,"type2","Techncial")</f>
        <v>0</v>
      </c>
      <c r="AE41" s="309">
        <f>+GETPIVOTDATA("Sum of New UG E-Learning",'Pivot Table for Fact Book'!$A$3,"State","WV","type",13,"type2","Techncial")</f>
        <v>0</v>
      </c>
      <c r="AF41" s="313">
        <f>+GETPIVOTDATA("Sum of Old UG E-Learning",'Pivot Table for Fact Book'!$A$3,"State","WV","type2","Techncial")</f>
        <v>0</v>
      </c>
      <c r="AG41" s="313">
        <f>+GETPIVOTDATA("Sum of New UG E-Learning",'Pivot Table for Fact Book'!$A$3,"State","WV","type2","Techncial")</f>
        <v>0</v>
      </c>
      <c r="AH41" s="14"/>
    </row>
    <row r="43" spans="1:34" x14ac:dyDescent="0.25">
      <c r="A43" s="298" t="s">
        <v>188</v>
      </c>
    </row>
    <row r="44" spans="1:34" x14ac:dyDescent="0.25">
      <c r="B44" s="124" t="s">
        <v>183</v>
      </c>
      <c r="C44" s="125"/>
      <c r="D44" s="125"/>
      <c r="E44" s="125"/>
      <c r="F44" s="125"/>
      <c r="G44" s="125"/>
      <c r="H44" s="125"/>
      <c r="I44" s="125"/>
      <c r="J44" s="125"/>
      <c r="K44" s="125"/>
      <c r="L44" s="125"/>
      <c r="M44" s="125"/>
      <c r="N44" s="125"/>
      <c r="O44" s="125"/>
      <c r="P44" s="125"/>
      <c r="Q44" s="126"/>
    </row>
    <row r="45" spans="1:34" x14ac:dyDescent="0.25">
      <c r="B45" s="132">
        <v>1</v>
      </c>
      <c r="C45" s="133"/>
      <c r="D45" s="132">
        <v>2</v>
      </c>
      <c r="E45" s="133"/>
      <c r="F45" s="132">
        <v>3</v>
      </c>
      <c r="G45" s="133"/>
      <c r="H45" s="132">
        <v>4</v>
      </c>
      <c r="I45" s="133"/>
      <c r="J45" s="132">
        <v>5</v>
      </c>
      <c r="K45" s="133"/>
      <c r="L45" s="132">
        <v>6</v>
      </c>
      <c r="M45" s="133"/>
      <c r="N45" s="132">
        <v>15</v>
      </c>
      <c r="O45" s="133"/>
      <c r="P45" s="132" t="s">
        <v>186</v>
      </c>
      <c r="Q45" s="134"/>
    </row>
    <row r="46" spans="1:34" x14ac:dyDescent="0.25">
      <c r="B46" s="301">
        <v>2010</v>
      </c>
      <c r="C46" s="302">
        <v>2011</v>
      </c>
      <c r="D46" s="301">
        <v>2010</v>
      </c>
      <c r="E46" s="302">
        <v>2011</v>
      </c>
      <c r="F46" s="301">
        <v>2010</v>
      </c>
      <c r="G46" s="302">
        <v>2011</v>
      </c>
      <c r="H46" s="301">
        <v>2010</v>
      </c>
      <c r="I46" s="302">
        <v>2011</v>
      </c>
      <c r="J46" s="301">
        <v>2010</v>
      </c>
      <c r="K46" s="302">
        <v>2011</v>
      </c>
      <c r="L46" s="301">
        <v>2010</v>
      </c>
      <c r="M46" s="302">
        <v>2011</v>
      </c>
      <c r="N46" s="301">
        <v>2010</v>
      </c>
      <c r="O46" s="302">
        <v>2011</v>
      </c>
      <c r="P46" s="301">
        <v>2010</v>
      </c>
      <c r="Q46" s="302">
        <v>2011</v>
      </c>
      <c r="AH46" s="14"/>
    </row>
    <row r="47" spans="1:34" x14ac:dyDescent="0.25">
      <c r="A47" s="297" t="s">
        <v>141</v>
      </c>
      <c r="B47" s="139">
        <f>GETPIVOTDATA("Sum of Old-Tot G SCH Calc",'Pivot Table for Fact Book'!$A$3,"State","AL","type",1,"Type2","Four-Year")</f>
        <v>235423</v>
      </c>
      <c r="C47" s="140">
        <f>GETPIVOTDATA("Sum of New-Tot G SCH Calc",'Pivot Table for Fact Book'!$A$3,"State","AL","type",1,"Type2","Four-Year")</f>
        <v>240622</v>
      </c>
      <c r="D47" s="139">
        <f>GETPIVOTDATA("Sum of Old-Tot G SCH Calc",'Pivot Table for Fact Book'!$A$3,"State","AL","type",2,"Type2","Four-Year")</f>
        <v>21952</v>
      </c>
      <c r="E47" s="140">
        <f>GETPIVOTDATA("Sum of New-Tot G SCH Calc",'Pivot Table for Fact Book'!$A$3,"State","AL","type",2,"Type2","Four-Year")</f>
        <v>23176</v>
      </c>
      <c r="F47" s="139">
        <f>GETPIVOTDATA("Sum of Old-Tot G SCH Calc",'Pivot Table for Fact Book'!$A$3,"State","AL","type",3,"Type2","Four-Year")</f>
        <v>105605</v>
      </c>
      <c r="G47" s="140">
        <f>GETPIVOTDATA("Sum of New-Tot G SCH Calc",'Pivot Table for Fact Book'!$A$3,"State","AL","type",3,"Type2","Four-Year")</f>
        <v>109587</v>
      </c>
      <c r="H47" s="139">
        <f>GETPIVOTDATA("Sum of Old-Tot G SCH Calc",'Pivot Table for Fact Book'!$A$3,"State","AL","type",4,"Type2","Four-Year")</f>
        <v>49129</v>
      </c>
      <c r="I47" s="140">
        <f>GETPIVOTDATA("Sum of New-Tot G SCH Calc",'Pivot Table for Fact Book'!$A$3,"State","AL","type",4,"Type2","Four-Year")</f>
        <v>45224</v>
      </c>
      <c r="J47" s="139">
        <f>GETPIVOTDATA("Sum of Old-Tot G SCH Calc",'Pivot Table for Fact Book'!$A$3,"State","AL","type",5,"Type2","Four-Year")</f>
        <v>57895</v>
      </c>
      <c r="K47" s="140">
        <f>GETPIVOTDATA("Sum of New-Tot G SCH Calc",'Pivot Table for Fact Book'!$A$3,"State","AL","type",5,"Type2","Four-Year")</f>
        <v>58285</v>
      </c>
      <c r="L47" s="139">
        <f>GETPIVOTDATA("Sum of Old-Tot G SCH Calc",'Pivot Table for Fact Book'!$A$3,"State","AL","type",6,"Type2","Four-Year")</f>
        <v>0</v>
      </c>
      <c r="M47" s="140">
        <f>GETPIVOTDATA("Sum of New-Tot G SCH Calc",'Pivot Table for Fact Book'!$A$3,"State","AL","type",6,"Type2","Four-Year")</f>
        <v>0</v>
      </c>
      <c r="N47" s="139">
        <f>GETPIVOTDATA("Sum of Old-Tot G SCH Calc",'Pivot Table for Fact Book'!$A$3,"State","AL","type",15,"Type2","Four-Year")</f>
        <v>0</v>
      </c>
      <c r="O47" s="140">
        <f>GETPIVOTDATA("Sum of New-Tot G SCH Calc",'Pivot Table for Fact Book'!$A$3,"State","AL","type",15,"Type2","Four-Year")</f>
        <v>0</v>
      </c>
      <c r="P47" s="141">
        <f>GETPIVOTDATA("Sum of Old-Tot G SCH Calc",'Pivot Table for Fact Book'!$A$3,"State","AL","Type2","Four-Year")</f>
        <v>470004</v>
      </c>
      <c r="Q47" s="141">
        <f>GETPIVOTDATA("Sum of New-Tot G SCH Calc",'Pivot Table for Fact Book'!$A$3,"State","AL","Type2","Four-Year")</f>
        <v>476894</v>
      </c>
      <c r="AH47" s="14"/>
    </row>
    <row r="48" spans="1:34" x14ac:dyDescent="0.25">
      <c r="A48" s="297" t="s">
        <v>142</v>
      </c>
      <c r="B48" s="139">
        <f>GETPIVOTDATA("Sum of Old-Tot G SCH Calc",'Pivot Table for Fact Book'!$A$3,"State","AR","type",1,"Type2","Four-Year")</f>
        <v>75584</v>
      </c>
      <c r="C48" s="140">
        <f>GETPIVOTDATA("Sum of New-Tot G SCH Calc",'Pivot Table for Fact Book'!$A$3,"State","AR","type",1,"Type2","Four-Year")</f>
        <v>77183</v>
      </c>
      <c r="D48" s="139">
        <f>GETPIVOTDATA("Sum of Old-Tot G SCH Calc",'Pivot Table for Fact Book'!$A$3,"State","AR","type",2,"Type2","Four-Year")</f>
        <v>0</v>
      </c>
      <c r="E48" s="140">
        <f>GETPIVOTDATA("Sum of New-Tot G SCH Calc",'Pivot Table for Fact Book'!$A$3,"State","AR","type",2,"Type2","Four-Year")</f>
        <v>0</v>
      </c>
      <c r="F48" s="139">
        <f>GETPIVOTDATA("Sum of Old-Tot G SCH Calc",'Pivot Table for Fact Book'!$A$3,"State","AR","type",3,"Type2","Four-Year")</f>
        <v>153797</v>
      </c>
      <c r="G48" s="140">
        <f>GETPIVOTDATA("Sum of New-Tot G SCH Calc",'Pivot Table for Fact Book'!$A$3,"State","AR","type",3,"Type2","Four-Year")</f>
        <v>166189</v>
      </c>
      <c r="H48" s="139">
        <f>GETPIVOTDATA("Sum of Old-Tot G SCH Calc",'Pivot Table for Fact Book'!$A$3,"State","AR","type",4,"Type2","Four-Year")</f>
        <v>28370</v>
      </c>
      <c r="I48" s="140">
        <f>GETPIVOTDATA("Sum of New-Tot G SCH Calc",'Pivot Table for Fact Book'!$A$3,"State","AR","type",4,"Type2","Four-Year")</f>
        <v>28836</v>
      </c>
      <c r="J48" s="139">
        <f>GETPIVOTDATA("Sum of Old-Tot G SCH Calc",'Pivot Table for Fact Book'!$A$3,"State","AR","type",5,"Type2","Four-Year")</f>
        <v>2591</v>
      </c>
      <c r="K48" s="140">
        <f>GETPIVOTDATA("Sum of New-Tot G SCH Calc",'Pivot Table for Fact Book'!$A$3,"State","AR","type",5,"Type2","Four-Year")</f>
        <v>2079</v>
      </c>
      <c r="L48" s="139">
        <f>GETPIVOTDATA("Sum of Old-Tot G SCH Calc",'Pivot Table for Fact Book'!$A$3,"State","AR","type",6,"Type2","Four-Year")</f>
        <v>2132</v>
      </c>
      <c r="M48" s="140">
        <f>GETPIVOTDATA("Sum of New-Tot G SCH Calc",'Pivot Table for Fact Book'!$A$3,"State","AR","type",6,"Type2","Four-Year")</f>
        <v>1885</v>
      </c>
      <c r="N48" s="139">
        <f>GETPIVOTDATA("Sum of Old-Tot G SCH Calc",'Pivot Table for Fact Book'!$A$3,"State","AR","type",15,"Type2","Four-Year")</f>
        <v>0</v>
      </c>
      <c r="O48" s="140">
        <f>GETPIVOTDATA("Sum of New-Tot G SCH Calc",'Pivot Table for Fact Book'!$A$3,"State","AR","type",15,"Type2","Four-Year")</f>
        <v>0</v>
      </c>
      <c r="P48" s="141">
        <f>GETPIVOTDATA("Sum of Old-Tot G SCH Calc",'Pivot Table for Fact Book'!$A$3,"State","AR","Type2","Four-Year")</f>
        <v>262474</v>
      </c>
      <c r="Q48" s="141">
        <f>GETPIVOTDATA("Sum of New-Tot G SCH Calc",'Pivot Table for Fact Book'!$A$3,"State","AR","Type2","Four-Year")</f>
        <v>276172</v>
      </c>
      <c r="AH48" s="14"/>
    </row>
    <row r="49" spans="1:34" x14ac:dyDescent="0.25">
      <c r="A49" s="297" t="s">
        <v>143</v>
      </c>
      <c r="B49" s="139">
        <f>GETPIVOTDATA("Sum of Old-Tot G SCH Calc",'Pivot Table for Fact Book'!$A$3,"State","DE","type",1,"Type2","Four-Year")</f>
        <v>54654</v>
      </c>
      <c r="C49" s="140">
        <f>GETPIVOTDATA("Sum of New-Tot G SCH Calc",'Pivot Table for Fact Book'!$A$3,"State","DE","type",1,"Type2","Four-Year")</f>
        <v>51744</v>
      </c>
      <c r="D49" s="139">
        <f>GETPIVOTDATA("Sum of Old-Tot G SCH Calc",'Pivot Table for Fact Book'!$A$3,"State","DE","type",2,"Type2","Four-Year")</f>
        <v>0</v>
      </c>
      <c r="E49" s="140">
        <f>GETPIVOTDATA("Sum of New-Tot G SCH Calc",'Pivot Table for Fact Book'!$A$3,"State","DE","type",2,"Type2","Four-Year")</f>
        <v>0</v>
      </c>
      <c r="F49" s="139">
        <f>GETPIVOTDATA("Sum of Old-Tot G SCH Calc",'Pivot Table for Fact Book'!$A$3,"State","DE","type",3,"Type2","Four-Year")</f>
        <v>0</v>
      </c>
      <c r="G49" s="140">
        <f>GETPIVOTDATA("Sum of New-Tot G SCH Calc",'Pivot Table for Fact Book'!$A$3,"State","DE","type",3,"Type2","Four-Year")</f>
        <v>0</v>
      </c>
      <c r="H49" s="139">
        <f>GETPIVOTDATA("Sum of Old-Tot G SCH Calc",'Pivot Table for Fact Book'!$A$3,"State","DE","type",4,"Type2","Four-Year")</f>
        <v>8878</v>
      </c>
      <c r="I49" s="140">
        <f>GETPIVOTDATA("Sum of New-Tot G SCH Calc",'Pivot Table for Fact Book'!$A$3,"State","DE","type",4,"Type2","Four-Year")</f>
        <v>11247</v>
      </c>
      <c r="J49" s="139">
        <f>GETPIVOTDATA("Sum of Old-Tot G SCH Calc",'Pivot Table for Fact Book'!$A$3,"State","DE","type",5,"Type2","Four-Year")</f>
        <v>0</v>
      </c>
      <c r="K49" s="140">
        <f>GETPIVOTDATA("Sum of New-Tot G SCH Calc",'Pivot Table for Fact Book'!$A$3,"State","DE","type",5,"Type2","Four-Year")</f>
        <v>0</v>
      </c>
      <c r="L49" s="139">
        <f>GETPIVOTDATA("Sum of Old-Tot G SCH Calc",'Pivot Table for Fact Book'!$A$3,"State","DE","type",6,"Type2","Four-Year")</f>
        <v>0</v>
      </c>
      <c r="M49" s="140">
        <f>GETPIVOTDATA("Sum of New-Tot G SCH Calc",'Pivot Table for Fact Book'!$A$3,"State","DE","type",6,"Type2","Four-Year")</f>
        <v>0</v>
      </c>
      <c r="N49" s="139">
        <f>GETPIVOTDATA("Sum of Old-Tot G SCH Calc",'Pivot Table for Fact Book'!$A$3,"State","DE","type",15,"Type2","Four-Year")</f>
        <v>0</v>
      </c>
      <c r="O49" s="140">
        <f>GETPIVOTDATA("Sum of New-Tot G SCH Calc",'Pivot Table for Fact Book'!$A$3,"State","DE","type",15,"Type2","Four-Year")</f>
        <v>0</v>
      </c>
      <c r="P49" s="141">
        <f>GETPIVOTDATA("Sum of Old-Tot G SCH Calc",'Pivot Table for Fact Book'!$A$3,"State","DE","Type2","Four-Year")</f>
        <v>63532</v>
      </c>
      <c r="Q49" s="141">
        <f>GETPIVOTDATA("Sum of New-Tot G SCH Calc",'Pivot Table for Fact Book'!$A$3,"State","DE","Type2","Four-Year")</f>
        <v>62991</v>
      </c>
      <c r="AH49" s="14"/>
    </row>
    <row r="50" spans="1:34" x14ac:dyDescent="0.25">
      <c r="A50" s="297" t="s">
        <v>144</v>
      </c>
      <c r="B50" s="139">
        <f>GETPIVOTDATA("Sum of Old-Tot G SCH Calc",'Pivot Table for Fact Book'!$A$3,"State","FL","type",1,"Type2","Four-Year")</f>
        <v>1045371</v>
      </c>
      <c r="C50" s="140">
        <f>GETPIVOTDATA("Sum of New-Tot G SCH Calc",'Pivot Table for Fact Book'!$A$3,"State","FL","type",1,"Type2","Four-Year")</f>
        <v>1019154</v>
      </c>
      <c r="D50" s="139">
        <f>GETPIVOTDATA("Sum of Old-Tot G SCH Calc",'Pivot Table for Fact Book'!$A$3,"State","FL","type",2,"Type2","Four-Year")</f>
        <v>80819</v>
      </c>
      <c r="E50" s="140">
        <f>GETPIVOTDATA("Sum of New-Tot G SCH Calc",'Pivot Table for Fact Book'!$A$3,"State","FL","type",2,"Type2","Four-Year")</f>
        <v>78558</v>
      </c>
      <c r="F50" s="139">
        <f>GETPIVOTDATA("Sum of Old-Tot G SCH Calc",'Pivot Table for Fact Book'!$A$3,"State","FL","type",3,"Type2","Four-Year")</f>
        <v>114242</v>
      </c>
      <c r="G50" s="140">
        <f>GETPIVOTDATA("Sum of New-Tot G SCH Calc",'Pivot Table for Fact Book'!$A$3,"State","FL","type",3,"Type2","Four-Year")</f>
        <v>114575.5</v>
      </c>
      <c r="H50" s="139">
        <f>GETPIVOTDATA("Sum of Old-Tot G SCH Calc",'Pivot Table for Fact Book'!$A$3,"State","FL","type",4,"Type2","Four-Year")</f>
        <v>24078</v>
      </c>
      <c r="I50" s="140">
        <f>GETPIVOTDATA("Sum of New-Tot G SCH Calc",'Pivot Table for Fact Book'!$A$3,"State","FL","type",4,"Type2","Four-Year")</f>
        <v>23963</v>
      </c>
      <c r="J50" s="139">
        <f>GETPIVOTDATA("Sum of Old-Tot G SCH Calc",'Pivot Table for Fact Book'!$A$3,"State","FL","type",5,"Type2","Four-Year")</f>
        <v>0</v>
      </c>
      <c r="K50" s="140">
        <f>GETPIVOTDATA("Sum of New-Tot G SCH Calc",'Pivot Table for Fact Book'!$A$3,"State","FL","type",5,"Type2","Four-Year")</f>
        <v>0</v>
      </c>
      <c r="L50" s="139">
        <f>GETPIVOTDATA("Sum of Old-Tot G SCH Calc",'Pivot Table for Fact Book'!$A$3,"State","FL","type",6,"Type2","Four-Year")</f>
        <v>0</v>
      </c>
      <c r="M50" s="140">
        <f>GETPIVOTDATA("Sum of New-Tot G SCH Calc",'Pivot Table for Fact Book'!$A$3,"State","FL","type",6,"Type2","Four-Year")</f>
        <v>0</v>
      </c>
      <c r="N50" s="139">
        <f>GETPIVOTDATA("Sum of Old-Tot G SCH Calc",'Pivot Table for Fact Book'!$A$3,"State","FL","type",15,"Type2","Four-Year")</f>
        <v>0</v>
      </c>
      <c r="O50" s="140">
        <f>GETPIVOTDATA("Sum of New-Tot G SCH Calc",'Pivot Table for Fact Book'!$A$3,"State","FL","type",15,"Type2","Four-Year")</f>
        <v>0</v>
      </c>
      <c r="P50" s="141">
        <f>GETPIVOTDATA("Sum of Old-Tot G SCH Calc",'Pivot Table for Fact Book'!$A$3,"State","FL","Type2","Four-Year")</f>
        <v>1264510</v>
      </c>
      <c r="Q50" s="141">
        <f>GETPIVOTDATA("Sum of New-Tot G SCH Calc",'Pivot Table for Fact Book'!$A$3,"State","FL","Type2","Four-Year")</f>
        <v>1236250.5</v>
      </c>
      <c r="AH50" s="14"/>
    </row>
    <row r="51" spans="1:34" x14ac:dyDescent="0.25">
      <c r="A51" s="297" t="s">
        <v>145</v>
      </c>
      <c r="B51" s="139">
        <f>GETPIVOTDATA("Sum of Old-Tot G SCH Calc",'Pivot Table for Fact Book'!$A$3,"State","GA","type",1,"Type2","Four-Year")</f>
        <v>0</v>
      </c>
      <c r="C51" s="140">
        <f>GETPIVOTDATA("Sum of New-Tot G SCH Calc",'Pivot Table for Fact Book'!$A$3,"State","GA","type",1,"Type2","Four-Year")</f>
        <v>0</v>
      </c>
      <c r="D51" s="139">
        <f>GETPIVOTDATA("Sum of Old-Tot G SCH Calc",'Pivot Table for Fact Book'!$A$3,"State","GA","type",2,"Type2","Four-Year")</f>
        <v>0</v>
      </c>
      <c r="E51" s="140">
        <f>GETPIVOTDATA("Sum of New-Tot G SCH Calc",'Pivot Table for Fact Book'!$A$3,"State","GA","type",2,"Type2","Four-Year")</f>
        <v>0</v>
      </c>
      <c r="F51" s="139">
        <f>GETPIVOTDATA("Sum of Old-Tot G SCH Calc",'Pivot Table for Fact Book'!$A$3,"State","GA","type",3,"Type2","Four-Year")</f>
        <v>0</v>
      </c>
      <c r="G51" s="140">
        <f>GETPIVOTDATA("Sum of New-Tot G SCH Calc",'Pivot Table for Fact Book'!$A$3,"State","GA","type",3,"Type2","Four-Year")</f>
        <v>0</v>
      </c>
      <c r="H51" s="139">
        <f>GETPIVOTDATA("Sum of Old-Tot G SCH Calc",'Pivot Table for Fact Book'!$A$3,"State","GA","type",4,"Type2","Four-Year")</f>
        <v>0</v>
      </c>
      <c r="I51" s="140">
        <f>GETPIVOTDATA("Sum of New-Tot G SCH Calc",'Pivot Table for Fact Book'!$A$3,"State","GA","type",4,"Type2","Four-Year")</f>
        <v>0</v>
      </c>
      <c r="J51" s="139">
        <f>GETPIVOTDATA("Sum of Old-Tot G SCH Calc",'Pivot Table for Fact Book'!$A$3,"State","GA","type",5,"Type2","Four-Year")</f>
        <v>0</v>
      </c>
      <c r="K51" s="140">
        <f>GETPIVOTDATA("Sum of New-Tot G SCH Calc",'Pivot Table for Fact Book'!$A$3,"State","GA","type",5,"Type2","Four-Year")</f>
        <v>0</v>
      </c>
      <c r="L51" s="139">
        <f>GETPIVOTDATA("Sum of Old-Tot G SCH Calc",'Pivot Table for Fact Book'!$A$3,"State","GA","type",6,"Type2","Four-Year")</f>
        <v>0</v>
      </c>
      <c r="M51" s="140">
        <f>GETPIVOTDATA("Sum of New-Tot G SCH Calc",'Pivot Table for Fact Book'!$A$3,"State","GA","type",6,"Type2","Four-Year")</f>
        <v>0</v>
      </c>
      <c r="N51" s="139">
        <f>GETPIVOTDATA("Sum of Old-Tot G SCH Calc",'Pivot Table for Fact Book'!$A$3,"State","GA","type",15,"Type2","Four-Year")</f>
        <v>0</v>
      </c>
      <c r="O51" s="140">
        <f>GETPIVOTDATA("Sum of New-Tot G SCH Calc",'Pivot Table for Fact Book'!$A$3,"State","GA","type",15,"Type2","Four-Year")</f>
        <v>0</v>
      </c>
      <c r="P51" s="141">
        <f>GETPIVOTDATA("Sum of Old-Tot G SCH Calc",'Pivot Table for Fact Book'!$A$3,"State","GA","Type2","Four-Year")</f>
        <v>0</v>
      </c>
      <c r="Q51" s="141">
        <f>GETPIVOTDATA("Sum of New-Tot G SCH Calc",'Pivot Table for Fact Book'!$A$3,"State","GA","Type2","Four-Year")</f>
        <v>0</v>
      </c>
      <c r="AH51" s="14"/>
    </row>
    <row r="52" spans="1:34" x14ac:dyDescent="0.25">
      <c r="A52" s="297" t="s">
        <v>146</v>
      </c>
      <c r="B52" s="139">
        <f>GETPIVOTDATA("Sum of Old-Tot G SCH Calc",'Pivot Table for Fact Book'!$A$3,"State","KY","type",1,"Type2","Four-Year")</f>
        <v>158576</v>
      </c>
      <c r="C52" s="140">
        <f>GETPIVOTDATA("Sum of New-Tot G SCH Calc",'Pivot Table for Fact Book'!$A$3,"State","KY","type",1,"Type2","Four-Year")</f>
        <v>163831</v>
      </c>
      <c r="D52" s="139">
        <f>GETPIVOTDATA("Sum of Old-Tot G SCH Calc",'Pivot Table for Fact Book'!$A$3,"State","KY","type",2,"Type2","Four-Year")</f>
        <v>0</v>
      </c>
      <c r="E52" s="140">
        <f>GETPIVOTDATA("Sum of New-Tot G SCH Calc",'Pivot Table for Fact Book'!$A$3,"State","KY","type",2,"Type2","Four-Year")</f>
        <v>0</v>
      </c>
      <c r="F52" s="139">
        <f>GETPIVOTDATA("Sum of Old-Tot G SCH Calc",'Pivot Table for Fact Book'!$A$3,"State","KY","type",3,"Type2","Four-Year")</f>
        <v>127279</v>
      </c>
      <c r="G52" s="140">
        <f>GETPIVOTDATA("Sum of New-Tot G SCH Calc",'Pivot Table for Fact Book'!$A$3,"State","KY","type",3,"Type2","Four-Year")</f>
        <v>141565.5</v>
      </c>
      <c r="H52" s="139">
        <f>GETPIVOTDATA("Sum of Old-Tot G SCH Calc",'Pivot Table for Fact Book'!$A$3,"State","KY","type",4,"Type2","Four-Year")</f>
        <v>41099</v>
      </c>
      <c r="I52" s="140">
        <f>GETPIVOTDATA("Sum of New-Tot G SCH Calc",'Pivot Table for Fact Book'!$A$3,"State","KY","type",4,"Type2","Four-Year")</f>
        <v>45328</v>
      </c>
      <c r="J52" s="139">
        <f>GETPIVOTDATA("Sum of Old-Tot G SCH Calc",'Pivot Table for Fact Book'!$A$3,"State","KY","type",5,"Type2","Four-Year")</f>
        <v>0</v>
      </c>
      <c r="K52" s="140">
        <f>GETPIVOTDATA("Sum of New-Tot G SCH Calc",'Pivot Table for Fact Book'!$A$3,"State","KY","type",5,"Type2","Four-Year")</f>
        <v>0</v>
      </c>
      <c r="L52" s="139">
        <f>GETPIVOTDATA("Sum of Old-Tot G SCH Calc",'Pivot Table for Fact Book'!$A$3,"State","KY","type",6,"Type2","Four-Year")</f>
        <v>0</v>
      </c>
      <c r="M52" s="140">
        <f>GETPIVOTDATA("Sum of New-Tot G SCH Calc",'Pivot Table for Fact Book'!$A$3,"State","KY","type",6,"Type2","Four-Year")</f>
        <v>0</v>
      </c>
      <c r="N52" s="139">
        <f>GETPIVOTDATA("Sum of Old-Tot G SCH Calc",'Pivot Table for Fact Book'!$A$3,"State","KY","type",15,"Type2","Four-Year")</f>
        <v>0</v>
      </c>
      <c r="O52" s="140">
        <f>GETPIVOTDATA("Sum of New-Tot G SCH Calc",'Pivot Table for Fact Book'!$A$3,"State","KY","type",15,"Type2","Four-Year")</f>
        <v>0</v>
      </c>
      <c r="P52" s="141">
        <f>GETPIVOTDATA("Sum of Old-Tot G SCH Calc",'Pivot Table for Fact Book'!$A$3,"State","KY","Type2","Four-Year")</f>
        <v>326954</v>
      </c>
      <c r="Q52" s="141">
        <f>GETPIVOTDATA("Sum of New-Tot G SCH Calc",'Pivot Table for Fact Book'!$A$3,"State","KY","Type2","Four-Year")</f>
        <v>350724.5</v>
      </c>
      <c r="AH52" s="14"/>
    </row>
    <row r="53" spans="1:34" x14ac:dyDescent="0.25">
      <c r="A53" s="297" t="s">
        <v>147</v>
      </c>
      <c r="B53" s="139">
        <f>GETPIVOTDATA("Sum of Old-Tot G SCH Calc",'Pivot Table for Fact Book'!$A$3,"State","LA","type",1,"Type2","Four-Year")</f>
        <v>0</v>
      </c>
      <c r="C53" s="140">
        <f>GETPIVOTDATA("Sum of New-Tot G SCH Calc",'Pivot Table for Fact Book'!$A$3,"State","LA","type",1,"Type2","Four-Year")</f>
        <v>0</v>
      </c>
      <c r="D53" s="139">
        <f>GETPIVOTDATA("Sum of Old-Tot G SCH Calc",'Pivot Table for Fact Book'!$A$3,"State","LA","type",2,"Type2","Four-Year")</f>
        <v>0</v>
      </c>
      <c r="E53" s="140">
        <f>GETPIVOTDATA("Sum of New-Tot G SCH Calc",'Pivot Table for Fact Book'!$A$3,"State","LA","type",2,"Type2","Four-Year")</f>
        <v>0</v>
      </c>
      <c r="F53" s="139">
        <f>GETPIVOTDATA("Sum of Old-Tot G SCH Calc",'Pivot Table for Fact Book'!$A$3,"State","LA","type",3,"Type2","Four-Year")</f>
        <v>0</v>
      </c>
      <c r="G53" s="140">
        <f>GETPIVOTDATA("Sum of New-Tot G SCH Calc",'Pivot Table for Fact Book'!$A$3,"State","LA","type",3,"Type2","Four-Year")</f>
        <v>0</v>
      </c>
      <c r="H53" s="139">
        <f>GETPIVOTDATA("Sum of Old-Tot G SCH Calc",'Pivot Table for Fact Book'!$A$3,"State","LA","type",4,"Type2","Four-Year")</f>
        <v>0</v>
      </c>
      <c r="I53" s="140">
        <f>GETPIVOTDATA("Sum of New-Tot G SCH Calc",'Pivot Table for Fact Book'!$A$3,"State","LA","type",4,"Type2","Four-Year")</f>
        <v>0</v>
      </c>
      <c r="J53" s="139">
        <f>GETPIVOTDATA("Sum of Old-Tot G SCH Calc",'Pivot Table for Fact Book'!$A$3,"State","LA","type",5,"Type2","Four-Year")</f>
        <v>0</v>
      </c>
      <c r="K53" s="140">
        <f>GETPIVOTDATA("Sum of New-Tot G SCH Calc",'Pivot Table for Fact Book'!$A$3,"State","LA","type",5,"Type2","Four-Year")</f>
        <v>0</v>
      </c>
      <c r="L53" s="139">
        <f>GETPIVOTDATA("Sum of Old-Tot G SCH Calc",'Pivot Table for Fact Book'!$A$3,"State","LA","type",6,"Type2","Four-Year")</f>
        <v>0</v>
      </c>
      <c r="M53" s="140">
        <f>GETPIVOTDATA("Sum of New-Tot G SCH Calc",'Pivot Table for Fact Book'!$A$3,"State","LA","type",6,"Type2","Four-Year")</f>
        <v>0</v>
      </c>
      <c r="N53" s="139">
        <f>GETPIVOTDATA("Sum of Old-Tot G SCH Calc",'Pivot Table for Fact Book'!$A$3,"State","LA","type",15,"Type2","Four-Year")</f>
        <v>0</v>
      </c>
      <c r="O53" s="140">
        <f>GETPIVOTDATA("Sum of New-Tot G SCH Calc",'Pivot Table for Fact Book'!$A$3,"State","LA","type",15,"Type2","Four-Year")</f>
        <v>0</v>
      </c>
      <c r="P53" s="141">
        <f>GETPIVOTDATA("Sum of Old-Tot G SCH Calc",'Pivot Table for Fact Book'!$A$3,"State","LA","Type2","Four-Year")</f>
        <v>0</v>
      </c>
      <c r="Q53" s="141">
        <f>GETPIVOTDATA("Sum of New-Tot G SCH Calc",'Pivot Table for Fact Book'!$A$3,"State","LA","Type2","Four-Year")</f>
        <v>0</v>
      </c>
      <c r="AH53" s="14"/>
    </row>
    <row r="54" spans="1:34" x14ac:dyDescent="0.25">
      <c r="A54" s="297" t="s">
        <v>177</v>
      </c>
      <c r="B54" s="139">
        <f>GETPIVOTDATA("Sum of Old-Tot G SCH Calc",'Pivot Table for Fact Book'!$A$3,"State","MD","type",1,"Type2","Four-Year")</f>
        <v>156544.5</v>
      </c>
      <c r="C54" s="140">
        <f>GETPIVOTDATA("Sum of New-Tot G SCH Calc",'Pivot Table for Fact Book'!$A$3,"State","MD","type",1,"Type2","Four-Year")</f>
        <v>158873</v>
      </c>
      <c r="D54" s="139">
        <f>GETPIVOTDATA("Sum of Old-Tot G SCH Calc",'Pivot Table for Fact Book'!$A$3,"State","MD","type",2,"Type2","Four-Year")</f>
        <v>53309</v>
      </c>
      <c r="E54" s="140">
        <f>GETPIVOTDATA("Sum of New-Tot G SCH Calc",'Pivot Table for Fact Book'!$A$3,"State","MD","type",2,"Type2","Four-Year")</f>
        <v>54431</v>
      </c>
      <c r="F54" s="139">
        <f>GETPIVOTDATA("Sum of Old-Tot G SCH Calc",'Pivot Table for Fact Book'!$A$3,"State","MD","type",3,"Type2","Four-Year")</f>
        <v>58131.5</v>
      </c>
      <c r="G54" s="140">
        <f>GETPIVOTDATA("Sum of New-Tot G SCH Calc",'Pivot Table for Fact Book'!$A$3,"State","MD","type",3,"Type2","Four-Year")</f>
        <v>57519</v>
      </c>
      <c r="H54" s="139">
        <f>GETPIVOTDATA("Sum of Old-Tot G SCH Calc",'Pivot Table for Fact Book'!$A$3,"State","MD","type",4,"Type2","Four-Year")</f>
        <v>191450</v>
      </c>
      <c r="I54" s="140">
        <f>GETPIVOTDATA("Sum of New-Tot G SCH Calc",'Pivot Table for Fact Book'!$A$3,"State","MD","type",4,"Type2","Four-Year")</f>
        <v>115885</v>
      </c>
      <c r="J54" s="139">
        <f>GETPIVOTDATA("Sum of Old-Tot G SCH Calc",'Pivot Table for Fact Book'!$A$3,"State","MD","type",5,"Type2","Four-Year")</f>
        <v>0</v>
      </c>
      <c r="K54" s="140">
        <f>GETPIVOTDATA("Sum of New-Tot G SCH Calc",'Pivot Table for Fact Book'!$A$3,"State","MD","type",5,"Type2","Four-Year")</f>
        <v>0</v>
      </c>
      <c r="L54" s="139">
        <f>GETPIVOTDATA("Sum of Old-Tot G SCH Calc",'Pivot Table for Fact Book'!$A$3,"State","MD","type",6,"Type2","Four-Year")</f>
        <v>1937</v>
      </c>
      <c r="M54" s="140">
        <f>GETPIVOTDATA("Sum of New-Tot G SCH Calc",'Pivot Table for Fact Book'!$A$3,"State","MD","type",6,"Type2","Four-Year")</f>
        <v>1577</v>
      </c>
      <c r="N54" s="139">
        <f>GETPIVOTDATA("Sum of Old-Tot G SCH Calc",'Pivot Table for Fact Book'!$A$3,"State","MD","type",15,"Type2","Four-Year")</f>
        <v>173875</v>
      </c>
      <c r="O54" s="140">
        <f>GETPIVOTDATA("Sum of New-Tot G SCH Calc",'Pivot Table for Fact Book'!$A$3,"State","MD","type",15,"Type2","Four-Year")</f>
        <v>189917</v>
      </c>
      <c r="P54" s="141">
        <f>GETPIVOTDATA("Sum of Old-Tot G SCH Calc",'Pivot Table for Fact Book'!$A$3,"State","MD","Type2","Four-Year")</f>
        <v>635247</v>
      </c>
      <c r="Q54" s="141">
        <f>GETPIVOTDATA("Sum of New-Tot G SCH Calc",'Pivot Table for Fact Book'!$A$3,"State","MD","Type2","Four-Year")</f>
        <v>578202</v>
      </c>
      <c r="AH54" s="14"/>
    </row>
    <row r="55" spans="1:34" x14ac:dyDescent="0.25">
      <c r="A55" s="297" t="s">
        <v>148</v>
      </c>
      <c r="B55" s="139">
        <f>GETPIVOTDATA("Sum of Old-Tot G SCH Calc",'Pivot Table for Fact Book'!$A$3,"State","MS","type",1,"Type2","Four-Year")</f>
        <v>124105</v>
      </c>
      <c r="C55" s="140">
        <f>GETPIVOTDATA("Sum of New-Tot G SCH Calc",'Pivot Table for Fact Book'!$A$3,"State","MS","type",1,"Type2","Four-Year")</f>
        <v>123248</v>
      </c>
      <c r="D55" s="139">
        <f>GETPIVOTDATA("Sum of Old-Tot G SCH Calc",'Pivot Table for Fact Book'!$A$3,"State","MS","type",2,"Type2","Four-Year")</f>
        <v>87762.5</v>
      </c>
      <c r="E55" s="140">
        <f>GETPIVOTDATA("Sum of New-Tot G SCH Calc",'Pivot Table for Fact Book'!$A$3,"State","MS","type",2,"Type2","Four-Year")</f>
        <v>92928</v>
      </c>
      <c r="F55" s="139">
        <f>GETPIVOTDATA("Sum of Old-Tot G SCH Calc",'Pivot Table for Fact Book'!$A$3,"State","MS","type",3,"Type2","Four-Year")</f>
        <v>0</v>
      </c>
      <c r="G55" s="140">
        <f>GETPIVOTDATA("Sum of New-Tot G SCH Calc",'Pivot Table for Fact Book'!$A$3,"State","MS","type",3,"Type2","Four-Year")</f>
        <v>0</v>
      </c>
      <c r="H55" s="139">
        <f>GETPIVOTDATA("Sum of Old-Tot G SCH Calc",'Pivot Table for Fact Book'!$A$3,"State","MS","type",4,"Type2","Four-Year")</f>
        <v>38310</v>
      </c>
      <c r="I55" s="140">
        <f>GETPIVOTDATA("Sum of New-Tot G SCH Calc",'Pivot Table for Fact Book'!$A$3,"State","MS","type",4,"Type2","Four-Year")</f>
        <v>46157</v>
      </c>
      <c r="J55" s="139">
        <f>GETPIVOTDATA("Sum of Old-Tot G SCH Calc",'Pivot Table for Fact Book'!$A$3,"State","MS","type",5,"Type2","Four-Year")</f>
        <v>4501</v>
      </c>
      <c r="K55" s="140">
        <f>GETPIVOTDATA("Sum of New-Tot G SCH Calc",'Pivot Table for Fact Book'!$A$3,"State","MS","type",5,"Type2","Four-Year")</f>
        <v>4260</v>
      </c>
      <c r="L55" s="139">
        <f>GETPIVOTDATA("Sum of Old-Tot G SCH Calc",'Pivot Table for Fact Book'!$A$3,"State","MS","type",6,"Type2","Four-Year")</f>
        <v>0</v>
      </c>
      <c r="M55" s="140">
        <f>GETPIVOTDATA("Sum of New-Tot G SCH Calc",'Pivot Table for Fact Book'!$A$3,"State","MS","type",6,"Type2","Four-Year")</f>
        <v>0</v>
      </c>
      <c r="N55" s="139">
        <f>GETPIVOTDATA("Sum of Old-Tot G SCH Calc",'Pivot Table for Fact Book'!$A$3,"State","MS","type",15,"Type2","Four-Year")</f>
        <v>0</v>
      </c>
      <c r="O55" s="140">
        <f>GETPIVOTDATA("Sum of New-Tot G SCH Calc",'Pivot Table for Fact Book'!$A$3,"State","MS","type",15,"Type2","Four-Year")</f>
        <v>0</v>
      </c>
      <c r="P55" s="141">
        <f>GETPIVOTDATA("Sum of Old-Tot G SCH Calc",'Pivot Table for Fact Book'!$A$3,"State","MS","Type2","Four-Year")</f>
        <v>254678.5</v>
      </c>
      <c r="Q55" s="141">
        <f>GETPIVOTDATA("Sum of New-Tot G SCH Calc",'Pivot Table for Fact Book'!$A$3,"State","MS","Type2","Four-Year")</f>
        <v>266593</v>
      </c>
      <c r="AH55" s="14"/>
    </row>
    <row r="56" spans="1:34" x14ac:dyDescent="0.25">
      <c r="A56" s="297" t="s">
        <v>149</v>
      </c>
      <c r="B56" s="139">
        <f>GETPIVOTDATA("Sum of Old-Tot G SCH Calc",'Pivot Table for Fact Book'!$A$3,"State","NC","type",1,"Type2","Four-Year")</f>
        <v>398794</v>
      </c>
      <c r="C56" s="140">
        <f>GETPIVOTDATA("Sum of New-Tot G SCH Calc",'Pivot Table for Fact Book'!$A$3,"State","NC","type",1,"Type2","Four-Year")</f>
        <v>400538</v>
      </c>
      <c r="D56" s="139">
        <f>GETPIVOTDATA("Sum of Old-Tot G SCH Calc",'Pivot Table for Fact Book'!$A$3,"State","NC","type",2,"Type2","Four-Year")</f>
        <v>74936</v>
      </c>
      <c r="E56" s="140">
        <f>GETPIVOTDATA("Sum of New-Tot G SCH Calc",'Pivot Table for Fact Book'!$A$3,"State","NC","type",2,"Type2","Four-Year")</f>
        <v>71816</v>
      </c>
      <c r="F56" s="139">
        <f>GETPIVOTDATA("Sum of Old-Tot G SCH Calc",'Pivot Table for Fact Book'!$A$3,"State","NC","type",3,"Type2","Four-Year")</f>
        <v>278815</v>
      </c>
      <c r="G56" s="140">
        <f>GETPIVOTDATA("Sum of New-Tot G SCH Calc",'Pivot Table for Fact Book'!$A$3,"State","NC","type",3,"Type2","Four-Year")</f>
        <v>266291</v>
      </c>
      <c r="H56" s="139">
        <f>GETPIVOTDATA("Sum of Old-Tot G SCH Calc",'Pivot Table for Fact Book'!$A$3,"State","NC","type",4,"Type2","Four-Year")</f>
        <v>9471</v>
      </c>
      <c r="I56" s="140">
        <f>GETPIVOTDATA("Sum of New-Tot G SCH Calc",'Pivot Table for Fact Book'!$A$3,"State","NC","type",4,"Type2","Four-Year")</f>
        <v>10848</v>
      </c>
      <c r="J56" s="139">
        <f>GETPIVOTDATA("Sum of Old-Tot G SCH Calc",'Pivot Table for Fact Book'!$A$3,"State","NC","type",5,"Type2","Four-Year")</f>
        <v>21876</v>
      </c>
      <c r="K56" s="140">
        <f>GETPIVOTDATA("Sum of New-Tot G SCH Calc",'Pivot Table for Fact Book'!$A$3,"State","NC","type",5,"Type2","Four-Year")</f>
        <v>23028</v>
      </c>
      <c r="L56" s="139">
        <f>GETPIVOTDATA("Sum of Old-Tot G SCH Calc",'Pivot Table for Fact Book'!$A$3,"State","NC","type",6,"Type2","Four-Year")</f>
        <v>1519</v>
      </c>
      <c r="M56" s="140">
        <f>GETPIVOTDATA("Sum of New-Tot G SCH Calc",'Pivot Table for Fact Book'!$A$3,"State","NC","type",6,"Type2","Four-Year")</f>
        <v>2072</v>
      </c>
      <c r="N56" s="139">
        <f>GETPIVOTDATA("Sum of Old-Tot G SCH Calc",'Pivot Table for Fact Book'!$A$3,"State","NC","type",15,"Type2","Four-Year")</f>
        <v>0</v>
      </c>
      <c r="O56" s="140">
        <f>GETPIVOTDATA("Sum of New-Tot G SCH Calc",'Pivot Table for Fact Book'!$A$3,"State","NC","type",15,"Type2","Four-Year")</f>
        <v>0</v>
      </c>
      <c r="P56" s="141">
        <f>GETPIVOTDATA("Sum of Old-Tot G SCH Calc",'Pivot Table for Fact Book'!$A$3,"State","NC","Type2","Four-Year")</f>
        <v>785411</v>
      </c>
      <c r="Q56" s="141">
        <f>GETPIVOTDATA("Sum of New-Tot G SCH Calc",'Pivot Table for Fact Book'!$A$3,"State","NC","Type2","Four-Year")</f>
        <v>774593</v>
      </c>
      <c r="AH56" s="14"/>
    </row>
    <row r="57" spans="1:34" x14ac:dyDescent="0.25">
      <c r="A57" s="297" t="s">
        <v>150</v>
      </c>
      <c r="B57" s="139">
        <f>GETPIVOTDATA("Sum of Old-Tot G SCH Calc",'Pivot Table for Fact Book'!$A$3,"State","OK","type",1,"Type2","Four-Year")</f>
        <v>92405</v>
      </c>
      <c r="C57" s="140">
        <f>GETPIVOTDATA("Sum of New-Tot G SCH Calc",'Pivot Table for Fact Book'!$A$3,"State","OK","type",1,"Type2","Four-Year")</f>
        <v>94236</v>
      </c>
      <c r="D57" s="139">
        <f>GETPIVOTDATA("Sum of Old-Tot G SCH Calc",'Pivot Table for Fact Book'!$A$3,"State","OK","type",2,"Type2","Four-Year")</f>
        <v>0</v>
      </c>
      <c r="E57" s="140">
        <f>GETPIVOTDATA("Sum of New-Tot G SCH Calc",'Pivot Table for Fact Book'!$A$3,"State","OK","type",2,"Type2","Four-Year")</f>
        <v>0</v>
      </c>
      <c r="F57" s="139">
        <f>GETPIVOTDATA("Sum of Old-Tot G SCH Calc",'Pivot Table for Fact Book'!$A$3,"State","OK","type",3,"Type2","Four-Year")</f>
        <v>48051</v>
      </c>
      <c r="G57" s="140">
        <f>GETPIVOTDATA("Sum of New-Tot G SCH Calc",'Pivot Table for Fact Book'!$A$3,"State","OK","type",3,"Type2","Four-Year")</f>
        <v>48499</v>
      </c>
      <c r="H57" s="139">
        <f>GETPIVOTDATA("Sum of Old-Tot G SCH Calc",'Pivot Table for Fact Book'!$A$3,"State","OK","type",4,"Type2","Four-Year")</f>
        <v>0</v>
      </c>
      <c r="I57" s="140">
        <f>GETPIVOTDATA("Sum of New-Tot G SCH Calc",'Pivot Table for Fact Book'!$A$3,"State","OK","type",4,"Type2","Four-Year")</f>
        <v>0</v>
      </c>
      <c r="J57" s="139">
        <f>GETPIVOTDATA("Sum of Old-Tot G SCH Calc",'Pivot Table for Fact Book'!$A$3,"State","OK","type",5,"Type2","Four-Year")</f>
        <v>53667</v>
      </c>
      <c r="K57" s="140">
        <f>GETPIVOTDATA("Sum of New-Tot G SCH Calc",'Pivot Table for Fact Book'!$A$3,"State","OK","type",5,"Type2","Four-Year")</f>
        <v>55864</v>
      </c>
      <c r="L57" s="139">
        <f>GETPIVOTDATA("Sum of Old-Tot G SCH Calc",'Pivot Table for Fact Book'!$A$3,"State","OK","type",6,"Type2","Four-Year")</f>
        <v>0</v>
      </c>
      <c r="M57" s="140">
        <f>GETPIVOTDATA("Sum of New-Tot G SCH Calc",'Pivot Table for Fact Book'!$A$3,"State","OK","type",6,"Type2","Four-Year")</f>
        <v>0</v>
      </c>
      <c r="N57" s="139">
        <f>GETPIVOTDATA("Sum of Old-Tot G SCH Calc",'Pivot Table for Fact Book'!$A$3,"State","OK","type",15,"Type2","Four-Year")</f>
        <v>0</v>
      </c>
      <c r="O57" s="140">
        <f>GETPIVOTDATA("Sum of New-Tot G SCH Calc",'Pivot Table for Fact Book'!$A$3,"State","OK","type",15,"Type2","Four-Year")</f>
        <v>0</v>
      </c>
      <c r="P57" s="141">
        <f>GETPIVOTDATA("Sum of Old-Tot G SCH Calc",'Pivot Table for Fact Book'!$A$3,"State","OK","Type2","Four-Year")</f>
        <v>194123</v>
      </c>
      <c r="Q57" s="141">
        <f>GETPIVOTDATA("Sum of New-Tot G SCH Calc",'Pivot Table for Fact Book'!$A$3,"State","OK","Type2","Four-Year")</f>
        <v>198599</v>
      </c>
      <c r="AH57" s="14"/>
    </row>
    <row r="58" spans="1:34" x14ac:dyDescent="0.25">
      <c r="A58" s="297" t="s">
        <v>151</v>
      </c>
      <c r="B58" s="139">
        <f>GETPIVOTDATA("Sum of Old-Tot G SCH Calc",'Pivot Table for Fact Book'!$A$3,"State","SC","type",1,"Type2","Four-Year")</f>
        <v>190348</v>
      </c>
      <c r="C58" s="140">
        <f>GETPIVOTDATA("Sum of New-Tot G SCH Calc",'Pivot Table for Fact Book'!$A$3,"State","SC","type",1,"Type2","Four-Year")</f>
        <v>195493</v>
      </c>
      <c r="D58" s="139">
        <f>GETPIVOTDATA("Sum of Old-Tot G SCH Calc",'Pivot Table for Fact Book'!$A$3,"State","SC","type",2,"Type2","Four-Year")</f>
        <v>0</v>
      </c>
      <c r="E58" s="140">
        <f>GETPIVOTDATA("Sum of New-Tot G SCH Calc",'Pivot Table for Fact Book'!$A$3,"State","SC","type",2,"Type2","Four-Year")</f>
        <v>0</v>
      </c>
      <c r="F58" s="139">
        <f>GETPIVOTDATA("Sum of Old-Tot G SCH Calc",'Pivot Table for Fact Book'!$A$3,"State","SC","type",3,"Type2","Four-Year")</f>
        <v>36387</v>
      </c>
      <c r="G58" s="140">
        <f>GETPIVOTDATA("Sum of New-Tot G SCH Calc",'Pivot Table for Fact Book'!$A$3,"State","SC","type",3,"Type2","Four-Year")</f>
        <v>37636</v>
      </c>
      <c r="H58" s="139">
        <f>GETPIVOTDATA("Sum of Old-Tot G SCH Calc",'Pivot Table for Fact Book'!$A$3,"State","SC","type",4,"Type2","Four-Year")</f>
        <v>15502</v>
      </c>
      <c r="I58" s="140">
        <f>GETPIVOTDATA("Sum of New-Tot G SCH Calc",'Pivot Table for Fact Book'!$A$3,"State","SC","type",4,"Type2","Four-Year")</f>
        <v>16062</v>
      </c>
      <c r="J58" s="139">
        <f>GETPIVOTDATA("Sum of Old-Tot G SCH Calc",'Pivot Table for Fact Book'!$A$3,"State","SC","type",5,"Type2","Four-Year")</f>
        <v>25034</v>
      </c>
      <c r="K58" s="140">
        <f>GETPIVOTDATA("Sum of New-Tot G SCH Calc",'Pivot Table for Fact Book'!$A$3,"State","SC","type",5,"Type2","Four-Year")</f>
        <v>24729</v>
      </c>
      <c r="L58" s="139">
        <f>GETPIVOTDATA("Sum of Old-Tot G SCH Calc",'Pivot Table for Fact Book'!$A$3,"State","SC","type",6,"Type2","Four-Year")</f>
        <v>4397</v>
      </c>
      <c r="M58" s="140">
        <f>GETPIVOTDATA("Sum of New-Tot G SCH Calc",'Pivot Table for Fact Book'!$A$3,"State","SC","type",6,"Type2","Four-Year")</f>
        <v>4253</v>
      </c>
      <c r="N58" s="139">
        <f>GETPIVOTDATA("Sum of Old-Tot G SCH Calc",'Pivot Table for Fact Book'!$A$3,"State","SC","type",15,"Type2","Four-Year")</f>
        <v>0</v>
      </c>
      <c r="O58" s="140">
        <f>GETPIVOTDATA("Sum of New-Tot G SCH Calc",'Pivot Table for Fact Book'!$A$3,"State","SC","type",15,"Type2","Four-Year")</f>
        <v>0</v>
      </c>
      <c r="P58" s="141">
        <f>GETPIVOTDATA("Sum of Old-Tot G SCH Calc",'Pivot Table for Fact Book'!$A$3,"State","SC","Type2","Four-Year")</f>
        <v>271668</v>
      </c>
      <c r="Q58" s="141">
        <f>GETPIVOTDATA("Sum of New-Tot G SCH Calc",'Pivot Table for Fact Book'!$A$3,"State","SC","Type2","Four-Year")</f>
        <v>278173</v>
      </c>
      <c r="AH58" s="14"/>
    </row>
    <row r="59" spans="1:34" x14ac:dyDescent="0.25">
      <c r="A59" s="297" t="s">
        <v>152</v>
      </c>
      <c r="B59" s="139">
        <f>GETPIVOTDATA("Sum of Old-Tot G SCH Calc",'Pivot Table for Fact Book'!$A$3,"State","TN","type",1,"Type2","Four-Year")</f>
        <v>212880</v>
      </c>
      <c r="C59" s="140">
        <f>GETPIVOTDATA("Sum of New-Tot G SCH Calc",'Pivot Table for Fact Book'!$A$3,"State","TN","type",1,"Type2","Four-Year")</f>
        <v>168522.90000000002</v>
      </c>
      <c r="D59" s="139">
        <f>GETPIVOTDATA("Sum of Old-Tot G SCH Calc",'Pivot Table for Fact Book'!$A$3,"State","TN","type",2,"Type2","Four-Year")</f>
        <v>32856</v>
      </c>
      <c r="E59" s="140">
        <f>GETPIVOTDATA("Sum of New-Tot G SCH Calc",'Pivot Table for Fact Book'!$A$3,"State","TN","type",2,"Type2","Four-Year")</f>
        <v>30967</v>
      </c>
      <c r="F59" s="139">
        <f>GETPIVOTDATA("Sum of Old-Tot G SCH Calc",'Pivot Table for Fact Book'!$A$3,"State","TN","type",3,"Type2","Four-Year")</f>
        <v>152156</v>
      </c>
      <c r="G59" s="140">
        <f>GETPIVOTDATA("Sum of New-Tot G SCH Calc",'Pivot Table for Fact Book'!$A$3,"State","TN","type",3,"Type2","Four-Year")</f>
        <v>140021</v>
      </c>
      <c r="H59" s="139">
        <f>GETPIVOTDATA("Sum of Old-Tot G SCH Calc",'Pivot Table for Fact Book'!$A$3,"State","TN","type",4,"Type2","Four-Year")</f>
        <v>0</v>
      </c>
      <c r="I59" s="140">
        <f>GETPIVOTDATA("Sum of New-Tot G SCH Calc",'Pivot Table for Fact Book'!$A$3,"State","TN","type",4,"Type2","Four-Year")</f>
        <v>0</v>
      </c>
      <c r="J59" s="139">
        <f>GETPIVOTDATA("Sum of Old-Tot G SCH Calc",'Pivot Table for Fact Book'!$A$3,"State","TN","type",5,"Type2","Four-Year")</f>
        <v>6675</v>
      </c>
      <c r="K59" s="140">
        <f>GETPIVOTDATA("Sum of New-Tot G SCH Calc",'Pivot Table for Fact Book'!$A$3,"State","TN","type",5,"Type2","Four-Year")</f>
        <v>7227</v>
      </c>
      <c r="L59" s="139">
        <f>GETPIVOTDATA("Sum of Old-Tot G SCH Calc",'Pivot Table for Fact Book'!$A$3,"State","TN","type",6,"Type2","Four-Year")</f>
        <v>0</v>
      </c>
      <c r="M59" s="140">
        <f>GETPIVOTDATA("Sum of New-Tot G SCH Calc",'Pivot Table for Fact Book'!$A$3,"State","TN","type",6,"Type2","Four-Year")</f>
        <v>0</v>
      </c>
      <c r="N59" s="139">
        <f>GETPIVOTDATA("Sum of Old-Tot G SCH Calc",'Pivot Table for Fact Book'!$A$3,"State","TN","type",15,"Type2","Four-Year")</f>
        <v>0</v>
      </c>
      <c r="O59" s="140">
        <f>GETPIVOTDATA("Sum of New-Tot G SCH Calc",'Pivot Table for Fact Book'!$A$3,"State","TN","type",15,"Type2","Four-Year")</f>
        <v>0</v>
      </c>
      <c r="P59" s="141">
        <f>GETPIVOTDATA("Sum of Old-Tot G SCH Calc",'Pivot Table for Fact Book'!$A$3,"State","TN","Type2","Four-Year")</f>
        <v>404567</v>
      </c>
      <c r="Q59" s="141">
        <f>GETPIVOTDATA("Sum of New-Tot G SCH Calc",'Pivot Table for Fact Book'!$A$3,"State","TN","Type2","Four-Year")</f>
        <v>346737.9</v>
      </c>
      <c r="AH59" s="14"/>
    </row>
    <row r="60" spans="1:34" x14ac:dyDescent="0.25">
      <c r="A60" s="297" t="s">
        <v>153</v>
      </c>
      <c r="B60" s="139">
        <f>GETPIVOTDATA("Sum of Old-Tot G SCH Calc",'Pivot Table for Fact Book'!$A$3,"State","TX","type",1,"Type2","Four-Year")</f>
        <v>1092468</v>
      </c>
      <c r="C60" s="140">
        <f>GETPIVOTDATA("Sum of New-Tot G SCH Calc",'Pivot Table for Fact Book'!$A$3,"State","TX","type",1,"Type2","Four-Year")</f>
        <v>1116832</v>
      </c>
      <c r="D60" s="139">
        <f>GETPIVOTDATA("Sum of Old-Tot G SCH Calc",'Pivot Table for Fact Book'!$A$3,"State","TX","type",2,"Type2","Four-Year")</f>
        <v>223134</v>
      </c>
      <c r="E60" s="140">
        <f>GETPIVOTDATA("Sum of New-Tot G SCH Calc",'Pivot Table for Fact Book'!$A$3,"State","TX","type",2,"Type2","Four-Year")</f>
        <v>231841</v>
      </c>
      <c r="F60" s="139">
        <f>GETPIVOTDATA("Sum of Old-Tot G SCH Calc",'Pivot Table for Fact Book'!$A$3,"State","TX","type",3,"Type2","Four-Year")</f>
        <v>671808</v>
      </c>
      <c r="G60" s="140">
        <f>GETPIVOTDATA("Sum of New-Tot G SCH Calc",'Pivot Table for Fact Book'!$A$3,"State","TX","type",3,"Type2","Four-Year")</f>
        <v>665862</v>
      </c>
      <c r="H60" s="139">
        <f>GETPIVOTDATA("Sum of Old-Tot G SCH Calc",'Pivot Table for Fact Book'!$A$3,"State","TX","type",4,"Type2","Four-Year")</f>
        <v>36907</v>
      </c>
      <c r="I60" s="140">
        <f>GETPIVOTDATA("Sum of New-Tot G SCH Calc",'Pivot Table for Fact Book'!$A$3,"State","TX","type",4,"Type2","Four-Year")</f>
        <v>34839</v>
      </c>
      <c r="J60" s="139">
        <f>GETPIVOTDATA("Sum of Old-Tot G SCH Calc",'Pivot Table for Fact Book'!$A$3,"State","TX","type",5,"Type2","Four-Year")</f>
        <v>5625</v>
      </c>
      <c r="K60" s="140">
        <f>GETPIVOTDATA("Sum of New-Tot G SCH Calc",'Pivot Table for Fact Book'!$A$3,"State","TX","type",5,"Type2","Four-Year")</f>
        <v>5445</v>
      </c>
      <c r="L60" s="139">
        <f>GETPIVOTDATA("Sum of Old-Tot G SCH Calc",'Pivot Table for Fact Book'!$A$3,"State","TX","type",6,"Type2","Four-Year")</f>
        <v>996</v>
      </c>
      <c r="M60" s="140">
        <f>GETPIVOTDATA("Sum of New-Tot G SCH Calc",'Pivot Table for Fact Book'!$A$3,"State","TX","type",6,"Type2","Four-Year")</f>
        <v>1211</v>
      </c>
      <c r="N60" s="139">
        <f>GETPIVOTDATA("Sum of Old-Tot G SCH Calc",'Pivot Table for Fact Book'!$A$3,"State","TX","type",15,"Type2","Four-Year")</f>
        <v>0</v>
      </c>
      <c r="O60" s="140">
        <f>GETPIVOTDATA("Sum of New-Tot G SCH Calc",'Pivot Table for Fact Book'!$A$3,"State","TX","type",15,"Type2","Four-Year")</f>
        <v>0</v>
      </c>
      <c r="P60" s="141">
        <f>GETPIVOTDATA("Sum of Old-Tot G SCH Calc",'Pivot Table for Fact Book'!$A$3,"State","TX","Type2","Four-Year")</f>
        <v>2060255</v>
      </c>
      <c r="Q60" s="141">
        <f>GETPIVOTDATA("Sum of New-Tot G SCH Calc",'Pivot Table for Fact Book'!$A$3,"State","TX","Type2","Four-Year")</f>
        <v>2086249</v>
      </c>
      <c r="AH60" s="14"/>
    </row>
    <row r="61" spans="1:34" x14ac:dyDescent="0.25">
      <c r="A61" s="297" t="s">
        <v>154</v>
      </c>
      <c r="B61" s="139">
        <f>GETPIVOTDATA("Sum of Old-Tot G SCH Calc",'Pivot Table for Fact Book'!$A$3,"State","VA","type",1,"Type2","Four-Year")</f>
        <v>595754.89999999793</v>
      </c>
      <c r="C61" s="140">
        <f>GETPIVOTDATA("Sum of New-Tot G SCH Calc",'Pivot Table for Fact Book'!$A$3,"State","VA","type",1,"Type2","Four-Year")</f>
        <v>603432.5</v>
      </c>
      <c r="D61" s="139">
        <f>GETPIVOTDATA("Sum of Old-Tot G SCH Calc",'Pivot Table for Fact Book'!$A$3,"State","VA","type",2,"Type2","Four-Year")</f>
        <v>200638.5</v>
      </c>
      <c r="E61" s="140">
        <f>GETPIVOTDATA("Sum of New-Tot G SCH Calc",'Pivot Table for Fact Book'!$A$3,"State","VA","type",2,"Type2","Four-Year")</f>
        <v>195551.5</v>
      </c>
      <c r="F61" s="139">
        <f>GETPIVOTDATA("Sum of Old-Tot G SCH Calc",'Pivot Table for Fact Book'!$A$3,"State","VA","type",3,"Type2","Four-Year")</f>
        <v>45429</v>
      </c>
      <c r="G61" s="140">
        <f>GETPIVOTDATA("Sum of New-Tot G SCH Calc",'Pivot Table for Fact Book'!$A$3,"State","VA","type",3,"Type2","Four-Year")</f>
        <v>47901</v>
      </c>
      <c r="H61" s="139">
        <f>GETPIVOTDATA("Sum of Old-Tot G SCH Calc",'Pivot Table for Fact Book'!$A$3,"State","VA","type",4,"Type2","Four-Year")</f>
        <v>37702</v>
      </c>
      <c r="I61" s="140">
        <f>GETPIVOTDATA("Sum of New-Tot G SCH Calc",'Pivot Table for Fact Book'!$A$3,"State","VA","type",4,"Type2","Four-Year")</f>
        <v>34168</v>
      </c>
      <c r="J61" s="139">
        <f>GETPIVOTDATA("Sum of Old-Tot G SCH Calc",'Pivot Table for Fact Book'!$A$3,"State","VA","type",5,"Type2","Four-Year")</f>
        <v>15072</v>
      </c>
      <c r="K61" s="140">
        <f>GETPIVOTDATA("Sum of New-Tot G SCH Calc",'Pivot Table for Fact Book'!$A$3,"State","VA","type",5,"Type2","Four-Year")</f>
        <v>17478</v>
      </c>
      <c r="L61" s="139">
        <f>GETPIVOTDATA("Sum of Old-Tot G SCH Calc",'Pivot Table for Fact Book'!$A$3,"State","VA","type",6,"Type2","Four-Year")</f>
        <v>0</v>
      </c>
      <c r="M61" s="140">
        <f>GETPIVOTDATA("Sum of New-Tot G SCH Calc",'Pivot Table for Fact Book'!$A$3,"State","VA","type",6,"Type2","Four-Year")</f>
        <v>0</v>
      </c>
      <c r="N61" s="139">
        <f>GETPIVOTDATA("Sum of Old-Tot G SCH Calc",'Pivot Table for Fact Book'!$A$3,"State","VA","type",15,"Type2","Four-Year")</f>
        <v>0</v>
      </c>
      <c r="O61" s="140">
        <f>GETPIVOTDATA("Sum of New-Tot G SCH Calc",'Pivot Table for Fact Book'!$A$3,"State","VA","type",15,"Type2","Four-Year")</f>
        <v>0</v>
      </c>
      <c r="P61" s="141">
        <f>GETPIVOTDATA("Sum of Old-Tot G SCH Calc",'Pivot Table for Fact Book'!$A$3,"State","VA","Type2","Four-Year")</f>
        <v>894596.39999999793</v>
      </c>
      <c r="Q61" s="141">
        <f>GETPIVOTDATA("Sum of New-Tot G SCH Calc",'Pivot Table for Fact Book'!$A$3,"State","VA","Type2","Four-Year")</f>
        <v>898531</v>
      </c>
      <c r="AH61" s="14"/>
    </row>
    <row r="62" spans="1:34" x14ac:dyDescent="0.25">
      <c r="A62" s="307" t="s">
        <v>155</v>
      </c>
      <c r="B62" s="308">
        <f>GETPIVOTDATA("Sum of Old-Tot G SCH Calc",'Pivot Table for Fact Book'!$A$3,"State","WV","type",1,"Type2","Four-Year")</f>
        <v>112337</v>
      </c>
      <c r="C62" s="309">
        <f>GETPIVOTDATA("Sum of New-Tot G SCH Calc",'Pivot Table for Fact Book'!$A$3,"State","WV","type",1,"Type2","Four-Year")</f>
        <v>111929</v>
      </c>
      <c r="D62" s="308">
        <f>GETPIVOTDATA("Sum of Old-Tot G SCH Calc",'Pivot Table for Fact Book'!$A$3,"State","WV","type",2,"Type2","Four-Year")</f>
        <v>0</v>
      </c>
      <c r="E62" s="309">
        <f>GETPIVOTDATA("Sum of New-Tot G SCH Calc",'Pivot Table for Fact Book'!$A$3,"State","WV","type",2,"Type2","Four-Year")</f>
        <v>0</v>
      </c>
      <c r="F62" s="308">
        <f>GETPIVOTDATA("Sum of Old-Tot G SCH Calc",'Pivot Table for Fact Book'!$A$3,"State","WV","type",3,"Type2","Four-Year")</f>
        <v>55610</v>
      </c>
      <c r="G62" s="309">
        <f>GETPIVOTDATA("Sum of New-Tot G SCH Calc",'Pivot Table for Fact Book'!$A$3,"State","WV","type",3,"Type2","Four-Year")</f>
        <v>55072</v>
      </c>
      <c r="H62" s="308">
        <f>GETPIVOTDATA("Sum of Old-Tot G SCH Calc",'Pivot Table for Fact Book'!$A$3,"State","WV","type",4,"Type2","Four-Year")</f>
        <v>0</v>
      </c>
      <c r="I62" s="309">
        <f>GETPIVOTDATA("Sum of New-Tot G SCH Calc",'Pivot Table for Fact Book'!$A$3,"State","WV","type",4,"Type2","Four-Year")</f>
        <v>0</v>
      </c>
      <c r="J62" s="308">
        <f>GETPIVOTDATA("Sum of Old-Tot G SCH Calc",'Pivot Table for Fact Book'!$A$3,"State","WV","type",5,"Type2","Four-Year")</f>
        <v>8573</v>
      </c>
      <c r="K62" s="309">
        <f>GETPIVOTDATA("Sum of New-Tot G SCH Calc",'Pivot Table for Fact Book'!$A$3,"State","WV","type",5,"Type2","Four-Year")</f>
        <v>9085</v>
      </c>
      <c r="L62" s="308">
        <f>GETPIVOTDATA("Sum of Old-Tot G SCH Calc",'Pivot Table for Fact Book'!$A$3,"State","WV","type",6,"Type2","Four-Year")</f>
        <v>4777</v>
      </c>
      <c r="M62" s="309">
        <f>GETPIVOTDATA("Sum of New-Tot G SCH Calc",'Pivot Table for Fact Book'!$A$3,"State","WV","type",6,"Type2","Four-Year")</f>
        <v>6056</v>
      </c>
      <c r="N62" s="308">
        <f>GETPIVOTDATA("Sum of Old-Tot G SCH Calc",'Pivot Table for Fact Book'!$A$3,"State","WV","type",15,"Type2","Four-Year")</f>
        <v>0</v>
      </c>
      <c r="O62" s="309">
        <f>GETPIVOTDATA("Sum of New-Tot G SCH Calc",'Pivot Table for Fact Book'!$A$3,"State","WV","type",15,"Type2","Four-Year")</f>
        <v>0</v>
      </c>
      <c r="P62" s="310">
        <f>GETPIVOTDATA("Sum of Old-Tot G SCH Calc",'Pivot Table for Fact Book'!$A$3,"State","WV","Type2","Four-Year")</f>
        <v>181297</v>
      </c>
      <c r="Q62" s="310">
        <f>GETPIVOTDATA("Sum of New-Tot G SCH Calc",'Pivot Table for Fact Book'!$A$3,"State","WV","Type2","Four-Year")</f>
        <v>182142</v>
      </c>
      <c r="AH62" s="14"/>
    </row>
    <row r="64" spans="1:34" x14ac:dyDescent="0.25">
      <c r="A64" s="298" t="s">
        <v>189</v>
      </c>
    </row>
    <row r="65" spans="1:34" x14ac:dyDescent="0.25">
      <c r="A65" s="299"/>
      <c r="B65" s="124" t="s">
        <v>183</v>
      </c>
      <c r="C65" s="125"/>
      <c r="D65" s="125"/>
      <c r="E65" s="125"/>
      <c r="F65" s="125"/>
      <c r="G65" s="125"/>
      <c r="H65" s="125"/>
      <c r="I65" s="125"/>
      <c r="J65" s="125"/>
      <c r="K65" s="125"/>
      <c r="L65" s="125"/>
      <c r="M65" s="125"/>
      <c r="N65" s="125"/>
      <c r="O65" s="125"/>
      <c r="P65" s="125"/>
      <c r="Q65" s="126"/>
    </row>
    <row r="66" spans="1:34" x14ac:dyDescent="0.25">
      <c r="B66" s="132">
        <v>1</v>
      </c>
      <c r="C66" s="133"/>
      <c r="D66" s="132">
        <v>2</v>
      </c>
      <c r="E66" s="133"/>
      <c r="F66" s="132">
        <v>3</v>
      </c>
      <c r="G66" s="133"/>
      <c r="H66" s="132">
        <v>4</v>
      </c>
      <c r="I66" s="133"/>
      <c r="J66" s="132">
        <v>5</v>
      </c>
      <c r="K66" s="133"/>
      <c r="L66" s="132">
        <v>6</v>
      </c>
      <c r="M66" s="133"/>
      <c r="N66" s="132">
        <v>15</v>
      </c>
      <c r="O66" s="133"/>
      <c r="P66" s="132" t="s">
        <v>186</v>
      </c>
      <c r="Q66" s="134"/>
    </row>
    <row r="67" spans="1:34" x14ac:dyDescent="0.25">
      <c r="B67" s="301">
        <v>2010</v>
      </c>
      <c r="C67" s="302">
        <v>2011</v>
      </c>
      <c r="D67" s="301">
        <v>2010</v>
      </c>
      <c r="E67" s="302">
        <v>2011</v>
      </c>
      <c r="F67" s="301">
        <v>2010</v>
      </c>
      <c r="G67" s="302">
        <v>2011</v>
      </c>
      <c r="H67" s="301">
        <v>2010</v>
      </c>
      <c r="I67" s="302">
        <v>2011</v>
      </c>
      <c r="J67" s="301">
        <v>2010</v>
      </c>
      <c r="K67" s="302">
        <v>2011</v>
      </c>
      <c r="L67" s="301">
        <v>2010</v>
      </c>
      <c r="M67" s="302">
        <v>2011</v>
      </c>
      <c r="N67" s="301">
        <v>2010</v>
      </c>
      <c r="O67" s="302">
        <v>2011</v>
      </c>
      <c r="P67" s="301">
        <v>2010</v>
      </c>
      <c r="Q67" s="302">
        <v>2011</v>
      </c>
      <c r="AH67" s="14"/>
    </row>
    <row r="68" spans="1:34" x14ac:dyDescent="0.25">
      <c r="A68" s="297" t="s">
        <v>141</v>
      </c>
      <c r="B68" s="139">
        <f>GETPIVOTDATA("Sum of Old G E-Learning",'Pivot Table for Fact Book'!$A$3,"State","AL","type",1,"Type2","Four-Year")</f>
        <v>25712</v>
      </c>
      <c r="C68" s="140">
        <f>GETPIVOTDATA("Sum of New G E-Learning",'Pivot Table for Fact Book'!$A$3,"State","AL","type",1,"Type2","Four-Year")</f>
        <v>30678</v>
      </c>
      <c r="D68" s="139">
        <f>GETPIVOTDATA("Sum of Old G E-Learning",'Pivot Table for Fact Book'!$A$3,"State","AL","type",2,"Type2","Four-Year")</f>
        <v>3580</v>
      </c>
      <c r="E68" s="140">
        <f>GETPIVOTDATA("Sum of New G E-Learning",'Pivot Table for Fact Book'!$A$3,"State","AL","type",2,"Type2","Four-Year")</f>
        <v>3908</v>
      </c>
      <c r="F68" s="139">
        <f>GETPIVOTDATA("Sum of Old G E-Learning",'Pivot Table for Fact Book'!$A$3,"State","AL","type",3,"Type2","Four-Year")</f>
        <v>31748</v>
      </c>
      <c r="G68" s="140">
        <f>GETPIVOTDATA("Sum of New G E-Learning",'Pivot Table for Fact Book'!$A$3,"State","AL","type",3,"Type2","Four-Year")</f>
        <v>39776</v>
      </c>
      <c r="H68" s="139">
        <f>GETPIVOTDATA("Sum of Old G E-Learning",'Pivot Table for Fact Book'!$A$3,"State","AL","type",4,"Type2","Four-Year")</f>
        <v>10955</v>
      </c>
      <c r="I68" s="140">
        <f>GETPIVOTDATA("Sum of New G E-Learning",'Pivot Table for Fact Book'!$A$3,"State","AL","type",4,"Type2","Four-Year")</f>
        <v>15656</v>
      </c>
      <c r="J68" s="139">
        <f>GETPIVOTDATA("Sum of Old G E-Learning",'Pivot Table for Fact Book'!$A$3,"State","AL","type",5,"Type2","Four-Year")</f>
        <v>42922</v>
      </c>
      <c r="K68" s="140">
        <f>GETPIVOTDATA("Sum of New G E-Learning",'Pivot Table for Fact Book'!$A$3,"State","AL","type",5,"Type2","Four-Year")</f>
        <v>42647</v>
      </c>
      <c r="L68" s="139">
        <f>GETPIVOTDATA("Sum of Old G E-Learning",'Pivot Table for Fact Book'!$A$3,"State","AL","type",6,"Type2","Four-Year")</f>
        <v>0</v>
      </c>
      <c r="M68" s="140">
        <f>GETPIVOTDATA("Sum of New G E-Learning",'Pivot Table for Fact Book'!$A$3,"State","AL","type",6,"Type2","Four-Year")</f>
        <v>0</v>
      </c>
      <c r="N68" s="139">
        <f>GETPIVOTDATA("Sum of Old G E-Learning",'Pivot Table for Fact Book'!$A$3,"State","AL","type",15,"Type2","Four-Year")</f>
        <v>0</v>
      </c>
      <c r="O68" s="140">
        <f>GETPIVOTDATA("Sum of New G E-Learning",'Pivot Table for Fact Book'!$A$3,"State","AL","type",15,"Type2","Four-Year")</f>
        <v>0</v>
      </c>
      <c r="P68" s="141">
        <f>GETPIVOTDATA("Sum of Old G E-Learning",'Pivot Table for Fact Book'!$A$3,"State","AL","Type2","Four-Year")</f>
        <v>114917</v>
      </c>
      <c r="Q68" s="141">
        <f>GETPIVOTDATA("Sum of New G E-Learning",'Pivot Table for Fact Book'!$A$3,"State","AL","Type2","Four-Year")</f>
        <v>132665</v>
      </c>
      <c r="AH68" s="14"/>
    </row>
    <row r="69" spans="1:34" x14ac:dyDescent="0.25">
      <c r="A69" s="297" t="s">
        <v>142</v>
      </c>
      <c r="B69" s="139">
        <f>GETPIVOTDATA("Sum of Old G E-Learning",'Pivot Table for Fact Book'!$A$3,"State","AR","type",1,"Type2","Four-Year")</f>
        <v>15067</v>
      </c>
      <c r="C69" s="140">
        <f>GETPIVOTDATA("Sum of New G E-Learning",'Pivot Table for Fact Book'!$A$3,"State","AR","type",1,"Type2","Four-Year")</f>
        <v>16628</v>
      </c>
      <c r="D69" s="139">
        <f>GETPIVOTDATA("Sum of Old G E-Learning",'Pivot Table for Fact Book'!$A$3,"State","AR","type",2,"Type2","Four-Year")</f>
        <v>0</v>
      </c>
      <c r="E69" s="140">
        <f>GETPIVOTDATA("Sum of New G E-Learning",'Pivot Table for Fact Book'!$A$3,"State","AR","type",2,"Type2","Four-Year")</f>
        <v>0</v>
      </c>
      <c r="F69" s="139">
        <f>GETPIVOTDATA("Sum of Old G E-Learning",'Pivot Table for Fact Book'!$A$3,"State","AR","type",3,"Type2","Four-Year")</f>
        <v>65000</v>
      </c>
      <c r="G69" s="140">
        <f>GETPIVOTDATA("Sum of New G E-Learning",'Pivot Table for Fact Book'!$A$3,"State","AR","type",3,"Type2","Four-Year")</f>
        <v>78329</v>
      </c>
      <c r="H69" s="139">
        <f>GETPIVOTDATA("Sum of Old G E-Learning",'Pivot Table for Fact Book'!$A$3,"State","AR","type",4,"Type2","Four-Year")</f>
        <v>10410</v>
      </c>
      <c r="I69" s="140">
        <f>GETPIVOTDATA("Sum of New G E-Learning",'Pivot Table for Fact Book'!$A$3,"State","AR","type",4,"Type2","Four-Year")</f>
        <v>11524</v>
      </c>
      <c r="J69" s="139">
        <f>GETPIVOTDATA("Sum of Old G E-Learning",'Pivot Table for Fact Book'!$A$3,"State","AR","type",5,"Type2","Four-Year")</f>
        <v>1286</v>
      </c>
      <c r="K69" s="140">
        <f>GETPIVOTDATA("Sum of New G E-Learning",'Pivot Table for Fact Book'!$A$3,"State","AR","type",5,"Type2","Four-Year")</f>
        <v>1020</v>
      </c>
      <c r="L69" s="139">
        <f>GETPIVOTDATA("Sum of Old G E-Learning",'Pivot Table for Fact Book'!$A$3,"State","AR","type",6,"Type2","Four-Year")</f>
        <v>417</v>
      </c>
      <c r="M69" s="140">
        <f>GETPIVOTDATA("Sum of New G E-Learning",'Pivot Table for Fact Book'!$A$3,"State","AR","type",6,"Type2","Four-Year")</f>
        <v>255</v>
      </c>
      <c r="N69" s="139">
        <f>GETPIVOTDATA("Sum of Old G E-Learning",'Pivot Table for Fact Book'!$A$3,"State","AR","type",15,"Type2","Four-Year")</f>
        <v>0</v>
      </c>
      <c r="O69" s="140">
        <f>GETPIVOTDATA("Sum of New G E-Learning",'Pivot Table for Fact Book'!$A$3,"State","AR","type",15,"Type2","Four-Year")</f>
        <v>0</v>
      </c>
      <c r="P69" s="141">
        <f>GETPIVOTDATA("Sum of Old G E-Learning",'Pivot Table for Fact Book'!$A$3,"State","AR","Type2","Four-Year")</f>
        <v>92180</v>
      </c>
      <c r="Q69" s="141">
        <f>GETPIVOTDATA("Sum of New G E-Learning",'Pivot Table for Fact Book'!$A$3,"State","AR","Type2","Four-Year")</f>
        <v>107756</v>
      </c>
      <c r="AH69" s="14"/>
    </row>
    <row r="70" spans="1:34" x14ac:dyDescent="0.25">
      <c r="A70" s="297" t="s">
        <v>143</v>
      </c>
      <c r="B70" s="139">
        <f>GETPIVOTDATA("Sum of Old G E-Learning",'Pivot Table for Fact Book'!$A$3,"State","DE","type",1,"Type2","Four-Year")</f>
        <v>3432</v>
      </c>
      <c r="C70" s="140">
        <f>GETPIVOTDATA("Sum of New G E-Learning",'Pivot Table for Fact Book'!$A$3,"State","DE","type",1,"Type2","Four-Year")</f>
        <v>2922</v>
      </c>
      <c r="D70" s="139">
        <f>GETPIVOTDATA("Sum of Old G E-Learning",'Pivot Table for Fact Book'!$A$3,"State","DE","type",2,"Type2","Four-Year")</f>
        <v>0</v>
      </c>
      <c r="E70" s="140">
        <f>GETPIVOTDATA("Sum of New G E-Learning",'Pivot Table for Fact Book'!$A$3,"State","DE","type",2,"Type2","Four-Year")</f>
        <v>0</v>
      </c>
      <c r="F70" s="139">
        <f>GETPIVOTDATA("Sum of Old G E-Learning",'Pivot Table for Fact Book'!$A$3,"State","DE","type",3,"Type2","Four-Year")</f>
        <v>0</v>
      </c>
      <c r="G70" s="140">
        <f>GETPIVOTDATA("Sum of New G E-Learning",'Pivot Table for Fact Book'!$A$3,"State","DE","type",3,"Type2","Four-Year")</f>
        <v>0</v>
      </c>
      <c r="H70" s="139">
        <f>GETPIVOTDATA("Sum of Old G E-Learning",'Pivot Table for Fact Book'!$A$3,"State","DE","type",4,"Type2","Four-Year")</f>
        <v>27</v>
      </c>
      <c r="I70" s="140">
        <f>GETPIVOTDATA("Sum of New G E-Learning",'Pivot Table for Fact Book'!$A$3,"State","DE","type",4,"Type2","Four-Year")</f>
        <v>3480</v>
      </c>
      <c r="J70" s="139">
        <f>GETPIVOTDATA("Sum of Old G E-Learning",'Pivot Table for Fact Book'!$A$3,"State","DE","type",5,"Type2","Four-Year")</f>
        <v>0</v>
      </c>
      <c r="K70" s="140">
        <f>GETPIVOTDATA("Sum of New G E-Learning",'Pivot Table for Fact Book'!$A$3,"State","DE","type",5,"Type2","Four-Year")</f>
        <v>0</v>
      </c>
      <c r="L70" s="139">
        <f>GETPIVOTDATA("Sum of Old G E-Learning",'Pivot Table for Fact Book'!$A$3,"State","DE","type",6,"Type2","Four-Year")</f>
        <v>0</v>
      </c>
      <c r="M70" s="140">
        <f>GETPIVOTDATA("Sum of New G E-Learning",'Pivot Table for Fact Book'!$A$3,"State","DE","type",6,"Type2","Four-Year")</f>
        <v>0</v>
      </c>
      <c r="N70" s="139">
        <f>GETPIVOTDATA("Sum of Old G E-Learning",'Pivot Table for Fact Book'!$A$3,"State","DE","type",15,"Type2","Four-Year")</f>
        <v>0</v>
      </c>
      <c r="O70" s="140">
        <f>GETPIVOTDATA("Sum of New G E-Learning",'Pivot Table for Fact Book'!$A$3,"State","DE","type",15,"Type2","Four-Year")</f>
        <v>0</v>
      </c>
      <c r="P70" s="141">
        <f>GETPIVOTDATA("Sum of Old G E-Learning",'Pivot Table for Fact Book'!$A$3,"State","DE","Type2","Four-Year")</f>
        <v>3459</v>
      </c>
      <c r="Q70" s="141">
        <f>GETPIVOTDATA("Sum of New G E-Learning",'Pivot Table for Fact Book'!$A$3,"State","DE","Type2","Four-Year")</f>
        <v>6402</v>
      </c>
      <c r="AH70" s="14"/>
    </row>
    <row r="71" spans="1:34" x14ac:dyDescent="0.25">
      <c r="A71" s="297" t="s">
        <v>144</v>
      </c>
      <c r="B71" s="139">
        <f>GETPIVOTDATA("Sum of Old G E-Learning",'Pivot Table for Fact Book'!$A$3,"State","FL","type",1,"Type2","Four-Year")</f>
        <v>233454</v>
      </c>
      <c r="C71" s="140">
        <f>GETPIVOTDATA("Sum of New G E-Learning",'Pivot Table for Fact Book'!$A$3,"State","FL","type",1,"Type2","Four-Year")</f>
        <v>208728</v>
      </c>
      <c r="D71" s="139">
        <f>GETPIVOTDATA("Sum of Old G E-Learning",'Pivot Table for Fact Book'!$A$3,"State","FL","type",2,"Type2","Four-Year")</f>
        <v>19659</v>
      </c>
      <c r="E71" s="140">
        <f>GETPIVOTDATA("Sum of New G E-Learning",'Pivot Table for Fact Book'!$A$3,"State","FL","type",2,"Type2","Four-Year")</f>
        <v>18884</v>
      </c>
      <c r="F71" s="139">
        <f>GETPIVOTDATA("Sum of Old G E-Learning",'Pivot Table for Fact Book'!$A$3,"State","FL","type",3,"Type2","Four-Year")</f>
        <v>26241</v>
      </c>
      <c r="G71" s="140">
        <f>GETPIVOTDATA("Sum of New G E-Learning",'Pivot Table for Fact Book'!$A$3,"State","FL","type",3,"Type2","Four-Year")</f>
        <v>26536</v>
      </c>
      <c r="H71" s="139">
        <f>GETPIVOTDATA("Sum of Old G E-Learning",'Pivot Table for Fact Book'!$A$3,"State","FL","type",4,"Type2","Four-Year")</f>
        <v>10149</v>
      </c>
      <c r="I71" s="140">
        <f>GETPIVOTDATA("Sum of New G E-Learning",'Pivot Table for Fact Book'!$A$3,"State","FL","type",4,"Type2","Four-Year")</f>
        <v>9381</v>
      </c>
      <c r="J71" s="139">
        <f>GETPIVOTDATA("Sum of Old G E-Learning",'Pivot Table for Fact Book'!$A$3,"State","FL","type",5,"Type2","Four-Year")</f>
        <v>0</v>
      </c>
      <c r="K71" s="140">
        <f>GETPIVOTDATA("Sum of New G E-Learning",'Pivot Table for Fact Book'!$A$3,"State","FL","type",5,"Type2","Four-Year")</f>
        <v>0</v>
      </c>
      <c r="L71" s="139">
        <f>GETPIVOTDATA("Sum of Old G E-Learning",'Pivot Table for Fact Book'!$A$3,"State","FL","type",6,"Type2","Four-Year")</f>
        <v>0</v>
      </c>
      <c r="M71" s="140">
        <f>GETPIVOTDATA("Sum of New G E-Learning",'Pivot Table for Fact Book'!$A$3,"State","FL","type",6,"Type2","Four-Year")</f>
        <v>0</v>
      </c>
      <c r="N71" s="139">
        <f>GETPIVOTDATA("Sum of Old G E-Learning",'Pivot Table for Fact Book'!$A$3,"State","FL","type",15,"Type2","Four-Year")</f>
        <v>0</v>
      </c>
      <c r="O71" s="140">
        <f>GETPIVOTDATA("Sum of New G E-Learning",'Pivot Table for Fact Book'!$A$3,"State","FL","type",15,"Type2","Four-Year")</f>
        <v>0</v>
      </c>
      <c r="P71" s="141">
        <f>GETPIVOTDATA("Sum of Old G E-Learning",'Pivot Table for Fact Book'!$A$3,"State","FL","Type2","Four-Year")</f>
        <v>289503</v>
      </c>
      <c r="Q71" s="141">
        <f>GETPIVOTDATA("Sum of New G E-Learning",'Pivot Table for Fact Book'!$A$3,"State","FL","Type2","Four-Year")</f>
        <v>263529</v>
      </c>
      <c r="AH71" s="14"/>
    </row>
    <row r="72" spans="1:34" x14ac:dyDescent="0.25">
      <c r="A72" s="297" t="s">
        <v>145</v>
      </c>
      <c r="B72" s="139">
        <f>GETPIVOTDATA("Sum of Old G E-Learning",'Pivot Table for Fact Book'!$A$3,"State","GA","type",1,"Type2","Four-Year")</f>
        <v>0</v>
      </c>
      <c r="C72" s="140">
        <f>GETPIVOTDATA("Sum of New G E-Learning",'Pivot Table for Fact Book'!$A$3,"State","GA","type",1,"Type2","Four-Year")</f>
        <v>0</v>
      </c>
      <c r="D72" s="139">
        <f>GETPIVOTDATA("Sum of Old G E-Learning",'Pivot Table for Fact Book'!$A$3,"State","GA","type",2,"Type2","Four-Year")</f>
        <v>0</v>
      </c>
      <c r="E72" s="140">
        <f>GETPIVOTDATA("Sum of New G E-Learning",'Pivot Table for Fact Book'!$A$3,"State","GA","type",2,"Type2","Four-Year")</f>
        <v>0</v>
      </c>
      <c r="F72" s="139">
        <f>GETPIVOTDATA("Sum of Old G E-Learning",'Pivot Table for Fact Book'!$A$3,"State","GA","type",3,"Type2","Four-Year")</f>
        <v>0</v>
      </c>
      <c r="G72" s="140">
        <f>GETPIVOTDATA("Sum of New G E-Learning",'Pivot Table for Fact Book'!$A$3,"State","GA","type",3,"Type2","Four-Year")</f>
        <v>0</v>
      </c>
      <c r="H72" s="139">
        <f>GETPIVOTDATA("Sum of Old G E-Learning",'Pivot Table for Fact Book'!$A$3,"State","GA","type",4,"Type2","Four-Year")</f>
        <v>0</v>
      </c>
      <c r="I72" s="140">
        <f>GETPIVOTDATA("Sum of New G E-Learning",'Pivot Table for Fact Book'!$A$3,"State","GA","type",4,"Type2","Four-Year")</f>
        <v>0</v>
      </c>
      <c r="J72" s="139">
        <f>GETPIVOTDATA("Sum of Old G E-Learning",'Pivot Table for Fact Book'!$A$3,"State","GA","type",5,"Type2","Four-Year")</f>
        <v>0</v>
      </c>
      <c r="K72" s="140">
        <f>GETPIVOTDATA("Sum of New G E-Learning",'Pivot Table for Fact Book'!$A$3,"State","GA","type",5,"Type2","Four-Year")</f>
        <v>0</v>
      </c>
      <c r="L72" s="139">
        <f>GETPIVOTDATA("Sum of Old G E-Learning",'Pivot Table for Fact Book'!$A$3,"State","GA","type",6,"Type2","Four-Year")</f>
        <v>0</v>
      </c>
      <c r="M72" s="140">
        <f>GETPIVOTDATA("Sum of New G E-Learning",'Pivot Table for Fact Book'!$A$3,"State","GA","type",6,"Type2","Four-Year")</f>
        <v>0</v>
      </c>
      <c r="N72" s="139">
        <f>GETPIVOTDATA("Sum of Old G E-Learning",'Pivot Table for Fact Book'!$A$3,"State","GA","type",15,"Type2","Four-Year")</f>
        <v>0</v>
      </c>
      <c r="O72" s="140">
        <f>GETPIVOTDATA("Sum of New G E-Learning",'Pivot Table for Fact Book'!$A$3,"State","GA","type",15,"Type2","Four-Year")</f>
        <v>0</v>
      </c>
      <c r="P72" s="141">
        <f>GETPIVOTDATA("Sum of Old G E-Learning",'Pivot Table for Fact Book'!$A$3,"State","GA","Type2","Four-Year")</f>
        <v>0</v>
      </c>
      <c r="Q72" s="141">
        <f>GETPIVOTDATA("Sum of New G E-Learning",'Pivot Table for Fact Book'!$A$3,"State","GA","Type2","Four-Year")</f>
        <v>0</v>
      </c>
      <c r="AH72" s="14"/>
    </row>
    <row r="73" spans="1:34" x14ac:dyDescent="0.25">
      <c r="A73" s="297" t="s">
        <v>146</v>
      </c>
      <c r="B73" s="139">
        <f>GETPIVOTDATA("Sum of Old G E-Learning",'Pivot Table for Fact Book'!$A$3,"State","KY","type",1,"Type2","Four-Year")</f>
        <v>12517</v>
      </c>
      <c r="C73" s="140">
        <f>GETPIVOTDATA("Sum of New G E-Learning",'Pivot Table for Fact Book'!$A$3,"State","KY","type",1,"Type2","Four-Year")</f>
        <v>15989</v>
      </c>
      <c r="D73" s="139">
        <f>GETPIVOTDATA("Sum of Old G E-Learning",'Pivot Table for Fact Book'!$A$3,"State","KY","type",2,"Type2","Four-Year")</f>
        <v>0</v>
      </c>
      <c r="E73" s="140">
        <f>GETPIVOTDATA("Sum of New G E-Learning",'Pivot Table for Fact Book'!$A$3,"State","KY","type",2,"Type2","Four-Year")</f>
        <v>0</v>
      </c>
      <c r="F73" s="139">
        <f>GETPIVOTDATA("Sum of Old G E-Learning",'Pivot Table for Fact Book'!$A$3,"State","KY","type",3,"Type2","Four-Year")</f>
        <v>59381</v>
      </c>
      <c r="G73" s="140">
        <f>GETPIVOTDATA("Sum of New G E-Learning",'Pivot Table for Fact Book'!$A$3,"State","KY","type",3,"Type2","Four-Year")</f>
        <v>69669.5</v>
      </c>
      <c r="H73" s="139">
        <f>GETPIVOTDATA("Sum of Old G E-Learning",'Pivot Table for Fact Book'!$A$3,"State","KY","type",4,"Type2","Four-Year")</f>
        <v>8996</v>
      </c>
      <c r="I73" s="140">
        <f>GETPIVOTDATA("Sum of New G E-Learning",'Pivot Table for Fact Book'!$A$3,"State","KY","type",4,"Type2","Four-Year")</f>
        <v>11076</v>
      </c>
      <c r="J73" s="139">
        <f>GETPIVOTDATA("Sum of Old G E-Learning",'Pivot Table for Fact Book'!$A$3,"State","KY","type",5,"Type2","Four-Year")</f>
        <v>0</v>
      </c>
      <c r="K73" s="140">
        <f>GETPIVOTDATA("Sum of New G E-Learning",'Pivot Table for Fact Book'!$A$3,"State","KY","type",5,"Type2","Four-Year")</f>
        <v>0</v>
      </c>
      <c r="L73" s="139">
        <f>GETPIVOTDATA("Sum of Old G E-Learning",'Pivot Table for Fact Book'!$A$3,"State","KY","type",6,"Type2","Four-Year")</f>
        <v>0</v>
      </c>
      <c r="M73" s="140">
        <f>GETPIVOTDATA("Sum of New G E-Learning",'Pivot Table for Fact Book'!$A$3,"State","KY","type",6,"Type2","Four-Year")</f>
        <v>0</v>
      </c>
      <c r="N73" s="139">
        <f>GETPIVOTDATA("Sum of Old G E-Learning",'Pivot Table for Fact Book'!$A$3,"State","KY","type",15,"Type2","Four-Year")</f>
        <v>0</v>
      </c>
      <c r="O73" s="140">
        <f>GETPIVOTDATA("Sum of New G E-Learning",'Pivot Table for Fact Book'!$A$3,"State","KY","type",15,"Type2","Four-Year")</f>
        <v>0</v>
      </c>
      <c r="P73" s="141">
        <f>GETPIVOTDATA("Sum of Old G E-Learning",'Pivot Table for Fact Book'!$A$3,"State","KY","Type2","Four-Year")</f>
        <v>80894</v>
      </c>
      <c r="Q73" s="141">
        <f>GETPIVOTDATA("Sum of New G E-Learning",'Pivot Table for Fact Book'!$A$3,"State","KY","Type2","Four-Year")</f>
        <v>96734.5</v>
      </c>
      <c r="AH73" s="14"/>
    </row>
    <row r="74" spans="1:34" x14ac:dyDescent="0.25">
      <c r="A74" s="297" t="s">
        <v>147</v>
      </c>
      <c r="B74" s="139">
        <f>GETPIVOTDATA("Sum of Old G E-Learning",'Pivot Table for Fact Book'!$A$3,"State","LA","type",1,"Type2","Four-Year")</f>
        <v>0</v>
      </c>
      <c r="C74" s="140">
        <f>GETPIVOTDATA("Sum of New G E-Learning",'Pivot Table for Fact Book'!$A$3,"State","LA","type",1,"Type2","Four-Year")</f>
        <v>0</v>
      </c>
      <c r="D74" s="139">
        <f>GETPIVOTDATA("Sum of Old G E-Learning",'Pivot Table for Fact Book'!$A$3,"State","LA","type",2,"Type2","Four-Year")</f>
        <v>0</v>
      </c>
      <c r="E74" s="140">
        <f>GETPIVOTDATA("Sum of New G E-Learning",'Pivot Table for Fact Book'!$A$3,"State","LA","type",2,"Type2","Four-Year")</f>
        <v>0</v>
      </c>
      <c r="F74" s="139">
        <f>GETPIVOTDATA("Sum of Old G E-Learning",'Pivot Table for Fact Book'!$A$3,"State","LA","type",3,"Type2","Four-Year")</f>
        <v>0</v>
      </c>
      <c r="G74" s="140">
        <f>GETPIVOTDATA("Sum of New G E-Learning",'Pivot Table for Fact Book'!$A$3,"State","LA","type",3,"Type2","Four-Year")</f>
        <v>0</v>
      </c>
      <c r="H74" s="139">
        <f>GETPIVOTDATA("Sum of Old G E-Learning",'Pivot Table for Fact Book'!$A$3,"State","LA","type",4,"Type2","Four-Year")</f>
        <v>0</v>
      </c>
      <c r="I74" s="140">
        <f>GETPIVOTDATA("Sum of New G E-Learning",'Pivot Table for Fact Book'!$A$3,"State","LA","type",4,"Type2","Four-Year")</f>
        <v>0</v>
      </c>
      <c r="J74" s="139">
        <f>GETPIVOTDATA("Sum of Old G E-Learning",'Pivot Table for Fact Book'!$A$3,"State","LA","type",5,"Type2","Four-Year")</f>
        <v>0</v>
      </c>
      <c r="K74" s="140">
        <f>GETPIVOTDATA("Sum of New G E-Learning",'Pivot Table for Fact Book'!$A$3,"State","LA","type",5,"Type2","Four-Year")</f>
        <v>0</v>
      </c>
      <c r="L74" s="139">
        <f>GETPIVOTDATA("Sum of Old G E-Learning",'Pivot Table for Fact Book'!$A$3,"State","LA","type",6,"Type2","Four-Year")</f>
        <v>0</v>
      </c>
      <c r="M74" s="140">
        <f>GETPIVOTDATA("Sum of New G E-Learning",'Pivot Table for Fact Book'!$A$3,"State","LA","type",6,"Type2","Four-Year")</f>
        <v>0</v>
      </c>
      <c r="N74" s="139">
        <f>GETPIVOTDATA("Sum of Old G E-Learning",'Pivot Table for Fact Book'!$A$3,"State","LA","type",15,"Type2","Four-Year")</f>
        <v>0</v>
      </c>
      <c r="O74" s="140">
        <f>GETPIVOTDATA("Sum of New G E-Learning",'Pivot Table for Fact Book'!$A$3,"State","LA","type",15,"Type2","Four-Year")</f>
        <v>0</v>
      </c>
      <c r="P74" s="141">
        <f>GETPIVOTDATA("Sum of Old G E-Learning",'Pivot Table for Fact Book'!$A$3,"State","LA","Type2","Four-Year")</f>
        <v>0</v>
      </c>
      <c r="Q74" s="141">
        <f>GETPIVOTDATA("Sum of New G E-Learning",'Pivot Table for Fact Book'!$A$3,"State","LA","Type2","Four-Year")</f>
        <v>0</v>
      </c>
      <c r="AH74" s="14"/>
    </row>
    <row r="75" spans="1:34" x14ac:dyDescent="0.25">
      <c r="A75" s="297" t="s">
        <v>177</v>
      </c>
      <c r="B75" s="139">
        <f>GETPIVOTDATA("Sum of Old G E-Learning",'Pivot Table for Fact Book'!$A$3,"State","MD","type",1,"Type2","Four-Year")</f>
        <v>6383</v>
      </c>
      <c r="C75" s="140">
        <f>GETPIVOTDATA("Sum of New G E-Learning",'Pivot Table for Fact Book'!$A$3,"State","MD","type",1,"Type2","Four-Year")</f>
        <v>6723</v>
      </c>
      <c r="D75" s="139">
        <f>GETPIVOTDATA("Sum of Old G E-Learning",'Pivot Table for Fact Book'!$A$3,"State","MD","type",2,"Type2","Four-Year")</f>
        <v>6576</v>
      </c>
      <c r="E75" s="140">
        <f>GETPIVOTDATA("Sum of New G E-Learning",'Pivot Table for Fact Book'!$A$3,"State","MD","type",2,"Type2","Four-Year")</f>
        <v>7231</v>
      </c>
      <c r="F75" s="139">
        <f>GETPIVOTDATA("Sum of Old G E-Learning",'Pivot Table for Fact Book'!$A$3,"State","MD","type",3,"Type2","Four-Year")</f>
        <v>6239</v>
      </c>
      <c r="G75" s="140">
        <f>GETPIVOTDATA("Sum of New G E-Learning",'Pivot Table for Fact Book'!$A$3,"State","MD","type",3,"Type2","Four-Year")</f>
        <v>8059</v>
      </c>
      <c r="H75" s="139">
        <f>GETPIVOTDATA("Sum of Old G E-Learning",'Pivot Table for Fact Book'!$A$3,"State","MD","type",4,"Type2","Four-Year")</f>
        <v>97724</v>
      </c>
      <c r="I75" s="140">
        <f>GETPIVOTDATA("Sum of New G E-Learning",'Pivot Table for Fact Book'!$A$3,"State","MD","type",4,"Type2","Four-Year")</f>
        <v>20550</v>
      </c>
      <c r="J75" s="139">
        <f>GETPIVOTDATA("Sum of Old G E-Learning",'Pivot Table for Fact Book'!$A$3,"State","MD","type",5,"Type2","Four-Year")</f>
        <v>0</v>
      </c>
      <c r="K75" s="140">
        <f>GETPIVOTDATA("Sum of New G E-Learning",'Pivot Table for Fact Book'!$A$3,"State","MD","type",5,"Type2","Four-Year")</f>
        <v>0</v>
      </c>
      <c r="L75" s="139">
        <f>GETPIVOTDATA("Sum of Old G E-Learning",'Pivot Table for Fact Book'!$A$3,"State","MD","type",6,"Type2","Four-Year")</f>
        <v>0</v>
      </c>
      <c r="M75" s="140">
        <f>GETPIVOTDATA("Sum of New G E-Learning",'Pivot Table for Fact Book'!$A$3,"State","MD","type",6,"Type2","Four-Year")</f>
        <v>0</v>
      </c>
      <c r="N75" s="139">
        <f>GETPIVOTDATA("Sum of Old G E-Learning",'Pivot Table for Fact Book'!$A$3,"State","MD","type",15,"Type2","Four-Year")</f>
        <v>173875</v>
      </c>
      <c r="O75" s="140">
        <f>GETPIVOTDATA("Sum of New G E-Learning",'Pivot Table for Fact Book'!$A$3,"State","MD","type",15,"Type2","Four-Year")</f>
        <v>189917</v>
      </c>
      <c r="P75" s="141">
        <f>GETPIVOTDATA("Sum of Old G E-Learning",'Pivot Table for Fact Book'!$A$3,"State","MD","Type2","Four-Year")</f>
        <v>290797</v>
      </c>
      <c r="Q75" s="141">
        <f>GETPIVOTDATA("Sum of New G E-Learning",'Pivot Table for Fact Book'!$A$3,"State","MD","Type2","Four-Year")</f>
        <v>232480</v>
      </c>
      <c r="AH75" s="14"/>
    </row>
    <row r="76" spans="1:34" x14ac:dyDescent="0.25">
      <c r="A76" s="297" t="s">
        <v>148</v>
      </c>
      <c r="B76" s="139">
        <f>GETPIVOTDATA("Sum of Old G E-Learning",'Pivot Table for Fact Book'!$A$3,"State","MS","type",1,"Type2","Four-Year")</f>
        <v>30146</v>
      </c>
      <c r="C76" s="140">
        <f>GETPIVOTDATA("Sum of New G E-Learning",'Pivot Table for Fact Book'!$A$3,"State","MS","type",1,"Type2","Four-Year")</f>
        <v>32391</v>
      </c>
      <c r="D76" s="139">
        <f>GETPIVOTDATA("Sum of Old G E-Learning",'Pivot Table for Fact Book'!$A$3,"State","MS","type",2,"Type2","Four-Year")</f>
        <v>3482</v>
      </c>
      <c r="E76" s="140">
        <f>GETPIVOTDATA("Sum of New G E-Learning",'Pivot Table for Fact Book'!$A$3,"State","MS","type",2,"Type2","Four-Year")</f>
        <v>5663</v>
      </c>
      <c r="F76" s="139">
        <f>GETPIVOTDATA("Sum of Old G E-Learning",'Pivot Table for Fact Book'!$A$3,"State","MS","type",3,"Type2","Four-Year")</f>
        <v>0</v>
      </c>
      <c r="G76" s="140">
        <f>GETPIVOTDATA("Sum of New G E-Learning",'Pivot Table for Fact Book'!$A$3,"State","MS","type",3,"Type2","Four-Year")</f>
        <v>0</v>
      </c>
      <c r="H76" s="139">
        <f>GETPIVOTDATA("Sum of Old G E-Learning",'Pivot Table for Fact Book'!$A$3,"State","MS","type",4,"Type2","Four-Year")</f>
        <v>15119</v>
      </c>
      <c r="I76" s="140">
        <f>GETPIVOTDATA("Sum of New G E-Learning",'Pivot Table for Fact Book'!$A$3,"State","MS","type",4,"Type2","Four-Year")</f>
        <v>18018</v>
      </c>
      <c r="J76" s="139">
        <f>GETPIVOTDATA("Sum of Old G E-Learning",'Pivot Table for Fact Book'!$A$3,"State","MS","type",5,"Type2","Four-Year")</f>
        <v>1239</v>
      </c>
      <c r="K76" s="140">
        <f>GETPIVOTDATA("Sum of New G E-Learning",'Pivot Table for Fact Book'!$A$3,"State","MS","type",5,"Type2","Four-Year")</f>
        <v>1189</v>
      </c>
      <c r="L76" s="139">
        <f>GETPIVOTDATA("Sum of Old G E-Learning",'Pivot Table for Fact Book'!$A$3,"State","MS","type",6,"Type2","Four-Year")</f>
        <v>0</v>
      </c>
      <c r="M76" s="140">
        <f>GETPIVOTDATA("Sum of New G E-Learning",'Pivot Table for Fact Book'!$A$3,"State","MS","type",6,"Type2","Four-Year")</f>
        <v>0</v>
      </c>
      <c r="N76" s="139">
        <f>GETPIVOTDATA("Sum of Old G E-Learning",'Pivot Table for Fact Book'!$A$3,"State","MS","type",15,"Type2","Four-Year")</f>
        <v>0</v>
      </c>
      <c r="O76" s="140">
        <f>GETPIVOTDATA("Sum of New G E-Learning",'Pivot Table for Fact Book'!$A$3,"State","MS","type",15,"Type2","Four-Year")</f>
        <v>0</v>
      </c>
      <c r="P76" s="141">
        <f>GETPIVOTDATA("Sum of Old G E-Learning",'Pivot Table for Fact Book'!$A$3,"State","MS","Type2","Four-Year")</f>
        <v>49986</v>
      </c>
      <c r="Q76" s="141">
        <f>GETPIVOTDATA("Sum of New G E-Learning",'Pivot Table for Fact Book'!$A$3,"State","MS","Type2","Four-Year")</f>
        <v>57261</v>
      </c>
      <c r="AH76" s="14"/>
    </row>
    <row r="77" spans="1:34" x14ac:dyDescent="0.25">
      <c r="A77" s="297" t="s">
        <v>149</v>
      </c>
      <c r="B77" s="139">
        <f>GETPIVOTDATA("Sum of Old G E-Learning",'Pivot Table for Fact Book'!$A$3,"State","NC","type",1,"Type2","Four-Year")</f>
        <v>44941</v>
      </c>
      <c r="C77" s="140">
        <f>GETPIVOTDATA("Sum of New G E-Learning",'Pivot Table for Fact Book'!$A$3,"State","NC","type",1,"Type2","Four-Year")</f>
        <v>45198</v>
      </c>
      <c r="D77" s="139">
        <f>GETPIVOTDATA("Sum of Old G E-Learning",'Pivot Table for Fact Book'!$A$3,"State","NC","type",2,"Type2","Four-Year")</f>
        <v>10139</v>
      </c>
      <c r="E77" s="140">
        <f>GETPIVOTDATA("Sum of New G E-Learning",'Pivot Table for Fact Book'!$A$3,"State","NC","type",2,"Type2","Four-Year")</f>
        <v>10126</v>
      </c>
      <c r="F77" s="139">
        <f>GETPIVOTDATA("Sum of Old G E-Learning",'Pivot Table for Fact Book'!$A$3,"State","NC","type",3,"Type2","Four-Year")</f>
        <v>80369</v>
      </c>
      <c r="G77" s="140">
        <f>GETPIVOTDATA("Sum of New G E-Learning",'Pivot Table for Fact Book'!$A$3,"State","NC","type",3,"Type2","Four-Year")</f>
        <v>76673</v>
      </c>
      <c r="H77" s="139">
        <f>GETPIVOTDATA("Sum of Old G E-Learning",'Pivot Table for Fact Book'!$A$3,"State","NC","type",4,"Type2","Four-Year")</f>
        <v>2298</v>
      </c>
      <c r="I77" s="140">
        <f>GETPIVOTDATA("Sum of New G E-Learning",'Pivot Table for Fact Book'!$A$3,"State","NC","type",4,"Type2","Four-Year")</f>
        <v>2676</v>
      </c>
      <c r="J77" s="139">
        <f>GETPIVOTDATA("Sum of Old G E-Learning",'Pivot Table for Fact Book'!$A$3,"State","NC","type",5,"Type2","Four-Year")</f>
        <v>6545</v>
      </c>
      <c r="K77" s="140">
        <f>GETPIVOTDATA("Sum of New G E-Learning",'Pivot Table for Fact Book'!$A$3,"State","NC","type",5,"Type2","Four-Year")</f>
        <v>7939</v>
      </c>
      <c r="L77" s="139">
        <f>GETPIVOTDATA("Sum of Old G E-Learning",'Pivot Table for Fact Book'!$A$3,"State","NC","type",6,"Type2","Four-Year")</f>
        <v>365</v>
      </c>
      <c r="M77" s="140">
        <f>GETPIVOTDATA("Sum of New G E-Learning",'Pivot Table for Fact Book'!$A$3,"State","NC","type",6,"Type2","Four-Year")</f>
        <v>682</v>
      </c>
      <c r="N77" s="139">
        <f>GETPIVOTDATA("Sum of Old G E-Learning",'Pivot Table for Fact Book'!$A$3,"State","NC","type",15,"Type2","Four-Year")</f>
        <v>0</v>
      </c>
      <c r="O77" s="140">
        <f>GETPIVOTDATA("Sum of New G E-Learning",'Pivot Table for Fact Book'!$A$3,"State","NC","type",15,"Type2","Four-Year")</f>
        <v>0</v>
      </c>
      <c r="P77" s="141">
        <f>GETPIVOTDATA("Sum of Old G E-Learning",'Pivot Table for Fact Book'!$A$3,"State","NC","Type2","Four-Year")</f>
        <v>144657</v>
      </c>
      <c r="Q77" s="141">
        <f>GETPIVOTDATA("Sum of New G E-Learning",'Pivot Table for Fact Book'!$A$3,"State","NC","Type2","Four-Year")</f>
        <v>143294</v>
      </c>
      <c r="AH77" s="14"/>
    </row>
    <row r="78" spans="1:34" x14ac:dyDescent="0.25">
      <c r="A78" s="297" t="s">
        <v>150</v>
      </c>
      <c r="B78" s="139">
        <f>GETPIVOTDATA("Sum of Old G E-Learning",'Pivot Table for Fact Book'!$A$3,"State","OK","type",1,"Type2","Four-Year")</f>
        <v>11780</v>
      </c>
      <c r="C78" s="140">
        <f>GETPIVOTDATA("Sum of New G E-Learning",'Pivot Table for Fact Book'!$A$3,"State","OK","type",1,"Type2","Four-Year")</f>
        <v>16558</v>
      </c>
      <c r="D78" s="139">
        <f>GETPIVOTDATA("Sum of Old G E-Learning",'Pivot Table for Fact Book'!$A$3,"State","OK","type",2,"Type2","Four-Year")</f>
        <v>0</v>
      </c>
      <c r="E78" s="140">
        <f>GETPIVOTDATA("Sum of New G E-Learning",'Pivot Table for Fact Book'!$A$3,"State","OK","type",2,"Type2","Four-Year")</f>
        <v>0</v>
      </c>
      <c r="F78" s="139">
        <f>GETPIVOTDATA("Sum of Old G E-Learning",'Pivot Table for Fact Book'!$A$3,"State","OK","type",3,"Type2","Four-Year")</f>
        <v>3677</v>
      </c>
      <c r="G78" s="140">
        <f>GETPIVOTDATA("Sum of New G E-Learning",'Pivot Table for Fact Book'!$A$3,"State","OK","type",3,"Type2","Four-Year")</f>
        <v>5660</v>
      </c>
      <c r="H78" s="139">
        <f>GETPIVOTDATA("Sum of Old G E-Learning",'Pivot Table for Fact Book'!$A$3,"State","OK","type",4,"Type2","Four-Year")</f>
        <v>0</v>
      </c>
      <c r="I78" s="140">
        <f>GETPIVOTDATA("Sum of New G E-Learning",'Pivot Table for Fact Book'!$A$3,"State","OK","type",4,"Type2","Four-Year")</f>
        <v>0</v>
      </c>
      <c r="J78" s="139">
        <f>GETPIVOTDATA("Sum of Old G E-Learning",'Pivot Table for Fact Book'!$A$3,"State","OK","type",5,"Type2","Four-Year")</f>
        <v>22579</v>
      </c>
      <c r="K78" s="140">
        <f>GETPIVOTDATA("Sum of New G E-Learning",'Pivot Table for Fact Book'!$A$3,"State","OK","type",5,"Type2","Four-Year")</f>
        <v>22174</v>
      </c>
      <c r="L78" s="139">
        <f>GETPIVOTDATA("Sum of Old G E-Learning",'Pivot Table for Fact Book'!$A$3,"State","OK","type",6,"Type2","Four-Year")</f>
        <v>0</v>
      </c>
      <c r="M78" s="140">
        <f>GETPIVOTDATA("Sum of New G E-Learning",'Pivot Table for Fact Book'!$A$3,"State","OK","type",6,"Type2","Four-Year")</f>
        <v>0</v>
      </c>
      <c r="N78" s="139">
        <f>GETPIVOTDATA("Sum of Old G E-Learning",'Pivot Table for Fact Book'!$A$3,"State","OK","type",15,"Type2","Four-Year")</f>
        <v>0</v>
      </c>
      <c r="O78" s="140">
        <f>GETPIVOTDATA("Sum of New G E-Learning",'Pivot Table for Fact Book'!$A$3,"State","OK","type",15,"Type2","Four-Year")</f>
        <v>0</v>
      </c>
      <c r="P78" s="141">
        <f>GETPIVOTDATA("Sum of Old G E-Learning",'Pivot Table for Fact Book'!$A$3,"State","OK","Type2","Four-Year")</f>
        <v>38036</v>
      </c>
      <c r="Q78" s="141">
        <f>GETPIVOTDATA("Sum of New G E-Learning",'Pivot Table for Fact Book'!$A$3,"State","OK","Type2","Four-Year")</f>
        <v>44392</v>
      </c>
      <c r="AH78" s="14"/>
    </row>
    <row r="79" spans="1:34" x14ac:dyDescent="0.25">
      <c r="A79" s="297" t="s">
        <v>151</v>
      </c>
      <c r="B79" s="139">
        <f>GETPIVOTDATA("Sum of Old G E-Learning",'Pivot Table for Fact Book'!$A$3,"State","SC","type",1,"Type2","Four-Year")</f>
        <v>37640</v>
      </c>
      <c r="C79" s="140">
        <f>GETPIVOTDATA("Sum of New G E-Learning",'Pivot Table for Fact Book'!$A$3,"State","SC","type",1,"Type2","Four-Year")</f>
        <v>38628</v>
      </c>
      <c r="D79" s="139">
        <f>GETPIVOTDATA("Sum of Old G E-Learning",'Pivot Table for Fact Book'!$A$3,"State","SC","type",2,"Type2","Four-Year")</f>
        <v>0</v>
      </c>
      <c r="E79" s="140">
        <f>GETPIVOTDATA("Sum of New G E-Learning",'Pivot Table for Fact Book'!$A$3,"State","SC","type",2,"Type2","Four-Year")</f>
        <v>0</v>
      </c>
      <c r="F79" s="139">
        <f>GETPIVOTDATA("Sum of Old G E-Learning",'Pivot Table for Fact Book'!$A$3,"State","SC","type",3,"Type2","Four-Year")</f>
        <v>491</v>
      </c>
      <c r="G79" s="140">
        <f>GETPIVOTDATA("Sum of New G E-Learning",'Pivot Table for Fact Book'!$A$3,"State","SC","type",3,"Type2","Four-Year")</f>
        <v>2569</v>
      </c>
      <c r="H79" s="139">
        <f>GETPIVOTDATA("Sum of Old G E-Learning",'Pivot Table for Fact Book'!$A$3,"State","SC","type",4,"Type2","Four-Year")</f>
        <v>237</v>
      </c>
      <c r="I79" s="140">
        <f>GETPIVOTDATA("Sum of New G E-Learning",'Pivot Table for Fact Book'!$A$3,"State","SC","type",4,"Type2","Four-Year")</f>
        <v>1530</v>
      </c>
      <c r="J79" s="139">
        <f>GETPIVOTDATA("Sum of Old G E-Learning",'Pivot Table for Fact Book'!$A$3,"State","SC","type",5,"Type2","Four-Year")</f>
        <v>3057</v>
      </c>
      <c r="K79" s="140">
        <f>GETPIVOTDATA("Sum of New G E-Learning",'Pivot Table for Fact Book'!$A$3,"State","SC","type",5,"Type2","Four-Year")</f>
        <v>3836</v>
      </c>
      <c r="L79" s="139">
        <f>GETPIVOTDATA("Sum of Old G E-Learning",'Pivot Table for Fact Book'!$A$3,"State","SC","type",6,"Type2","Four-Year")</f>
        <v>1458</v>
      </c>
      <c r="M79" s="140">
        <f>GETPIVOTDATA("Sum of New G E-Learning",'Pivot Table for Fact Book'!$A$3,"State","SC","type",6,"Type2","Four-Year")</f>
        <v>1212</v>
      </c>
      <c r="N79" s="139">
        <f>GETPIVOTDATA("Sum of Old G E-Learning",'Pivot Table for Fact Book'!$A$3,"State","SC","type",15,"Type2","Four-Year")</f>
        <v>0</v>
      </c>
      <c r="O79" s="140">
        <f>GETPIVOTDATA("Sum of New G E-Learning",'Pivot Table for Fact Book'!$A$3,"State","SC","type",15,"Type2","Four-Year")</f>
        <v>0</v>
      </c>
      <c r="P79" s="141">
        <f>GETPIVOTDATA("Sum of Old G E-Learning",'Pivot Table for Fact Book'!$A$3,"State","SC","Type2","Four-Year")</f>
        <v>42883</v>
      </c>
      <c r="Q79" s="141">
        <f>GETPIVOTDATA("Sum of New G E-Learning",'Pivot Table for Fact Book'!$A$3,"State","SC","Type2","Four-Year")</f>
        <v>47775</v>
      </c>
      <c r="AH79" s="14"/>
    </row>
    <row r="80" spans="1:34" x14ac:dyDescent="0.25">
      <c r="A80" s="297" t="s">
        <v>152</v>
      </c>
      <c r="B80" s="139">
        <f>GETPIVOTDATA("Sum of Old G E-Learning",'Pivot Table for Fact Book'!$A$3,"State","TN","type",1,"Type2","Four-Year")</f>
        <v>30851</v>
      </c>
      <c r="C80" s="140">
        <f>GETPIVOTDATA("Sum of New G E-Learning",'Pivot Table for Fact Book'!$A$3,"State","TN","type",1,"Type2","Four-Year")</f>
        <v>33483.300000000003</v>
      </c>
      <c r="D80" s="139">
        <f>GETPIVOTDATA("Sum of Old G E-Learning",'Pivot Table for Fact Book'!$A$3,"State","TN","type",2,"Type2","Four-Year")</f>
        <v>1975</v>
      </c>
      <c r="E80" s="140">
        <f>GETPIVOTDATA("Sum of New G E-Learning",'Pivot Table for Fact Book'!$A$3,"State","TN","type",2,"Type2","Four-Year")</f>
        <v>5253</v>
      </c>
      <c r="F80" s="139">
        <f>GETPIVOTDATA("Sum of Old G E-Learning",'Pivot Table for Fact Book'!$A$3,"State","TN","type",3,"Type2","Four-Year")</f>
        <v>33829</v>
      </c>
      <c r="G80" s="140">
        <f>GETPIVOTDATA("Sum of New G E-Learning",'Pivot Table for Fact Book'!$A$3,"State","TN","type",3,"Type2","Four-Year")</f>
        <v>46526</v>
      </c>
      <c r="H80" s="139">
        <f>GETPIVOTDATA("Sum of Old G E-Learning",'Pivot Table for Fact Book'!$A$3,"State","TN","type",4,"Type2","Four-Year")</f>
        <v>0</v>
      </c>
      <c r="I80" s="140">
        <f>GETPIVOTDATA("Sum of New G E-Learning",'Pivot Table for Fact Book'!$A$3,"State","TN","type",4,"Type2","Four-Year")</f>
        <v>0</v>
      </c>
      <c r="J80" s="139">
        <f>GETPIVOTDATA("Sum of Old G E-Learning",'Pivot Table for Fact Book'!$A$3,"State","TN","type",5,"Type2","Four-Year")</f>
        <v>3896</v>
      </c>
      <c r="K80" s="140">
        <f>GETPIVOTDATA("Sum of New G E-Learning",'Pivot Table for Fact Book'!$A$3,"State","TN","type",5,"Type2","Four-Year")</f>
        <v>5048</v>
      </c>
      <c r="L80" s="139">
        <f>GETPIVOTDATA("Sum of Old G E-Learning",'Pivot Table for Fact Book'!$A$3,"State","TN","type",6,"Type2","Four-Year")</f>
        <v>0</v>
      </c>
      <c r="M80" s="140">
        <f>GETPIVOTDATA("Sum of New G E-Learning",'Pivot Table for Fact Book'!$A$3,"State","TN","type",6,"Type2","Four-Year")</f>
        <v>0</v>
      </c>
      <c r="N80" s="139">
        <f>GETPIVOTDATA("Sum of Old G E-Learning",'Pivot Table for Fact Book'!$A$3,"State","TN","type",15,"Type2","Four-Year")</f>
        <v>0</v>
      </c>
      <c r="O80" s="140">
        <f>GETPIVOTDATA("Sum of New G E-Learning",'Pivot Table for Fact Book'!$A$3,"State","TN","type",15,"Type2","Four-Year")</f>
        <v>0</v>
      </c>
      <c r="P80" s="141">
        <f>GETPIVOTDATA("Sum of Old G E-Learning",'Pivot Table for Fact Book'!$A$3,"State","TN","Type2","Four-Year")</f>
        <v>70551</v>
      </c>
      <c r="Q80" s="141">
        <f>GETPIVOTDATA("Sum of New G E-Learning",'Pivot Table for Fact Book'!$A$3,"State","TN","Type2","Four-Year")</f>
        <v>90310.3</v>
      </c>
      <c r="AH80" s="14"/>
    </row>
    <row r="81" spans="1:34" x14ac:dyDescent="0.25">
      <c r="A81" s="297" t="s">
        <v>153</v>
      </c>
      <c r="B81" s="139">
        <f>GETPIVOTDATA("Sum of Old G E-Learning",'Pivot Table for Fact Book'!$A$3,"State","TX","type",1,"Type2","Four-Year")</f>
        <v>118870</v>
      </c>
      <c r="C81" s="140">
        <f>GETPIVOTDATA("Sum of New G E-Learning",'Pivot Table for Fact Book'!$A$3,"State","TX","type",1,"Type2","Four-Year")</f>
        <v>138497</v>
      </c>
      <c r="D81" s="139">
        <f>GETPIVOTDATA("Sum of Old G E-Learning",'Pivot Table for Fact Book'!$A$3,"State","TX","type",2,"Type2","Four-Year")</f>
        <v>62151</v>
      </c>
      <c r="E81" s="140">
        <f>GETPIVOTDATA("Sum of New G E-Learning",'Pivot Table for Fact Book'!$A$3,"State","TX","type",2,"Type2","Four-Year")</f>
        <v>68386</v>
      </c>
      <c r="F81" s="139">
        <f>GETPIVOTDATA("Sum of Old G E-Learning",'Pivot Table for Fact Book'!$A$3,"State","TX","type",3,"Type2","Four-Year")</f>
        <v>228591</v>
      </c>
      <c r="G81" s="140">
        <f>GETPIVOTDATA("Sum of New G E-Learning",'Pivot Table for Fact Book'!$A$3,"State","TX","type",3,"Type2","Four-Year")</f>
        <v>240872</v>
      </c>
      <c r="H81" s="139">
        <f>GETPIVOTDATA("Sum of Old G E-Learning",'Pivot Table for Fact Book'!$A$3,"State","TX","type",4,"Type2","Four-Year")</f>
        <v>23394</v>
      </c>
      <c r="I81" s="140">
        <f>GETPIVOTDATA("Sum of New G E-Learning",'Pivot Table for Fact Book'!$A$3,"State","TX","type",4,"Type2","Four-Year")</f>
        <v>23799</v>
      </c>
      <c r="J81" s="139">
        <f>GETPIVOTDATA("Sum of Old G E-Learning",'Pivot Table for Fact Book'!$A$3,"State","TX","type",5,"Type2","Four-Year")</f>
        <v>1632</v>
      </c>
      <c r="K81" s="140">
        <f>GETPIVOTDATA("Sum of New G E-Learning",'Pivot Table for Fact Book'!$A$3,"State","TX","type",5,"Type2","Four-Year")</f>
        <v>1920</v>
      </c>
      <c r="L81" s="139">
        <f>GETPIVOTDATA("Sum of Old G E-Learning",'Pivot Table for Fact Book'!$A$3,"State","TX","type",6,"Type2","Four-Year")</f>
        <v>63</v>
      </c>
      <c r="M81" s="140">
        <f>GETPIVOTDATA("Sum of New G E-Learning",'Pivot Table for Fact Book'!$A$3,"State","TX","type",6,"Type2","Four-Year")</f>
        <v>97</v>
      </c>
      <c r="N81" s="139">
        <f>GETPIVOTDATA("Sum of Old G E-Learning",'Pivot Table for Fact Book'!$A$3,"State","TX","type",15,"Type2","Four-Year")</f>
        <v>0</v>
      </c>
      <c r="O81" s="140">
        <f>GETPIVOTDATA("Sum of New G E-Learning",'Pivot Table for Fact Book'!$A$3,"State","TX","type",15,"Type2","Four-Year")</f>
        <v>0</v>
      </c>
      <c r="P81" s="141">
        <f>GETPIVOTDATA("Sum of Old G E-Learning",'Pivot Table for Fact Book'!$A$3,"State","TX","Type2","Four-Year")</f>
        <v>436928</v>
      </c>
      <c r="Q81" s="141">
        <f>GETPIVOTDATA("Sum of New G E-Learning",'Pivot Table for Fact Book'!$A$3,"State","TX","Type2","Four-Year")</f>
        <v>485689</v>
      </c>
      <c r="AH81" s="14"/>
    </row>
    <row r="82" spans="1:34" x14ac:dyDescent="0.25">
      <c r="A82" s="297" t="s">
        <v>154</v>
      </c>
      <c r="B82" s="139">
        <f>GETPIVOTDATA("Sum of Old G E-Learning",'Pivot Table for Fact Book'!$A$3,"State","VA","type",1,"Type2","Four-Year")</f>
        <v>55509</v>
      </c>
      <c r="C82" s="140">
        <f>GETPIVOTDATA("Sum of New G E-Learning",'Pivot Table for Fact Book'!$A$3,"State","VA","type",1,"Type2","Four-Year")</f>
        <v>52604.5</v>
      </c>
      <c r="D82" s="139">
        <f>GETPIVOTDATA("Sum of Old G E-Learning",'Pivot Table for Fact Book'!$A$3,"State","VA","type",2,"Type2","Four-Year")</f>
        <v>8050</v>
      </c>
      <c r="E82" s="140">
        <f>GETPIVOTDATA("Sum of New G E-Learning",'Pivot Table for Fact Book'!$A$3,"State","VA","type",2,"Type2","Four-Year")</f>
        <v>9871</v>
      </c>
      <c r="F82" s="139">
        <f>GETPIVOTDATA("Sum of Old G E-Learning",'Pivot Table for Fact Book'!$A$3,"State","VA","type",3,"Type2","Four-Year")</f>
        <v>4189</v>
      </c>
      <c r="G82" s="140">
        <f>GETPIVOTDATA("Sum of New G E-Learning",'Pivot Table for Fact Book'!$A$3,"State","VA","type",3,"Type2","Four-Year")</f>
        <v>5795</v>
      </c>
      <c r="H82" s="139">
        <f>GETPIVOTDATA("Sum of Old G E-Learning",'Pivot Table for Fact Book'!$A$3,"State","VA","type",4,"Type2","Four-Year")</f>
        <v>2398</v>
      </c>
      <c r="I82" s="140">
        <f>GETPIVOTDATA("Sum of New G E-Learning",'Pivot Table for Fact Book'!$A$3,"State","VA","type",4,"Type2","Four-Year")</f>
        <v>1733</v>
      </c>
      <c r="J82" s="139">
        <f>GETPIVOTDATA("Sum of Old G E-Learning",'Pivot Table for Fact Book'!$A$3,"State","VA","type",5,"Type2","Four-Year")</f>
        <v>1687</v>
      </c>
      <c r="K82" s="140">
        <f>GETPIVOTDATA("Sum of New G E-Learning",'Pivot Table for Fact Book'!$A$3,"State","VA","type",5,"Type2","Four-Year")</f>
        <v>3379</v>
      </c>
      <c r="L82" s="139">
        <f>GETPIVOTDATA("Sum of Old G E-Learning",'Pivot Table for Fact Book'!$A$3,"State","VA","type",6,"Type2","Four-Year")</f>
        <v>0</v>
      </c>
      <c r="M82" s="140">
        <f>GETPIVOTDATA("Sum of New G E-Learning",'Pivot Table for Fact Book'!$A$3,"State","VA","type",6,"Type2","Four-Year")</f>
        <v>0</v>
      </c>
      <c r="N82" s="139">
        <f>GETPIVOTDATA("Sum of Old G E-Learning",'Pivot Table for Fact Book'!$A$3,"State","VA","type",15,"Type2","Four-Year")</f>
        <v>0</v>
      </c>
      <c r="O82" s="140">
        <f>GETPIVOTDATA("Sum of New G E-Learning",'Pivot Table for Fact Book'!$A$3,"State","VA","type",15,"Type2","Four-Year")</f>
        <v>0</v>
      </c>
      <c r="P82" s="141">
        <f>GETPIVOTDATA("Sum of Old G E-Learning",'Pivot Table for Fact Book'!$A$3,"State","VA","Type2","Four-Year")</f>
        <v>71833</v>
      </c>
      <c r="Q82" s="141">
        <f>GETPIVOTDATA("Sum of New G E-Learning",'Pivot Table for Fact Book'!$A$3,"State","VA","Type2","Four-Year")</f>
        <v>73382.5</v>
      </c>
      <c r="AH82" s="14"/>
    </row>
    <row r="83" spans="1:34" x14ac:dyDescent="0.25">
      <c r="A83" s="307" t="s">
        <v>155</v>
      </c>
      <c r="B83" s="308">
        <f>GETPIVOTDATA("Sum of Old G E-Learning",'Pivot Table for Fact Book'!$A$3,"State","WV","type",1,"Type2","Four-Year")</f>
        <v>27334</v>
      </c>
      <c r="C83" s="309">
        <f>GETPIVOTDATA("Sum of New G E-Learning",'Pivot Table for Fact Book'!$A$3,"State","WV","type",1,"Type2","Four-Year")</f>
        <v>28493</v>
      </c>
      <c r="D83" s="308">
        <f>GETPIVOTDATA("Sum of Old G E-Learning",'Pivot Table for Fact Book'!$A$3,"State","WV","type",2,"Type2","Four-Year")</f>
        <v>0</v>
      </c>
      <c r="E83" s="309">
        <f>GETPIVOTDATA("Sum of New G E-Learning",'Pivot Table for Fact Book'!$A$3,"State","WV","type",2,"Type2","Four-Year")</f>
        <v>0</v>
      </c>
      <c r="F83" s="308">
        <f>GETPIVOTDATA("Sum of Old G E-Learning",'Pivot Table for Fact Book'!$A$3,"State","WV","type",3,"Type2","Four-Year")</f>
        <v>12407</v>
      </c>
      <c r="G83" s="309">
        <f>GETPIVOTDATA("Sum of New G E-Learning",'Pivot Table for Fact Book'!$A$3,"State","WV","type",3,"Type2","Four-Year")</f>
        <v>11127</v>
      </c>
      <c r="H83" s="308">
        <f>GETPIVOTDATA("Sum of Old G E-Learning",'Pivot Table for Fact Book'!$A$3,"State","WV","type",4,"Type2","Four-Year")</f>
        <v>0</v>
      </c>
      <c r="I83" s="309">
        <f>GETPIVOTDATA("Sum of New G E-Learning",'Pivot Table for Fact Book'!$A$3,"State","WV","type",4,"Type2","Four-Year")</f>
        <v>0</v>
      </c>
      <c r="J83" s="308">
        <f>GETPIVOTDATA("Sum of Old G E-Learning",'Pivot Table for Fact Book'!$A$3,"State","WV","type",5,"Type2","Four-Year")</f>
        <v>4160</v>
      </c>
      <c r="K83" s="309">
        <f>GETPIVOTDATA("Sum of New G E-Learning",'Pivot Table for Fact Book'!$A$3,"State","WV","type",5,"Type2","Four-Year")</f>
        <v>4348</v>
      </c>
      <c r="L83" s="308">
        <f>GETPIVOTDATA("Sum of Old G E-Learning",'Pivot Table for Fact Book'!$A$3,"State","WV","type",6,"Type2","Four-Year")</f>
        <v>2391</v>
      </c>
      <c r="M83" s="309">
        <f>GETPIVOTDATA("Sum of New G E-Learning",'Pivot Table for Fact Book'!$A$3,"State","WV","type",6,"Type2","Four-Year")</f>
        <v>3345</v>
      </c>
      <c r="N83" s="308">
        <f>GETPIVOTDATA("Sum of Old G E-Learning",'Pivot Table for Fact Book'!$A$3,"State","WV","type",15,"Type2","Four-Year")</f>
        <v>0</v>
      </c>
      <c r="O83" s="309">
        <f>GETPIVOTDATA("Sum of New G E-Learning",'Pivot Table for Fact Book'!$A$3,"State","WV","type",15,"Type2","Four-Year")</f>
        <v>0</v>
      </c>
      <c r="P83" s="310">
        <f>GETPIVOTDATA("Sum of Old G E-Learning",'Pivot Table for Fact Book'!$A$3,"State","WV","Type2","Four-Year")</f>
        <v>46292</v>
      </c>
      <c r="Q83" s="310">
        <f>GETPIVOTDATA("Sum of New G E-Learning",'Pivot Table for Fact Book'!$A$3,"State","WV","Type2","Four-Year")</f>
        <v>47313</v>
      </c>
      <c r="AH83" s="1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00"/>
  </sheetPr>
  <dimension ref="A1:Z882"/>
  <sheetViews>
    <sheetView workbookViewId="0"/>
  </sheetViews>
  <sheetFormatPr defaultColWidth="11.42578125" defaultRowHeight="15" x14ac:dyDescent="0.25"/>
  <cols>
    <col min="1" max="1" width="7" style="258" customWidth="1"/>
    <col min="2" max="2" width="26.85546875" style="258" customWidth="1"/>
    <col min="3" max="3" width="9.28515625" style="258" customWidth="1"/>
    <col min="4" max="10" width="9.28515625" style="259" customWidth="1"/>
    <col min="11" max="11" width="10.140625" style="259" customWidth="1"/>
    <col min="12" max="15" width="11.140625" style="259" customWidth="1"/>
    <col min="16" max="16" width="10.140625" style="259" customWidth="1"/>
    <col min="17" max="18" width="11.140625" style="259" customWidth="1"/>
    <col min="19" max="19" width="10.140625" style="259" customWidth="1"/>
    <col min="20" max="22" width="11.140625" style="258" customWidth="1"/>
    <col min="23" max="23" width="10.140625" style="258" customWidth="1"/>
    <col min="24" max="25" width="11.140625" style="258" customWidth="1"/>
    <col min="26" max="26" width="10.140625" style="258" customWidth="1"/>
    <col min="27" max="16384" width="11.42578125" style="258"/>
  </cols>
  <sheetData>
    <row r="1" spans="1:26" x14ac:dyDescent="0.25">
      <c r="A1" s="258" t="s">
        <v>129</v>
      </c>
    </row>
    <row r="2" spans="1:26" x14ac:dyDescent="0.25">
      <c r="S2" s="260"/>
      <c r="T2" s="260"/>
    </row>
    <row r="3" spans="1:26" x14ac:dyDescent="0.25">
      <c r="A3" s="266"/>
      <c r="B3" s="267"/>
      <c r="C3" s="268" t="s">
        <v>258</v>
      </c>
      <c r="D3" s="269" t="s">
        <v>9</v>
      </c>
      <c r="E3" s="269"/>
      <c r="F3" s="269"/>
      <c r="G3" s="269"/>
      <c r="H3" s="269"/>
      <c r="I3" s="269"/>
      <c r="J3" s="293"/>
      <c r="K3" s="269"/>
      <c r="L3" s="269"/>
      <c r="M3" s="269"/>
      <c r="N3" s="269"/>
      <c r="O3" s="293"/>
      <c r="P3" s="269"/>
      <c r="Q3" s="269"/>
      <c r="R3" s="293"/>
      <c r="S3" s="270"/>
      <c r="T3" s="15"/>
      <c r="U3" s="15"/>
      <c r="V3" s="15"/>
      <c r="W3" s="15"/>
      <c r="X3" s="15"/>
      <c r="Y3" s="15"/>
      <c r="Z3" s="15"/>
    </row>
    <row r="4" spans="1:26" x14ac:dyDescent="0.25">
      <c r="A4" s="266"/>
      <c r="B4" s="267"/>
      <c r="C4" s="268" t="s">
        <v>55</v>
      </c>
      <c r="D4" s="271"/>
      <c r="E4" s="271"/>
      <c r="F4" s="271"/>
      <c r="G4" s="271"/>
      <c r="H4" s="271"/>
      <c r="I4" s="271"/>
      <c r="J4" s="273"/>
      <c r="K4" s="268" t="s">
        <v>259</v>
      </c>
      <c r="L4" s="290" t="s">
        <v>56</v>
      </c>
      <c r="M4" s="271"/>
      <c r="N4" s="271"/>
      <c r="O4" s="273"/>
      <c r="P4" s="268" t="s">
        <v>260</v>
      </c>
      <c r="Q4" s="290" t="s">
        <v>261</v>
      </c>
      <c r="R4" s="273"/>
      <c r="S4" s="272" t="s">
        <v>262</v>
      </c>
      <c r="T4" s="15"/>
      <c r="U4" s="15"/>
      <c r="V4" s="15"/>
      <c r="W4" s="15"/>
      <c r="X4" s="15"/>
      <c r="Y4" s="15"/>
      <c r="Z4" s="15"/>
    </row>
    <row r="5" spans="1:26" x14ac:dyDescent="0.25">
      <c r="A5" s="283" t="s">
        <v>4</v>
      </c>
      <c r="B5" s="284" t="s">
        <v>58</v>
      </c>
      <c r="C5" s="266">
        <v>1</v>
      </c>
      <c r="D5" s="292">
        <v>2</v>
      </c>
      <c r="E5" s="292">
        <v>3</v>
      </c>
      <c r="F5" s="292">
        <v>4</v>
      </c>
      <c r="G5" s="292">
        <v>5</v>
      </c>
      <c r="H5" s="292">
        <v>6</v>
      </c>
      <c r="I5" s="292">
        <v>15</v>
      </c>
      <c r="J5" s="292">
        <v>99</v>
      </c>
      <c r="K5" s="164"/>
      <c r="L5" s="291">
        <v>7</v>
      </c>
      <c r="M5" s="287">
        <v>8</v>
      </c>
      <c r="N5" s="287">
        <v>9</v>
      </c>
      <c r="O5" s="287">
        <v>10</v>
      </c>
      <c r="P5" s="285"/>
      <c r="Q5" s="291">
        <v>12</v>
      </c>
      <c r="R5" s="287">
        <v>13</v>
      </c>
      <c r="S5" s="286"/>
      <c r="T5" s="15"/>
      <c r="U5" s="15"/>
      <c r="V5" s="15"/>
      <c r="W5" s="15"/>
      <c r="X5" s="15"/>
      <c r="Y5" s="15"/>
      <c r="Z5" s="15"/>
    </row>
    <row r="6" spans="1:26" s="261" customFormat="1" x14ac:dyDescent="0.25">
      <c r="A6" s="280" t="s">
        <v>38</v>
      </c>
      <c r="B6" s="275" t="s">
        <v>130</v>
      </c>
      <c r="C6" s="275">
        <v>1549762</v>
      </c>
      <c r="D6" s="275">
        <v>161061</v>
      </c>
      <c r="E6" s="275">
        <v>961969</v>
      </c>
      <c r="F6" s="275">
        <v>441638</v>
      </c>
      <c r="G6" s="275">
        <v>123346</v>
      </c>
      <c r="H6" s="275">
        <v>89190</v>
      </c>
      <c r="I6" s="275"/>
      <c r="J6" s="275"/>
      <c r="K6" s="274">
        <v>3326966</v>
      </c>
      <c r="L6" s="288"/>
      <c r="M6" s="275">
        <v>816617</v>
      </c>
      <c r="N6" s="275">
        <v>1204127</v>
      </c>
      <c r="O6" s="275">
        <v>292760</v>
      </c>
      <c r="P6" s="274">
        <v>2313504</v>
      </c>
      <c r="Q6" s="288">
        <v>49717</v>
      </c>
      <c r="R6" s="275">
        <v>79335</v>
      </c>
      <c r="S6" s="276">
        <v>129052</v>
      </c>
      <c r="T6" s="15"/>
      <c r="U6" s="15"/>
      <c r="V6" s="15"/>
      <c r="W6" s="15"/>
      <c r="X6" s="15"/>
      <c r="Y6" s="15"/>
      <c r="Z6" s="15"/>
    </row>
    <row r="7" spans="1:26" s="261" customFormat="1" x14ac:dyDescent="0.25">
      <c r="A7" s="281"/>
      <c r="B7" s="278" t="s">
        <v>134</v>
      </c>
      <c r="C7" s="278">
        <v>1588642</v>
      </c>
      <c r="D7" s="278">
        <v>155382</v>
      </c>
      <c r="E7" s="278">
        <v>1010120</v>
      </c>
      <c r="F7" s="278">
        <v>432241</v>
      </c>
      <c r="G7" s="278">
        <v>124756</v>
      </c>
      <c r="H7" s="278">
        <v>85702</v>
      </c>
      <c r="I7" s="278"/>
      <c r="J7" s="278"/>
      <c r="K7" s="277">
        <v>3396843</v>
      </c>
      <c r="L7" s="289"/>
      <c r="M7" s="278">
        <v>801324</v>
      </c>
      <c r="N7" s="278">
        <v>1150347</v>
      </c>
      <c r="O7" s="278">
        <v>283170</v>
      </c>
      <c r="P7" s="277">
        <v>2234841</v>
      </c>
      <c r="Q7" s="289">
        <v>49502</v>
      </c>
      <c r="R7" s="278">
        <v>74055</v>
      </c>
      <c r="S7" s="279">
        <v>123557</v>
      </c>
      <c r="T7" s="15"/>
      <c r="U7" s="15"/>
      <c r="V7" s="15"/>
      <c r="W7" s="15"/>
      <c r="X7" s="15"/>
      <c r="Y7" s="15"/>
      <c r="Z7" s="15"/>
    </row>
    <row r="8" spans="1:26" s="261" customFormat="1" x14ac:dyDescent="0.25">
      <c r="A8" s="281"/>
      <c r="B8" s="275" t="s">
        <v>131</v>
      </c>
      <c r="C8" s="275">
        <v>65970</v>
      </c>
      <c r="D8" s="275">
        <v>1991</v>
      </c>
      <c r="E8" s="275">
        <v>157476</v>
      </c>
      <c r="F8" s="275">
        <v>40275</v>
      </c>
      <c r="G8" s="275">
        <v>3794</v>
      </c>
      <c r="H8" s="275">
        <v>63163</v>
      </c>
      <c r="I8" s="275">
        <v>0</v>
      </c>
      <c r="J8" s="275">
        <v>0</v>
      </c>
      <c r="K8" s="274">
        <v>332669</v>
      </c>
      <c r="L8" s="288">
        <v>0</v>
      </c>
      <c r="M8" s="275">
        <v>154118</v>
      </c>
      <c r="N8" s="275">
        <v>163221</v>
      </c>
      <c r="O8" s="275">
        <v>64844</v>
      </c>
      <c r="P8" s="274">
        <v>382183</v>
      </c>
      <c r="Q8" s="288">
        <v>3740</v>
      </c>
      <c r="R8" s="275">
        <v>6456</v>
      </c>
      <c r="S8" s="276">
        <v>10196</v>
      </c>
      <c r="T8" s="15"/>
      <c r="U8" s="15"/>
      <c r="V8" s="15"/>
      <c r="W8" s="15"/>
      <c r="X8" s="15"/>
      <c r="Y8" s="15"/>
      <c r="Z8" s="15"/>
    </row>
    <row r="9" spans="1:26" s="261" customFormat="1" x14ac:dyDescent="0.25">
      <c r="A9" s="281"/>
      <c r="B9" s="278" t="s">
        <v>135</v>
      </c>
      <c r="C9" s="278">
        <v>79932</v>
      </c>
      <c r="D9" s="278">
        <v>2542</v>
      </c>
      <c r="E9" s="278">
        <v>207173</v>
      </c>
      <c r="F9" s="278">
        <v>42961</v>
      </c>
      <c r="G9" s="278">
        <v>5747</v>
      </c>
      <c r="H9" s="278">
        <v>61157</v>
      </c>
      <c r="I9" s="278">
        <v>0</v>
      </c>
      <c r="J9" s="278">
        <v>0</v>
      </c>
      <c r="K9" s="277">
        <v>399512</v>
      </c>
      <c r="L9" s="289">
        <v>0</v>
      </c>
      <c r="M9" s="278">
        <v>163099</v>
      </c>
      <c r="N9" s="278">
        <v>170990</v>
      </c>
      <c r="O9" s="278">
        <v>64476</v>
      </c>
      <c r="P9" s="277">
        <v>398565</v>
      </c>
      <c r="Q9" s="289">
        <v>3402</v>
      </c>
      <c r="R9" s="278">
        <v>8988</v>
      </c>
      <c r="S9" s="279">
        <v>12390</v>
      </c>
      <c r="T9" s="15"/>
      <c r="U9" s="15"/>
      <c r="V9" s="15"/>
      <c r="W9" s="15"/>
      <c r="X9" s="15"/>
      <c r="Y9" s="15"/>
      <c r="Z9" s="15"/>
    </row>
    <row r="10" spans="1:26" s="261" customFormat="1" x14ac:dyDescent="0.25">
      <c r="A10" s="281"/>
      <c r="B10" s="275" t="s">
        <v>132</v>
      </c>
      <c r="C10" s="275">
        <v>235423</v>
      </c>
      <c r="D10" s="275">
        <v>21952</v>
      </c>
      <c r="E10" s="275">
        <v>105605</v>
      </c>
      <c r="F10" s="275">
        <v>49129</v>
      </c>
      <c r="G10" s="275">
        <v>57895</v>
      </c>
      <c r="H10" s="275">
        <v>0</v>
      </c>
      <c r="I10" s="275"/>
      <c r="J10" s="275"/>
      <c r="K10" s="274">
        <v>470004</v>
      </c>
      <c r="L10" s="288"/>
      <c r="M10" s="275">
        <v>0</v>
      </c>
      <c r="N10" s="275">
        <v>0</v>
      </c>
      <c r="O10" s="275">
        <v>0</v>
      </c>
      <c r="P10" s="274">
        <v>0</v>
      </c>
      <c r="Q10" s="288">
        <v>0</v>
      </c>
      <c r="R10" s="275">
        <v>0</v>
      </c>
      <c r="S10" s="276">
        <v>0</v>
      </c>
      <c r="T10" s="15"/>
      <c r="U10" s="15"/>
      <c r="V10" s="15"/>
      <c r="W10" s="15"/>
      <c r="X10" s="15"/>
      <c r="Y10" s="15"/>
      <c r="Z10" s="15"/>
    </row>
    <row r="11" spans="1:26" s="261" customFormat="1" x14ac:dyDescent="0.25">
      <c r="A11" s="281"/>
      <c r="B11" s="278" t="s">
        <v>136</v>
      </c>
      <c r="C11" s="278">
        <v>240622</v>
      </c>
      <c r="D11" s="278">
        <v>23176</v>
      </c>
      <c r="E11" s="278">
        <v>109587</v>
      </c>
      <c r="F11" s="278">
        <v>45224</v>
      </c>
      <c r="G11" s="278">
        <v>58285</v>
      </c>
      <c r="H11" s="278">
        <v>0</v>
      </c>
      <c r="I11" s="278"/>
      <c r="J11" s="278"/>
      <c r="K11" s="277">
        <v>476894</v>
      </c>
      <c r="L11" s="289"/>
      <c r="M11" s="278">
        <v>0</v>
      </c>
      <c r="N11" s="278">
        <v>0</v>
      </c>
      <c r="O11" s="278">
        <v>0</v>
      </c>
      <c r="P11" s="277">
        <v>0</v>
      </c>
      <c r="Q11" s="289">
        <v>0</v>
      </c>
      <c r="R11" s="278">
        <v>0</v>
      </c>
      <c r="S11" s="279">
        <v>0</v>
      </c>
      <c r="T11" s="15"/>
      <c r="U11" s="15"/>
      <c r="V11" s="15"/>
      <c r="W11" s="15"/>
      <c r="X11" s="15"/>
      <c r="Y11" s="15"/>
      <c r="Z11" s="15"/>
    </row>
    <row r="12" spans="1:26" s="261" customFormat="1" x14ac:dyDescent="0.25">
      <c r="A12" s="281"/>
      <c r="B12" s="275" t="s">
        <v>133</v>
      </c>
      <c r="C12" s="275">
        <v>25712</v>
      </c>
      <c r="D12" s="275">
        <v>3580</v>
      </c>
      <c r="E12" s="275">
        <v>31748</v>
      </c>
      <c r="F12" s="275">
        <v>10955</v>
      </c>
      <c r="G12" s="275">
        <v>42922</v>
      </c>
      <c r="H12" s="275">
        <v>0</v>
      </c>
      <c r="I12" s="275">
        <v>0</v>
      </c>
      <c r="J12" s="275">
        <v>0</v>
      </c>
      <c r="K12" s="274">
        <v>114917</v>
      </c>
      <c r="L12" s="288">
        <v>0</v>
      </c>
      <c r="M12" s="275">
        <v>0</v>
      </c>
      <c r="N12" s="275">
        <v>0</v>
      </c>
      <c r="O12" s="275">
        <v>0</v>
      </c>
      <c r="P12" s="274">
        <v>0</v>
      </c>
      <c r="Q12" s="288">
        <v>0</v>
      </c>
      <c r="R12" s="275">
        <v>0</v>
      </c>
      <c r="S12" s="276">
        <v>0</v>
      </c>
      <c r="T12" s="15"/>
      <c r="U12" s="15"/>
      <c r="V12" s="15"/>
      <c r="W12" s="15"/>
      <c r="X12" s="15"/>
      <c r="Y12" s="15"/>
      <c r="Z12" s="15"/>
    </row>
    <row r="13" spans="1:26" s="261" customFormat="1" x14ac:dyDescent="0.25">
      <c r="A13" s="282"/>
      <c r="B13" s="278" t="s">
        <v>137</v>
      </c>
      <c r="C13" s="278">
        <v>30678</v>
      </c>
      <c r="D13" s="278">
        <v>3908</v>
      </c>
      <c r="E13" s="278">
        <v>39776</v>
      </c>
      <c r="F13" s="278">
        <v>15656</v>
      </c>
      <c r="G13" s="278">
        <v>42647</v>
      </c>
      <c r="H13" s="278">
        <v>0</v>
      </c>
      <c r="I13" s="278">
        <v>0</v>
      </c>
      <c r="J13" s="278">
        <v>0</v>
      </c>
      <c r="K13" s="277">
        <v>132665</v>
      </c>
      <c r="L13" s="289">
        <v>0</v>
      </c>
      <c r="M13" s="278">
        <v>0</v>
      </c>
      <c r="N13" s="278">
        <v>0</v>
      </c>
      <c r="O13" s="278">
        <v>0</v>
      </c>
      <c r="P13" s="277">
        <v>0</v>
      </c>
      <c r="Q13" s="289">
        <v>0</v>
      </c>
      <c r="R13" s="278">
        <v>0</v>
      </c>
      <c r="S13" s="279">
        <v>0</v>
      </c>
      <c r="T13" s="15"/>
      <c r="U13" s="15"/>
      <c r="V13" s="15"/>
      <c r="W13" s="15"/>
      <c r="X13" s="15"/>
      <c r="Y13" s="15"/>
      <c r="Z13" s="15"/>
    </row>
    <row r="14" spans="1:26" s="261" customFormat="1" x14ac:dyDescent="0.25">
      <c r="A14" s="280" t="s">
        <v>40</v>
      </c>
      <c r="B14" s="275" t="s">
        <v>130</v>
      </c>
      <c r="C14" s="275">
        <v>473313</v>
      </c>
      <c r="D14" s="275"/>
      <c r="E14" s="275">
        <v>778618</v>
      </c>
      <c r="F14" s="275">
        <v>383965</v>
      </c>
      <c r="G14" s="275">
        <v>70587</v>
      </c>
      <c r="H14" s="275">
        <v>284271</v>
      </c>
      <c r="I14" s="275"/>
      <c r="J14" s="275"/>
      <c r="K14" s="288">
        <v>1990754</v>
      </c>
      <c r="L14" s="275"/>
      <c r="M14" s="275">
        <v>417183</v>
      </c>
      <c r="N14" s="275">
        <v>193056</v>
      </c>
      <c r="O14" s="275">
        <v>743120</v>
      </c>
      <c r="P14" s="288">
        <v>1353359</v>
      </c>
      <c r="Q14" s="275"/>
      <c r="R14" s="294"/>
      <c r="S14" s="276"/>
      <c r="T14" s="15"/>
      <c r="U14" s="15"/>
      <c r="V14" s="15"/>
      <c r="W14" s="15"/>
      <c r="X14" s="15"/>
      <c r="Y14" s="15"/>
      <c r="Z14" s="15"/>
    </row>
    <row r="15" spans="1:26" s="261" customFormat="1" x14ac:dyDescent="0.25">
      <c r="A15" s="281"/>
      <c r="B15" s="278" t="s">
        <v>134</v>
      </c>
      <c r="C15" s="278">
        <v>525893</v>
      </c>
      <c r="D15" s="278"/>
      <c r="E15" s="278">
        <v>785555</v>
      </c>
      <c r="F15" s="278">
        <v>399791</v>
      </c>
      <c r="G15" s="278">
        <v>72002</v>
      </c>
      <c r="H15" s="278">
        <v>280667</v>
      </c>
      <c r="I15" s="278"/>
      <c r="J15" s="278"/>
      <c r="K15" s="289">
        <v>2063908</v>
      </c>
      <c r="L15" s="278"/>
      <c r="M15" s="278">
        <v>435744</v>
      </c>
      <c r="N15" s="278">
        <v>192915</v>
      </c>
      <c r="O15" s="278">
        <v>727792</v>
      </c>
      <c r="P15" s="289">
        <v>1356451</v>
      </c>
      <c r="Q15" s="278"/>
      <c r="R15" s="295"/>
      <c r="S15" s="279"/>
      <c r="T15" s="15"/>
      <c r="U15" s="15"/>
      <c r="V15" s="15"/>
      <c r="W15" s="15"/>
      <c r="X15" s="15"/>
      <c r="Y15" s="15"/>
      <c r="Z15" s="15"/>
    </row>
    <row r="16" spans="1:26" s="261" customFormat="1" x14ac:dyDescent="0.25">
      <c r="A16" s="281"/>
      <c r="B16" s="275" t="s">
        <v>131</v>
      </c>
      <c r="C16" s="275">
        <v>15109</v>
      </c>
      <c r="D16" s="275">
        <v>0</v>
      </c>
      <c r="E16" s="275">
        <v>118459</v>
      </c>
      <c r="F16" s="275">
        <v>45687</v>
      </c>
      <c r="G16" s="275">
        <v>9894</v>
      </c>
      <c r="H16" s="275">
        <v>30094</v>
      </c>
      <c r="I16" s="275">
        <v>0</v>
      </c>
      <c r="J16" s="275">
        <v>0</v>
      </c>
      <c r="K16" s="288">
        <v>219243</v>
      </c>
      <c r="L16" s="275">
        <v>0</v>
      </c>
      <c r="M16" s="275">
        <v>112983</v>
      </c>
      <c r="N16" s="275">
        <v>31542</v>
      </c>
      <c r="O16" s="275">
        <v>131038</v>
      </c>
      <c r="P16" s="288">
        <v>275563</v>
      </c>
      <c r="Q16" s="275">
        <v>0</v>
      </c>
      <c r="R16" s="294">
        <v>0</v>
      </c>
      <c r="S16" s="276">
        <v>0</v>
      </c>
      <c r="T16" s="15"/>
      <c r="U16" s="15"/>
      <c r="V16" s="15"/>
      <c r="W16" s="15"/>
      <c r="X16" s="15"/>
      <c r="Y16" s="15"/>
      <c r="Z16" s="15"/>
    </row>
    <row r="17" spans="1:26" s="261" customFormat="1" x14ac:dyDescent="0.25">
      <c r="A17" s="281"/>
      <c r="B17" s="278" t="s">
        <v>135</v>
      </c>
      <c r="C17" s="278">
        <v>15554</v>
      </c>
      <c r="D17" s="278">
        <v>0</v>
      </c>
      <c r="E17" s="278">
        <v>127844</v>
      </c>
      <c r="F17" s="278">
        <v>55034</v>
      </c>
      <c r="G17" s="278">
        <v>11817</v>
      </c>
      <c r="H17" s="278">
        <v>32443</v>
      </c>
      <c r="I17" s="278">
        <v>0</v>
      </c>
      <c r="J17" s="278">
        <v>0</v>
      </c>
      <c r="K17" s="289">
        <v>242692</v>
      </c>
      <c r="L17" s="278">
        <v>0</v>
      </c>
      <c r="M17" s="278">
        <v>121356</v>
      </c>
      <c r="N17" s="278">
        <v>34522</v>
      </c>
      <c r="O17" s="278">
        <v>138112</v>
      </c>
      <c r="P17" s="289">
        <v>293990</v>
      </c>
      <c r="Q17" s="278">
        <v>0</v>
      </c>
      <c r="R17" s="295">
        <v>0</v>
      </c>
      <c r="S17" s="279">
        <v>0</v>
      </c>
      <c r="T17" s="15"/>
      <c r="U17" s="15"/>
      <c r="V17" s="15"/>
      <c r="W17" s="15"/>
      <c r="X17" s="15"/>
      <c r="Y17" s="15"/>
      <c r="Z17" s="15"/>
    </row>
    <row r="18" spans="1:26" s="261" customFormat="1" x14ac:dyDescent="0.25">
      <c r="A18" s="281"/>
      <c r="B18" s="275" t="s">
        <v>132</v>
      </c>
      <c r="C18" s="275">
        <v>75584</v>
      </c>
      <c r="D18" s="275"/>
      <c r="E18" s="275">
        <v>153797</v>
      </c>
      <c r="F18" s="275">
        <v>28370</v>
      </c>
      <c r="G18" s="275">
        <v>2591</v>
      </c>
      <c r="H18" s="275">
        <v>2132</v>
      </c>
      <c r="I18" s="275"/>
      <c r="J18" s="275"/>
      <c r="K18" s="288">
        <v>262474</v>
      </c>
      <c r="L18" s="275"/>
      <c r="M18" s="275">
        <v>0</v>
      </c>
      <c r="N18" s="275">
        <v>0</v>
      </c>
      <c r="O18" s="275">
        <v>0</v>
      </c>
      <c r="P18" s="288">
        <v>0</v>
      </c>
      <c r="Q18" s="275"/>
      <c r="R18" s="294"/>
      <c r="S18" s="276"/>
      <c r="T18" s="15"/>
      <c r="U18" s="15"/>
      <c r="V18" s="15"/>
      <c r="W18" s="15"/>
      <c r="X18" s="15"/>
      <c r="Y18" s="15"/>
      <c r="Z18" s="15"/>
    </row>
    <row r="19" spans="1:26" s="261" customFormat="1" x14ac:dyDescent="0.25">
      <c r="A19" s="281"/>
      <c r="B19" s="278" t="s">
        <v>136</v>
      </c>
      <c r="C19" s="278">
        <v>77183</v>
      </c>
      <c r="D19" s="278"/>
      <c r="E19" s="278">
        <v>166189</v>
      </c>
      <c r="F19" s="278">
        <v>28836</v>
      </c>
      <c r="G19" s="278">
        <v>2079</v>
      </c>
      <c r="H19" s="278">
        <v>1885</v>
      </c>
      <c r="I19" s="278"/>
      <c r="J19" s="278"/>
      <c r="K19" s="289">
        <v>276172</v>
      </c>
      <c r="L19" s="278"/>
      <c r="M19" s="278">
        <v>0</v>
      </c>
      <c r="N19" s="278">
        <v>0</v>
      </c>
      <c r="O19" s="278">
        <v>0</v>
      </c>
      <c r="P19" s="289">
        <v>0</v>
      </c>
      <c r="Q19" s="278"/>
      <c r="R19" s="295"/>
      <c r="S19" s="279"/>
      <c r="T19" s="15"/>
      <c r="U19" s="15"/>
      <c r="V19" s="15"/>
      <c r="W19" s="15"/>
      <c r="X19" s="15"/>
      <c r="Y19" s="15"/>
      <c r="Z19" s="15"/>
    </row>
    <row r="20" spans="1:26" s="261" customFormat="1" x14ac:dyDescent="0.25">
      <c r="A20" s="281"/>
      <c r="B20" s="275" t="s">
        <v>133</v>
      </c>
      <c r="C20" s="275">
        <v>15067</v>
      </c>
      <c r="D20" s="275">
        <v>0</v>
      </c>
      <c r="E20" s="275">
        <v>65000</v>
      </c>
      <c r="F20" s="275">
        <v>10410</v>
      </c>
      <c r="G20" s="275">
        <v>1286</v>
      </c>
      <c r="H20" s="275">
        <v>417</v>
      </c>
      <c r="I20" s="275">
        <v>0</v>
      </c>
      <c r="J20" s="275">
        <v>0</v>
      </c>
      <c r="K20" s="288">
        <v>92180</v>
      </c>
      <c r="L20" s="275">
        <v>0</v>
      </c>
      <c r="M20" s="275">
        <v>0</v>
      </c>
      <c r="N20" s="275">
        <v>0</v>
      </c>
      <c r="O20" s="275">
        <v>0</v>
      </c>
      <c r="P20" s="288">
        <v>0</v>
      </c>
      <c r="Q20" s="275">
        <v>0</v>
      </c>
      <c r="R20" s="294">
        <v>0</v>
      </c>
      <c r="S20" s="276">
        <v>0</v>
      </c>
      <c r="T20" s="15"/>
      <c r="U20" s="15"/>
      <c r="V20" s="15"/>
      <c r="W20" s="15"/>
      <c r="X20" s="15"/>
      <c r="Y20" s="15"/>
      <c r="Z20" s="15"/>
    </row>
    <row r="21" spans="1:26" s="261" customFormat="1" x14ac:dyDescent="0.25">
      <c r="A21" s="282"/>
      <c r="B21" s="278" t="s">
        <v>137</v>
      </c>
      <c r="C21" s="278">
        <v>16628</v>
      </c>
      <c r="D21" s="278">
        <v>0</v>
      </c>
      <c r="E21" s="278">
        <v>78329</v>
      </c>
      <c r="F21" s="278">
        <v>11524</v>
      </c>
      <c r="G21" s="278">
        <v>1020</v>
      </c>
      <c r="H21" s="278">
        <v>255</v>
      </c>
      <c r="I21" s="278">
        <v>0</v>
      </c>
      <c r="J21" s="278">
        <v>0</v>
      </c>
      <c r="K21" s="289">
        <v>107756</v>
      </c>
      <c r="L21" s="278">
        <v>0</v>
      </c>
      <c r="M21" s="278">
        <v>0</v>
      </c>
      <c r="N21" s="278">
        <v>0</v>
      </c>
      <c r="O21" s="278">
        <v>0</v>
      </c>
      <c r="P21" s="289">
        <v>0</v>
      </c>
      <c r="Q21" s="278">
        <v>0</v>
      </c>
      <c r="R21" s="295">
        <v>0</v>
      </c>
      <c r="S21" s="279">
        <v>0</v>
      </c>
      <c r="T21" s="15"/>
      <c r="U21" s="15"/>
      <c r="V21" s="15"/>
      <c r="W21" s="15"/>
      <c r="X21" s="15"/>
      <c r="Y21" s="15"/>
      <c r="Z21" s="15"/>
    </row>
    <row r="22" spans="1:26" s="261" customFormat="1" x14ac:dyDescent="0.25">
      <c r="A22" s="280" t="s">
        <v>41</v>
      </c>
      <c r="B22" s="275" t="s">
        <v>130</v>
      </c>
      <c r="C22" s="275">
        <v>519545</v>
      </c>
      <c r="D22" s="275"/>
      <c r="E22" s="275"/>
      <c r="F22" s="275">
        <v>105469</v>
      </c>
      <c r="G22" s="275"/>
      <c r="H22" s="275"/>
      <c r="I22" s="275"/>
      <c r="J22" s="275"/>
      <c r="K22" s="288">
        <v>625014</v>
      </c>
      <c r="L22" s="275"/>
      <c r="M22" s="275">
        <v>162690</v>
      </c>
      <c r="N22" s="275">
        <v>180809</v>
      </c>
      <c r="O22" s="275"/>
      <c r="P22" s="288">
        <v>343499</v>
      </c>
      <c r="Q22" s="275"/>
      <c r="R22" s="294"/>
      <c r="S22" s="276"/>
      <c r="T22" s="15"/>
      <c r="U22" s="15"/>
      <c r="V22" s="15"/>
      <c r="W22" s="15"/>
      <c r="X22" s="15"/>
      <c r="Y22" s="15"/>
      <c r="Z22" s="15"/>
    </row>
    <row r="23" spans="1:26" s="261" customFormat="1" x14ac:dyDescent="0.25">
      <c r="A23" s="281"/>
      <c r="B23" s="278" t="s">
        <v>134</v>
      </c>
      <c r="C23" s="278">
        <v>525599</v>
      </c>
      <c r="D23" s="278"/>
      <c r="E23" s="278"/>
      <c r="F23" s="278">
        <v>105618</v>
      </c>
      <c r="G23" s="278"/>
      <c r="H23" s="278"/>
      <c r="I23" s="278"/>
      <c r="J23" s="278"/>
      <c r="K23" s="289">
        <v>631217</v>
      </c>
      <c r="L23" s="278"/>
      <c r="M23" s="278">
        <v>157752</v>
      </c>
      <c r="N23" s="278">
        <v>178768</v>
      </c>
      <c r="O23" s="278"/>
      <c r="P23" s="289">
        <v>336520</v>
      </c>
      <c r="Q23" s="278"/>
      <c r="R23" s="295"/>
      <c r="S23" s="279"/>
      <c r="T23" s="15"/>
      <c r="U23" s="15"/>
      <c r="V23" s="15"/>
      <c r="W23" s="15"/>
      <c r="X23" s="15"/>
      <c r="Y23" s="15"/>
      <c r="Z23" s="15"/>
    </row>
    <row r="24" spans="1:26" s="261" customFormat="1" x14ac:dyDescent="0.25">
      <c r="A24" s="281"/>
      <c r="B24" s="275" t="s">
        <v>131</v>
      </c>
      <c r="C24" s="275">
        <v>18191</v>
      </c>
      <c r="D24" s="275">
        <v>0</v>
      </c>
      <c r="E24" s="275">
        <v>0</v>
      </c>
      <c r="F24" s="275">
        <v>96</v>
      </c>
      <c r="G24" s="275">
        <v>0</v>
      </c>
      <c r="H24" s="275">
        <v>0</v>
      </c>
      <c r="I24" s="275">
        <v>0</v>
      </c>
      <c r="J24" s="275">
        <v>0</v>
      </c>
      <c r="K24" s="288">
        <v>18287</v>
      </c>
      <c r="L24" s="275">
        <v>0</v>
      </c>
      <c r="M24" s="275">
        <v>16805</v>
      </c>
      <c r="N24" s="275">
        <v>30623</v>
      </c>
      <c r="O24" s="275">
        <v>0</v>
      </c>
      <c r="P24" s="288">
        <v>47428</v>
      </c>
      <c r="Q24" s="275">
        <v>0</v>
      </c>
      <c r="R24" s="294">
        <v>0</v>
      </c>
      <c r="S24" s="276">
        <v>0</v>
      </c>
      <c r="T24" s="15"/>
      <c r="U24" s="15"/>
      <c r="V24" s="15"/>
      <c r="W24" s="15"/>
      <c r="X24" s="15"/>
      <c r="Y24" s="15"/>
      <c r="Z24" s="15"/>
    </row>
    <row r="25" spans="1:26" s="261" customFormat="1" x14ac:dyDescent="0.25">
      <c r="A25" s="281"/>
      <c r="B25" s="278" t="s">
        <v>135</v>
      </c>
      <c r="C25" s="278">
        <v>15918</v>
      </c>
      <c r="D25" s="278">
        <v>0</v>
      </c>
      <c r="E25" s="278">
        <v>0</v>
      </c>
      <c r="F25" s="278">
        <v>1731</v>
      </c>
      <c r="G25" s="278">
        <v>0</v>
      </c>
      <c r="H25" s="278">
        <v>0</v>
      </c>
      <c r="I25" s="278">
        <v>0</v>
      </c>
      <c r="J25" s="278">
        <v>0</v>
      </c>
      <c r="K25" s="289">
        <v>17649</v>
      </c>
      <c r="L25" s="278">
        <v>0</v>
      </c>
      <c r="M25" s="278">
        <v>20973</v>
      </c>
      <c r="N25" s="278">
        <v>34033</v>
      </c>
      <c r="O25" s="278">
        <v>0</v>
      </c>
      <c r="P25" s="289">
        <v>55006</v>
      </c>
      <c r="Q25" s="278">
        <v>0</v>
      </c>
      <c r="R25" s="295">
        <v>0</v>
      </c>
      <c r="S25" s="279">
        <v>0</v>
      </c>
      <c r="T25" s="15"/>
      <c r="U25" s="15"/>
      <c r="V25" s="15"/>
      <c r="W25" s="15"/>
      <c r="X25" s="15"/>
      <c r="Y25" s="15"/>
      <c r="Z25" s="15"/>
    </row>
    <row r="26" spans="1:26" s="261" customFormat="1" x14ac:dyDescent="0.25">
      <c r="A26" s="281"/>
      <c r="B26" s="275" t="s">
        <v>132</v>
      </c>
      <c r="C26" s="275">
        <v>54654</v>
      </c>
      <c r="D26" s="275"/>
      <c r="E26" s="275"/>
      <c r="F26" s="275">
        <v>8878</v>
      </c>
      <c r="G26" s="275"/>
      <c r="H26" s="275"/>
      <c r="I26" s="275"/>
      <c r="J26" s="275"/>
      <c r="K26" s="288">
        <v>63532</v>
      </c>
      <c r="L26" s="275"/>
      <c r="M26" s="275">
        <v>0</v>
      </c>
      <c r="N26" s="275">
        <v>0</v>
      </c>
      <c r="O26" s="275"/>
      <c r="P26" s="288">
        <v>0</v>
      </c>
      <c r="Q26" s="275"/>
      <c r="R26" s="294"/>
      <c r="S26" s="276"/>
      <c r="T26" s="15"/>
      <c r="U26" s="15"/>
      <c r="V26" s="15"/>
      <c r="W26" s="15"/>
      <c r="X26" s="15"/>
      <c r="Y26" s="15"/>
      <c r="Z26" s="15"/>
    </row>
    <row r="27" spans="1:26" s="261" customFormat="1" x14ac:dyDescent="0.25">
      <c r="A27" s="281"/>
      <c r="B27" s="278" t="s">
        <v>136</v>
      </c>
      <c r="C27" s="278">
        <v>51744</v>
      </c>
      <c r="D27" s="278"/>
      <c r="E27" s="278"/>
      <c r="F27" s="278">
        <v>11247</v>
      </c>
      <c r="G27" s="278"/>
      <c r="H27" s="278"/>
      <c r="I27" s="278"/>
      <c r="J27" s="278"/>
      <c r="K27" s="289">
        <v>62991</v>
      </c>
      <c r="L27" s="278"/>
      <c r="M27" s="278">
        <v>0</v>
      </c>
      <c r="N27" s="278">
        <v>0</v>
      </c>
      <c r="O27" s="278"/>
      <c r="P27" s="289">
        <v>0</v>
      </c>
      <c r="Q27" s="278"/>
      <c r="R27" s="295"/>
      <c r="S27" s="279"/>
      <c r="T27" s="15"/>
      <c r="U27" s="15"/>
      <c r="V27" s="15"/>
      <c r="W27" s="15"/>
      <c r="X27" s="15"/>
      <c r="Y27" s="15"/>
      <c r="Z27" s="15"/>
    </row>
    <row r="28" spans="1:26" s="261" customFormat="1" x14ac:dyDescent="0.25">
      <c r="A28" s="281"/>
      <c r="B28" s="275" t="s">
        <v>133</v>
      </c>
      <c r="C28" s="275">
        <v>3432</v>
      </c>
      <c r="D28" s="275">
        <v>0</v>
      </c>
      <c r="E28" s="275">
        <v>0</v>
      </c>
      <c r="F28" s="275">
        <v>27</v>
      </c>
      <c r="G28" s="275">
        <v>0</v>
      </c>
      <c r="H28" s="275">
        <v>0</v>
      </c>
      <c r="I28" s="275">
        <v>0</v>
      </c>
      <c r="J28" s="275">
        <v>0</v>
      </c>
      <c r="K28" s="288">
        <v>3459</v>
      </c>
      <c r="L28" s="275">
        <v>0</v>
      </c>
      <c r="M28" s="275">
        <v>0</v>
      </c>
      <c r="N28" s="275">
        <v>0</v>
      </c>
      <c r="O28" s="275">
        <v>0</v>
      </c>
      <c r="P28" s="288">
        <v>0</v>
      </c>
      <c r="Q28" s="275">
        <v>0</v>
      </c>
      <c r="R28" s="294">
        <v>0</v>
      </c>
      <c r="S28" s="276">
        <v>0</v>
      </c>
      <c r="T28" s="15"/>
      <c r="U28" s="15"/>
      <c r="V28" s="15"/>
      <c r="W28" s="15"/>
      <c r="X28" s="15"/>
      <c r="Y28" s="15"/>
      <c r="Z28" s="15"/>
    </row>
    <row r="29" spans="1:26" s="261" customFormat="1" x14ac:dyDescent="0.25">
      <c r="A29" s="282"/>
      <c r="B29" s="278" t="s">
        <v>137</v>
      </c>
      <c r="C29" s="278">
        <v>2922</v>
      </c>
      <c r="D29" s="278">
        <v>0</v>
      </c>
      <c r="E29" s="278">
        <v>0</v>
      </c>
      <c r="F29" s="278">
        <v>3480</v>
      </c>
      <c r="G29" s="278">
        <v>0</v>
      </c>
      <c r="H29" s="278">
        <v>0</v>
      </c>
      <c r="I29" s="278">
        <v>0</v>
      </c>
      <c r="J29" s="278">
        <v>0</v>
      </c>
      <c r="K29" s="289">
        <v>6402</v>
      </c>
      <c r="L29" s="278">
        <v>0</v>
      </c>
      <c r="M29" s="278">
        <v>0</v>
      </c>
      <c r="N29" s="278">
        <v>0</v>
      </c>
      <c r="O29" s="278">
        <v>0</v>
      </c>
      <c r="P29" s="289">
        <v>0</v>
      </c>
      <c r="Q29" s="278">
        <v>0</v>
      </c>
      <c r="R29" s="295">
        <v>0</v>
      </c>
      <c r="S29" s="279">
        <v>0</v>
      </c>
      <c r="T29" s="15"/>
      <c r="U29" s="15"/>
      <c r="V29" s="15"/>
      <c r="W29" s="15"/>
      <c r="X29" s="15"/>
      <c r="Y29" s="15"/>
      <c r="Z29" s="15"/>
    </row>
    <row r="30" spans="1:26" s="261" customFormat="1" x14ac:dyDescent="0.25">
      <c r="A30" s="280" t="s">
        <v>42</v>
      </c>
      <c r="B30" s="275" t="s">
        <v>130</v>
      </c>
      <c r="C30" s="275">
        <v>5146567</v>
      </c>
      <c r="D30" s="275">
        <v>570235</v>
      </c>
      <c r="E30" s="275">
        <v>953563</v>
      </c>
      <c r="F30" s="275">
        <v>268823</v>
      </c>
      <c r="G30" s="275"/>
      <c r="H30" s="275">
        <v>27680</v>
      </c>
      <c r="I30" s="275"/>
      <c r="J30" s="275"/>
      <c r="K30" s="288">
        <v>6966868</v>
      </c>
      <c r="L30" s="275">
        <v>4203398</v>
      </c>
      <c r="M30" s="275">
        <v>5522972</v>
      </c>
      <c r="N30" s="275">
        <v>484330</v>
      </c>
      <c r="O30" s="275">
        <v>55835</v>
      </c>
      <c r="P30" s="288">
        <v>10266535</v>
      </c>
      <c r="Q30" s="275"/>
      <c r="R30" s="294"/>
      <c r="S30" s="276"/>
      <c r="T30" s="15"/>
      <c r="U30" s="15"/>
      <c r="V30" s="15"/>
      <c r="W30" s="15"/>
      <c r="X30" s="15"/>
      <c r="Y30" s="15"/>
      <c r="Z30" s="15"/>
    </row>
    <row r="31" spans="1:26" s="261" customFormat="1" x14ac:dyDescent="0.25">
      <c r="A31" s="281"/>
      <c r="B31" s="278" t="s">
        <v>134</v>
      </c>
      <c r="C31" s="278">
        <v>5303102</v>
      </c>
      <c r="D31" s="278">
        <v>599677</v>
      </c>
      <c r="E31" s="278">
        <v>962337.5</v>
      </c>
      <c r="F31" s="278">
        <v>288563</v>
      </c>
      <c r="G31" s="278"/>
      <c r="H31" s="278">
        <v>28208</v>
      </c>
      <c r="I31" s="278"/>
      <c r="J31" s="278"/>
      <c r="K31" s="289">
        <v>7181887.5</v>
      </c>
      <c r="L31" s="278">
        <v>4309508</v>
      </c>
      <c r="M31" s="278">
        <v>5702741</v>
      </c>
      <c r="N31" s="278">
        <v>485740</v>
      </c>
      <c r="O31" s="278">
        <v>53854</v>
      </c>
      <c r="P31" s="289">
        <v>10551843</v>
      </c>
      <c r="Q31" s="278"/>
      <c r="R31" s="295"/>
      <c r="S31" s="279"/>
      <c r="T31" s="15"/>
      <c r="U31" s="15"/>
      <c r="V31" s="15"/>
      <c r="W31" s="15"/>
      <c r="X31" s="15"/>
      <c r="Y31" s="15"/>
      <c r="Z31" s="15"/>
    </row>
    <row r="32" spans="1:26" s="261" customFormat="1" x14ac:dyDescent="0.25">
      <c r="A32" s="281"/>
      <c r="B32" s="275" t="s">
        <v>131</v>
      </c>
      <c r="C32" s="275">
        <v>999740</v>
      </c>
      <c r="D32" s="275">
        <v>37041</v>
      </c>
      <c r="E32" s="275">
        <v>130797</v>
      </c>
      <c r="F32" s="275">
        <v>51796</v>
      </c>
      <c r="G32" s="275">
        <v>0</v>
      </c>
      <c r="H32" s="275">
        <v>0</v>
      </c>
      <c r="I32" s="275">
        <v>0</v>
      </c>
      <c r="J32" s="275">
        <v>0</v>
      </c>
      <c r="K32" s="288">
        <v>1219374</v>
      </c>
      <c r="L32" s="275">
        <v>960466</v>
      </c>
      <c r="M32" s="275">
        <v>1176144</v>
      </c>
      <c r="N32" s="275">
        <v>136382</v>
      </c>
      <c r="O32" s="275">
        <v>15826</v>
      </c>
      <c r="P32" s="288">
        <v>2288818</v>
      </c>
      <c r="Q32" s="275">
        <v>0</v>
      </c>
      <c r="R32" s="294">
        <v>0</v>
      </c>
      <c r="S32" s="276">
        <v>0</v>
      </c>
      <c r="T32" s="15"/>
      <c r="U32" s="15"/>
      <c r="V32" s="15"/>
      <c r="W32" s="15"/>
      <c r="X32" s="15"/>
      <c r="Y32" s="15"/>
      <c r="Z32" s="15"/>
    </row>
    <row r="33" spans="1:26" s="261" customFormat="1" x14ac:dyDescent="0.25">
      <c r="A33" s="281"/>
      <c r="B33" s="278" t="s">
        <v>135</v>
      </c>
      <c r="C33" s="278">
        <v>1073681</v>
      </c>
      <c r="D33" s="278">
        <v>44769</v>
      </c>
      <c r="E33" s="278">
        <v>142670</v>
      </c>
      <c r="F33" s="278">
        <v>50153</v>
      </c>
      <c r="G33" s="278">
        <v>0</v>
      </c>
      <c r="H33" s="278">
        <v>0</v>
      </c>
      <c r="I33" s="278">
        <v>0</v>
      </c>
      <c r="J33" s="278">
        <v>0</v>
      </c>
      <c r="K33" s="289">
        <v>1311273</v>
      </c>
      <c r="L33" s="278">
        <v>1358258</v>
      </c>
      <c r="M33" s="278">
        <v>1508168</v>
      </c>
      <c r="N33" s="278">
        <v>153018</v>
      </c>
      <c r="O33" s="278">
        <v>31007</v>
      </c>
      <c r="P33" s="289">
        <v>3050451</v>
      </c>
      <c r="Q33" s="278">
        <v>0</v>
      </c>
      <c r="R33" s="295">
        <v>0</v>
      </c>
      <c r="S33" s="279">
        <v>0</v>
      </c>
      <c r="T33" s="15"/>
      <c r="U33" s="15"/>
      <c r="V33" s="15"/>
      <c r="W33" s="15"/>
      <c r="X33" s="15"/>
      <c r="Y33" s="15"/>
      <c r="Z33" s="15"/>
    </row>
    <row r="34" spans="1:26" s="261" customFormat="1" x14ac:dyDescent="0.25">
      <c r="A34" s="281"/>
      <c r="B34" s="275" t="s">
        <v>132</v>
      </c>
      <c r="C34" s="275">
        <v>1045371</v>
      </c>
      <c r="D34" s="275">
        <v>80819</v>
      </c>
      <c r="E34" s="275">
        <v>114242</v>
      </c>
      <c r="F34" s="275">
        <v>24078</v>
      </c>
      <c r="G34" s="275"/>
      <c r="H34" s="275">
        <v>0</v>
      </c>
      <c r="I34" s="275"/>
      <c r="J34" s="275"/>
      <c r="K34" s="288">
        <v>1264510</v>
      </c>
      <c r="L34" s="275">
        <v>0</v>
      </c>
      <c r="M34" s="275">
        <v>0</v>
      </c>
      <c r="N34" s="275">
        <v>0</v>
      </c>
      <c r="O34" s="275">
        <v>0</v>
      </c>
      <c r="P34" s="288">
        <v>0</v>
      </c>
      <c r="Q34" s="275"/>
      <c r="R34" s="294"/>
      <c r="S34" s="276"/>
      <c r="T34" s="15"/>
      <c r="U34" s="15"/>
      <c r="V34" s="15"/>
      <c r="W34" s="15"/>
      <c r="X34" s="15"/>
      <c r="Y34" s="15"/>
      <c r="Z34" s="15"/>
    </row>
    <row r="35" spans="1:26" s="261" customFormat="1" x14ac:dyDescent="0.25">
      <c r="A35" s="281"/>
      <c r="B35" s="278" t="s">
        <v>136</v>
      </c>
      <c r="C35" s="278">
        <v>1019154</v>
      </c>
      <c r="D35" s="278">
        <v>78558</v>
      </c>
      <c r="E35" s="278">
        <v>114575.5</v>
      </c>
      <c r="F35" s="278">
        <v>23963</v>
      </c>
      <c r="G35" s="278"/>
      <c r="H35" s="278">
        <v>0</v>
      </c>
      <c r="I35" s="278"/>
      <c r="J35" s="278"/>
      <c r="K35" s="289">
        <v>1236250.5</v>
      </c>
      <c r="L35" s="278">
        <v>0</v>
      </c>
      <c r="M35" s="278">
        <v>0</v>
      </c>
      <c r="N35" s="278">
        <v>0</v>
      </c>
      <c r="O35" s="278">
        <v>0</v>
      </c>
      <c r="P35" s="289">
        <v>0</v>
      </c>
      <c r="Q35" s="278"/>
      <c r="R35" s="295"/>
      <c r="S35" s="279"/>
      <c r="T35" s="15"/>
      <c r="U35" s="15"/>
      <c r="V35" s="15"/>
      <c r="W35" s="15"/>
      <c r="X35" s="15"/>
      <c r="Y35" s="15"/>
      <c r="Z35" s="15"/>
    </row>
    <row r="36" spans="1:26" s="261" customFormat="1" x14ac:dyDescent="0.25">
      <c r="A36" s="281"/>
      <c r="B36" s="275" t="s">
        <v>133</v>
      </c>
      <c r="C36" s="275">
        <v>233454</v>
      </c>
      <c r="D36" s="275">
        <v>19659</v>
      </c>
      <c r="E36" s="275">
        <v>26241</v>
      </c>
      <c r="F36" s="275">
        <v>10149</v>
      </c>
      <c r="G36" s="275">
        <v>0</v>
      </c>
      <c r="H36" s="275">
        <v>0</v>
      </c>
      <c r="I36" s="275">
        <v>0</v>
      </c>
      <c r="J36" s="275">
        <v>0</v>
      </c>
      <c r="K36" s="288">
        <v>289503</v>
      </c>
      <c r="L36" s="275">
        <v>0</v>
      </c>
      <c r="M36" s="275">
        <v>0</v>
      </c>
      <c r="N36" s="275">
        <v>0</v>
      </c>
      <c r="O36" s="275">
        <v>0</v>
      </c>
      <c r="P36" s="288">
        <v>0</v>
      </c>
      <c r="Q36" s="275">
        <v>0</v>
      </c>
      <c r="R36" s="294">
        <v>0</v>
      </c>
      <c r="S36" s="276">
        <v>0</v>
      </c>
      <c r="T36" s="15"/>
      <c r="U36" s="15"/>
      <c r="V36" s="15"/>
      <c r="W36" s="15"/>
      <c r="X36" s="15"/>
      <c r="Y36" s="15"/>
      <c r="Z36" s="15"/>
    </row>
    <row r="37" spans="1:26" s="261" customFormat="1" x14ac:dyDescent="0.25">
      <c r="A37" s="282"/>
      <c r="B37" s="278" t="s">
        <v>137</v>
      </c>
      <c r="C37" s="278">
        <v>208728</v>
      </c>
      <c r="D37" s="278">
        <v>18884</v>
      </c>
      <c r="E37" s="278">
        <v>26536</v>
      </c>
      <c r="F37" s="278">
        <v>9381</v>
      </c>
      <c r="G37" s="278">
        <v>0</v>
      </c>
      <c r="H37" s="278">
        <v>0</v>
      </c>
      <c r="I37" s="278">
        <v>0</v>
      </c>
      <c r="J37" s="278">
        <v>0</v>
      </c>
      <c r="K37" s="289">
        <v>263529</v>
      </c>
      <c r="L37" s="278">
        <v>0</v>
      </c>
      <c r="M37" s="278">
        <v>0</v>
      </c>
      <c r="N37" s="278">
        <v>0</v>
      </c>
      <c r="O37" s="278">
        <v>0</v>
      </c>
      <c r="P37" s="289">
        <v>0</v>
      </c>
      <c r="Q37" s="278">
        <v>0</v>
      </c>
      <c r="R37" s="295">
        <v>0</v>
      </c>
      <c r="S37" s="279">
        <v>0</v>
      </c>
      <c r="T37" s="15"/>
      <c r="U37" s="15"/>
      <c r="V37" s="15"/>
      <c r="W37" s="15"/>
      <c r="X37" s="15"/>
      <c r="Y37" s="15"/>
      <c r="Z37" s="15"/>
    </row>
    <row r="38" spans="1:26" s="261" customFormat="1" x14ac:dyDescent="0.25">
      <c r="A38" s="280" t="s">
        <v>43</v>
      </c>
      <c r="B38" s="275" t="s">
        <v>130</v>
      </c>
      <c r="C38" s="275"/>
      <c r="D38" s="275"/>
      <c r="E38" s="275"/>
      <c r="F38" s="275"/>
      <c r="G38" s="275"/>
      <c r="H38" s="275"/>
      <c r="I38" s="275"/>
      <c r="J38" s="275"/>
      <c r="K38" s="288"/>
      <c r="L38" s="275"/>
      <c r="M38" s="275"/>
      <c r="N38" s="275"/>
      <c r="O38" s="275"/>
      <c r="P38" s="288"/>
      <c r="Q38" s="275">
        <v>3091550.3697899994</v>
      </c>
      <c r="R38" s="294"/>
      <c r="S38" s="276">
        <v>3091550.3697899994</v>
      </c>
      <c r="T38" s="15"/>
      <c r="U38" s="15"/>
      <c r="V38" s="15"/>
      <c r="W38" s="15"/>
      <c r="X38" s="15"/>
      <c r="Y38" s="15"/>
      <c r="Z38" s="15"/>
    </row>
    <row r="39" spans="1:26" s="261" customFormat="1" x14ac:dyDescent="0.25">
      <c r="A39" s="281"/>
      <c r="B39" s="278" t="s">
        <v>134</v>
      </c>
      <c r="C39" s="278"/>
      <c r="D39" s="278"/>
      <c r="E39" s="278"/>
      <c r="F39" s="278"/>
      <c r="G39" s="278"/>
      <c r="H39" s="278"/>
      <c r="I39" s="278"/>
      <c r="J39" s="278"/>
      <c r="K39" s="289"/>
      <c r="L39" s="278"/>
      <c r="M39" s="278"/>
      <c r="N39" s="278"/>
      <c r="O39" s="278"/>
      <c r="P39" s="289"/>
      <c r="Q39" s="278">
        <v>2900244.5000000005</v>
      </c>
      <c r="R39" s="295"/>
      <c r="S39" s="279">
        <v>2900244.5000000005</v>
      </c>
      <c r="T39" s="15"/>
      <c r="U39" s="15"/>
      <c r="V39" s="15"/>
      <c r="W39" s="15"/>
      <c r="X39" s="15"/>
      <c r="Y39" s="15"/>
      <c r="Z39" s="15"/>
    </row>
    <row r="40" spans="1:26" s="261" customFormat="1" x14ac:dyDescent="0.25">
      <c r="A40" s="281"/>
      <c r="B40" s="275" t="s">
        <v>131</v>
      </c>
      <c r="C40" s="275">
        <v>0</v>
      </c>
      <c r="D40" s="275">
        <v>0</v>
      </c>
      <c r="E40" s="275">
        <v>0</v>
      </c>
      <c r="F40" s="275">
        <v>0</v>
      </c>
      <c r="G40" s="275">
        <v>0</v>
      </c>
      <c r="H40" s="275">
        <v>0</v>
      </c>
      <c r="I40" s="275">
        <v>0</v>
      </c>
      <c r="J40" s="275">
        <v>0</v>
      </c>
      <c r="K40" s="288">
        <v>0</v>
      </c>
      <c r="L40" s="275">
        <v>0</v>
      </c>
      <c r="M40" s="275">
        <v>0</v>
      </c>
      <c r="N40" s="275">
        <v>0</v>
      </c>
      <c r="O40" s="275">
        <v>0</v>
      </c>
      <c r="P40" s="288">
        <v>0</v>
      </c>
      <c r="Q40" s="275">
        <v>617566.21010000014</v>
      </c>
      <c r="R40" s="294">
        <v>0</v>
      </c>
      <c r="S40" s="276">
        <v>617566.21010000014</v>
      </c>
      <c r="T40" s="15"/>
      <c r="U40" s="15"/>
      <c r="V40" s="15"/>
      <c r="W40" s="15"/>
      <c r="X40" s="15"/>
      <c r="Y40" s="15"/>
      <c r="Z40" s="15"/>
    </row>
    <row r="41" spans="1:26" s="261" customFormat="1" x14ac:dyDescent="0.25">
      <c r="A41" s="281"/>
      <c r="B41" s="278" t="s">
        <v>135</v>
      </c>
      <c r="C41" s="278">
        <v>0</v>
      </c>
      <c r="D41" s="278">
        <v>0</v>
      </c>
      <c r="E41" s="278">
        <v>0</v>
      </c>
      <c r="F41" s="278">
        <v>0</v>
      </c>
      <c r="G41" s="278">
        <v>0</v>
      </c>
      <c r="H41" s="278">
        <v>0</v>
      </c>
      <c r="I41" s="278">
        <v>0</v>
      </c>
      <c r="J41" s="278">
        <v>0</v>
      </c>
      <c r="K41" s="289">
        <v>0</v>
      </c>
      <c r="L41" s="278">
        <v>0</v>
      </c>
      <c r="M41" s="278">
        <v>0</v>
      </c>
      <c r="N41" s="278">
        <v>0</v>
      </c>
      <c r="O41" s="278">
        <v>0</v>
      </c>
      <c r="P41" s="289">
        <v>0</v>
      </c>
      <c r="Q41" s="278">
        <v>651259.60000000009</v>
      </c>
      <c r="R41" s="295">
        <v>0</v>
      </c>
      <c r="S41" s="279">
        <v>651259.60000000009</v>
      </c>
      <c r="T41" s="15"/>
      <c r="U41" s="15"/>
      <c r="V41" s="15"/>
      <c r="W41" s="15"/>
      <c r="X41" s="15"/>
      <c r="Y41" s="15"/>
      <c r="Z41" s="15"/>
    </row>
    <row r="42" spans="1:26" s="261" customFormat="1" x14ac:dyDescent="0.25">
      <c r="A42" s="281"/>
      <c r="B42" s="275" t="s">
        <v>132</v>
      </c>
      <c r="C42" s="275"/>
      <c r="D42" s="275"/>
      <c r="E42" s="275"/>
      <c r="F42" s="275"/>
      <c r="G42" s="275"/>
      <c r="H42" s="275"/>
      <c r="I42" s="275"/>
      <c r="J42" s="275"/>
      <c r="K42" s="288"/>
      <c r="L42" s="275"/>
      <c r="M42" s="275"/>
      <c r="N42" s="275"/>
      <c r="O42" s="275"/>
      <c r="P42" s="288"/>
      <c r="Q42" s="275">
        <v>0</v>
      </c>
      <c r="R42" s="294"/>
      <c r="S42" s="276">
        <v>0</v>
      </c>
      <c r="T42" s="15"/>
      <c r="U42" s="15"/>
      <c r="V42" s="15"/>
      <c r="W42" s="15"/>
      <c r="X42" s="15"/>
      <c r="Y42" s="15"/>
      <c r="Z42" s="15"/>
    </row>
    <row r="43" spans="1:26" s="261" customFormat="1" x14ac:dyDescent="0.25">
      <c r="A43" s="281"/>
      <c r="B43" s="278" t="s">
        <v>136</v>
      </c>
      <c r="C43" s="278"/>
      <c r="D43" s="278"/>
      <c r="E43" s="278"/>
      <c r="F43" s="278"/>
      <c r="G43" s="278"/>
      <c r="H43" s="278"/>
      <c r="I43" s="278"/>
      <c r="J43" s="278"/>
      <c r="K43" s="289"/>
      <c r="L43" s="278"/>
      <c r="M43" s="278"/>
      <c r="N43" s="278"/>
      <c r="O43" s="278"/>
      <c r="P43" s="289"/>
      <c r="Q43" s="278">
        <v>0</v>
      </c>
      <c r="R43" s="295"/>
      <c r="S43" s="279">
        <v>0</v>
      </c>
      <c r="T43" s="15"/>
      <c r="U43" s="15"/>
      <c r="V43" s="15"/>
      <c r="W43" s="15"/>
      <c r="X43" s="15"/>
      <c r="Y43" s="15"/>
      <c r="Z43" s="15"/>
    </row>
    <row r="44" spans="1:26" s="261" customFormat="1" x14ac:dyDescent="0.25">
      <c r="A44" s="281"/>
      <c r="B44" s="275" t="s">
        <v>133</v>
      </c>
      <c r="C44" s="275">
        <v>0</v>
      </c>
      <c r="D44" s="275">
        <v>0</v>
      </c>
      <c r="E44" s="275">
        <v>0</v>
      </c>
      <c r="F44" s="275">
        <v>0</v>
      </c>
      <c r="G44" s="275">
        <v>0</v>
      </c>
      <c r="H44" s="275">
        <v>0</v>
      </c>
      <c r="I44" s="275">
        <v>0</v>
      </c>
      <c r="J44" s="275">
        <v>0</v>
      </c>
      <c r="K44" s="288">
        <v>0</v>
      </c>
      <c r="L44" s="275">
        <v>0</v>
      </c>
      <c r="M44" s="275">
        <v>0</v>
      </c>
      <c r="N44" s="275">
        <v>0</v>
      </c>
      <c r="O44" s="275">
        <v>0</v>
      </c>
      <c r="P44" s="288">
        <v>0</v>
      </c>
      <c r="Q44" s="275">
        <v>0</v>
      </c>
      <c r="R44" s="294">
        <v>0</v>
      </c>
      <c r="S44" s="276">
        <v>0</v>
      </c>
      <c r="T44" s="15"/>
      <c r="U44" s="15"/>
      <c r="V44" s="15"/>
      <c r="W44" s="15"/>
      <c r="X44" s="15"/>
      <c r="Y44" s="15"/>
      <c r="Z44" s="15"/>
    </row>
    <row r="45" spans="1:26" s="261" customFormat="1" x14ac:dyDescent="0.25">
      <c r="A45" s="282"/>
      <c r="B45" s="278" t="s">
        <v>137</v>
      </c>
      <c r="C45" s="278">
        <v>0</v>
      </c>
      <c r="D45" s="278">
        <v>0</v>
      </c>
      <c r="E45" s="278">
        <v>0</v>
      </c>
      <c r="F45" s="278">
        <v>0</v>
      </c>
      <c r="G45" s="278">
        <v>0</v>
      </c>
      <c r="H45" s="278">
        <v>0</v>
      </c>
      <c r="I45" s="278">
        <v>0</v>
      </c>
      <c r="J45" s="278">
        <v>0</v>
      </c>
      <c r="K45" s="289">
        <v>0</v>
      </c>
      <c r="L45" s="278">
        <v>0</v>
      </c>
      <c r="M45" s="278">
        <v>0</v>
      </c>
      <c r="N45" s="278">
        <v>0</v>
      </c>
      <c r="O45" s="278">
        <v>0</v>
      </c>
      <c r="P45" s="289">
        <v>0</v>
      </c>
      <c r="Q45" s="278">
        <v>0</v>
      </c>
      <c r="R45" s="295">
        <v>0</v>
      </c>
      <c r="S45" s="279">
        <v>0</v>
      </c>
      <c r="T45" s="15"/>
      <c r="U45" s="15"/>
      <c r="V45" s="15"/>
      <c r="W45" s="15"/>
      <c r="X45" s="15"/>
      <c r="Y45" s="15"/>
      <c r="Z45" s="15"/>
    </row>
    <row r="46" spans="1:26" s="261" customFormat="1" x14ac:dyDescent="0.25">
      <c r="A46" s="280" t="s">
        <v>44</v>
      </c>
      <c r="B46" s="275" t="s">
        <v>130</v>
      </c>
      <c r="C46" s="275">
        <v>933808</v>
      </c>
      <c r="D46" s="275"/>
      <c r="E46" s="275">
        <v>1247754</v>
      </c>
      <c r="F46" s="275">
        <v>398429</v>
      </c>
      <c r="G46" s="275"/>
      <c r="H46" s="275"/>
      <c r="I46" s="275"/>
      <c r="J46" s="275"/>
      <c r="K46" s="288">
        <v>2579991</v>
      </c>
      <c r="L46" s="275"/>
      <c r="M46" s="275">
        <v>553195</v>
      </c>
      <c r="N46" s="275">
        <v>1013200</v>
      </c>
      <c r="O46" s="275">
        <v>114870</v>
      </c>
      <c r="P46" s="288">
        <v>1681265</v>
      </c>
      <c r="Q46" s="275">
        <v>137533</v>
      </c>
      <c r="R46" s="294"/>
      <c r="S46" s="276">
        <v>137533</v>
      </c>
      <c r="T46" s="15"/>
      <c r="U46" s="15"/>
      <c r="V46" s="15"/>
      <c r="W46" s="15"/>
      <c r="X46" s="15"/>
      <c r="Y46" s="15"/>
      <c r="Z46" s="15"/>
    </row>
    <row r="47" spans="1:26" s="261" customFormat="1" x14ac:dyDescent="0.25">
      <c r="A47" s="281"/>
      <c r="B47" s="278" t="s">
        <v>134</v>
      </c>
      <c r="C47" s="278">
        <v>952973.5</v>
      </c>
      <c r="D47" s="278"/>
      <c r="E47" s="278">
        <v>1237192</v>
      </c>
      <c r="F47" s="278">
        <v>398500</v>
      </c>
      <c r="G47" s="278"/>
      <c r="H47" s="278"/>
      <c r="I47" s="278"/>
      <c r="J47" s="278"/>
      <c r="K47" s="289">
        <v>2588665.5</v>
      </c>
      <c r="L47" s="278"/>
      <c r="M47" s="278">
        <v>552702</v>
      </c>
      <c r="N47" s="278">
        <v>1018276</v>
      </c>
      <c r="O47" s="278">
        <v>111599</v>
      </c>
      <c r="P47" s="289">
        <v>1682577</v>
      </c>
      <c r="Q47" s="278">
        <v>144514</v>
      </c>
      <c r="R47" s="295"/>
      <c r="S47" s="279">
        <v>144514</v>
      </c>
      <c r="T47" s="15"/>
      <c r="U47" s="15"/>
      <c r="V47" s="15"/>
      <c r="W47" s="15"/>
      <c r="X47" s="15"/>
      <c r="Y47" s="15"/>
      <c r="Z47" s="15"/>
    </row>
    <row r="48" spans="1:26" s="261" customFormat="1" x14ac:dyDescent="0.25">
      <c r="A48" s="281"/>
      <c r="B48" s="275" t="s">
        <v>131</v>
      </c>
      <c r="C48" s="275">
        <v>40145</v>
      </c>
      <c r="D48" s="275">
        <v>0</v>
      </c>
      <c r="E48" s="275">
        <v>180189</v>
      </c>
      <c r="F48" s="275">
        <v>40337</v>
      </c>
      <c r="G48" s="275">
        <v>0</v>
      </c>
      <c r="H48" s="275">
        <v>0</v>
      </c>
      <c r="I48" s="275">
        <v>0</v>
      </c>
      <c r="J48" s="275">
        <v>0</v>
      </c>
      <c r="K48" s="288">
        <v>260671</v>
      </c>
      <c r="L48" s="275">
        <v>0</v>
      </c>
      <c r="M48" s="275">
        <v>118920</v>
      </c>
      <c r="N48" s="275">
        <v>290137</v>
      </c>
      <c r="O48" s="275">
        <v>36121</v>
      </c>
      <c r="P48" s="288">
        <v>445178</v>
      </c>
      <c r="Q48" s="275">
        <v>10371</v>
      </c>
      <c r="R48" s="294">
        <v>0</v>
      </c>
      <c r="S48" s="276">
        <v>10371</v>
      </c>
      <c r="T48" s="15"/>
      <c r="U48" s="15"/>
      <c r="V48" s="15"/>
      <c r="W48" s="15"/>
      <c r="X48" s="15"/>
      <c r="Y48" s="15"/>
      <c r="Z48" s="15"/>
    </row>
    <row r="49" spans="1:26" s="261" customFormat="1" x14ac:dyDescent="0.25">
      <c r="A49" s="281"/>
      <c r="B49" s="278" t="s">
        <v>135</v>
      </c>
      <c r="C49" s="278">
        <v>49583</v>
      </c>
      <c r="D49" s="278">
        <v>0</v>
      </c>
      <c r="E49" s="278">
        <v>185952.5</v>
      </c>
      <c r="F49" s="278">
        <v>51128</v>
      </c>
      <c r="G49" s="278">
        <v>0</v>
      </c>
      <c r="H49" s="278">
        <v>0</v>
      </c>
      <c r="I49" s="278">
        <v>0</v>
      </c>
      <c r="J49" s="278">
        <v>0</v>
      </c>
      <c r="K49" s="289">
        <v>286663.5</v>
      </c>
      <c r="L49" s="278">
        <v>0</v>
      </c>
      <c r="M49" s="278">
        <v>132797</v>
      </c>
      <c r="N49" s="278">
        <v>321016</v>
      </c>
      <c r="O49" s="278">
        <v>41111</v>
      </c>
      <c r="P49" s="289">
        <v>494924</v>
      </c>
      <c r="Q49" s="278">
        <v>14730</v>
      </c>
      <c r="R49" s="295">
        <v>0</v>
      </c>
      <c r="S49" s="279">
        <v>14730</v>
      </c>
      <c r="T49" s="15"/>
      <c r="U49" s="15"/>
      <c r="V49" s="15"/>
      <c r="W49" s="15"/>
      <c r="X49" s="15"/>
      <c r="Y49" s="15"/>
      <c r="Z49" s="15"/>
    </row>
    <row r="50" spans="1:26" s="261" customFormat="1" x14ac:dyDescent="0.25">
      <c r="A50" s="281"/>
      <c r="B50" s="275" t="s">
        <v>132</v>
      </c>
      <c r="C50" s="275">
        <v>158576</v>
      </c>
      <c r="D50" s="275"/>
      <c r="E50" s="275">
        <v>127279</v>
      </c>
      <c r="F50" s="275">
        <v>41099</v>
      </c>
      <c r="G50" s="275"/>
      <c r="H50" s="275"/>
      <c r="I50" s="275"/>
      <c r="J50" s="275"/>
      <c r="K50" s="288">
        <v>326954</v>
      </c>
      <c r="L50" s="275"/>
      <c r="M50" s="275">
        <v>0</v>
      </c>
      <c r="N50" s="275">
        <v>0</v>
      </c>
      <c r="O50" s="275">
        <v>0</v>
      </c>
      <c r="P50" s="288">
        <v>0</v>
      </c>
      <c r="Q50" s="275">
        <v>0</v>
      </c>
      <c r="R50" s="294"/>
      <c r="S50" s="276">
        <v>0</v>
      </c>
      <c r="T50" s="15"/>
      <c r="U50" s="15"/>
      <c r="V50" s="15"/>
      <c r="W50" s="15"/>
      <c r="X50" s="15"/>
      <c r="Y50" s="15"/>
      <c r="Z50" s="15"/>
    </row>
    <row r="51" spans="1:26" s="261" customFormat="1" x14ac:dyDescent="0.25">
      <c r="A51" s="281"/>
      <c r="B51" s="278" t="s">
        <v>136</v>
      </c>
      <c r="C51" s="278">
        <v>163831</v>
      </c>
      <c r="D51" s="278"/>
      <c r="E51" s="278">
        <v>141565.5</v>
      </c>
      <c r="F51" s="278">
        <v>45328</v>
      </c>
      <c r="G51" s="278"/>
      <c r="H51" s="278"/>
      <c r="I51" s="278"/>
      <c r="J51" s="278"/>
      <c r="K51" s="289">
        <v>350724.5</v>
      </c>
      <c r="L51" s="278"/>
      <c r="M51" s="278">
        <v>0</v>
      </c>
      <c r="N51" s="278">
        <v>0</v>
      </c>
      <c r="O51" s="278">
        <v>0</v>
      </c>
      <c r="P51" s="289">
        <v>0</v>
      </c>
      <c r="Q51" s="278">
        <v>0</v>
      </c>
      <c r="R51" s="295"/>
      <c r="S51" s="279">
        <v>0</v>
      </c>
      <c r="T51" s="15"/>
      <c r="U51" s="15"/>
      <c r="V51" s="15"/>
      <c r="W51" s="15"/>
      <c r="X51" s="15"/>
      <c r="Y51" s="15"/>
      <c r="Z51" s="15"/>
    </row>
    <row r="52" spans="1:26" s="261" customFormat="1" x14ac:dyDescent="0.25">
      <c r="A52" s="281"/>
      <c r="B52" s="275" t="s">
        <v>133</v>
      </c>
      <c r="C52" s="275">
        <v>12517</v>
      </c>
      <c r="D52" s="275">
        <v>0</v>
      </c>
      <c r="E52" s="275">
        <v>59381</v>
      </c>
      <c r="F52" s="275">
        <v>8996</v>
      </c>
      <c r="G52" s="275">
        <v>0</v>
      </c>
      <c r="H52" s="275">
        <v>0</v>
      </c>
      <c r="I52" s="275">
        <v>0</v>
      </c>
      <c r="J52" s="275">
        <v>0</v>
      </c>
      <c r="K52" s="288">
        <v>80894</v>
      </c>
      <c r="L52" s="275">
        <v>0</v>
      </c>
      <c r="M52" s="275">
        <v>0</v>
      </c>
      <c r="N52" s="275">
        <v>0</v>
      </c>
      <c r="O52" s="275">
        <v>0</v>
      </c>
      <c r="P52" s="288">
        <v>0</v>
      </c>
      <c r="Q52" s="275">
        <v>0</v>
      </c>
      <c r="R52" s="294">
        <v>0</v>
      </c>
      <c r="S52" s="276">
        <v>0</v>
      </c>
      <c r="T52" s="15"/>
      <c r="U52" s="15"/>
      <c r="V52" s="15"/>
      <c r="W52" s="15"/>
      <c r="X52" s="15"/>
      <c r="Y52" s="15"/>
      <c r="Z52" s="15"/>
    </row>
    <row r="53" spans="1:26" s="261" customFormat="1" x14ac:dyDescent="0.25">
      <c r="A53" s="282"/>
      <c r="B53" s="278" t="s">
        <v>137</v>
      </c>
      <c r="C53" s="278">
        <v>15989</v>
      </c>
      <c r="D53" s="278">
        <v>0</v>
      </c>
      <c r="E53" s="278">
        <v>69669.5</v>
      </c>
      <c r="F53" s="278">
        <v>11076</v>
      </c>
      <c r="G53" s="278">
        <v>0</v>
      </c>
      <c r="H53" s="278">
        <v>0</v>
      </c>
      <c r="I53" s="278">
        <v>0</v>
      </c>
      <c r="J53" s="278">
        <v>0</v>
      </c>
      <c r="K53" s="289">
        <v>96734.5</v>
      </c>
      <c r="L53" s="278">
        <v>0</v>
      </c>
      <c r="M53" s="278">
        <v>0</v>
      </c>
      <c r="N53" s="278">
        <v>0</v>
      </c>
      <c r="O53" s="278">
        <v>0</v>
      </c>
      <c r="P53" s="289">
        <v>0</v>
      </c>
      <c r="Q53" s="278">
        <v>0</v>
      </c>
      <c r="R53" s="295">
        <v>0</v>
      </c>
      <c r="S53" s="279">
        <v>0</v>
      </c>
      <c r="T53" s="15"/>
      <c r="U53" s="15"/>
      <c r="V53" s="15"/>
      <c r="W53" s="15"/>
      <c r="X53" s="15"/>
      <c r="Y53" s="15"/>
      <c r="Z53" s="15"/>
    </row>
    <row r="54" spans="1:26" s="261" customFormat="1" x14ac:dyDescent="0.25">
      <c r="A54" s="280" t="s">
        <v>45</v>
      </c>
      <c r="B54" s="275" t="s">
        <v>130</v>
      </c>
      <c r="C54" s="275"/>
      <c r="D54" s="275"/>
      <c r="E54" s="275"/>
      <c r="F54" s="275"/>
      <c r="G54" s="275"/>
      <c r="H54" s="275"/>
      <c r="I54" s="275"/>
      <c r="J54" s="275"/>
      <c r="K54" s="288"/>
      <c r="L54" s="275"/>
      <c r="M54" s="275"/>
      <c r="N54" s="275"/>
      <c r="O54" s="275"/>
      <c r="P54" s="288"/>
      <c r="Q54" s="275"/>
      <c r="R54" s="294"/>
      <c r="S54" s="276"/>
      <c r="T54" s="15"/>
      <c r="U54" s="15"/>
      <c r="V54" s="15"/>
      <c r="W54" s="15"/>
      <c r="X54" s="15"/>
      <c r="Y54" s="15"/>
      <c r="Z54" s="15"/>
    </row>
    <row r="55" spans="1:26" s="261" customFormat="1" x14ac:dyDescent="0.25">
      <c r="A55" s="281"/>
      <c r="B55" s="278" t="s">
        <v>134</v>
      </c>
      <c r="C55" s="278"/>
      <c r="D55" s="278"/>
      <c r="E55" s="278"/>
      <c r="F55" s="278"/>
      <c r="G55" s="278"/>
      <c r="H55" s="278"/>
      <c r="I55" s="278"/>
      <c r="J55" s="278"/>
      <c r="K55" s="289"/>
      <c r="L55" s="278"/>
      <c r="M55" s="278"/>
      <c r="N55" s="278"/>
      <c r="O55" s="278"/>
      <c r="P55" s="289"/>
      <c r="Q55" s="278"/>
      <c r="R55" s="295"/>
      <c r="S55" s="279"/>
      <c r="T55" s="15"/>
      <c r="U55" s="15"/>
      <c r="V55" s="15"/>
      <c r="W55" s="15"/>
      <c r="X55" s="15"/>
      <c r="Y55" s="15"/>
      <c r="Z55" s="15"/>
    </row>
    <row r="56" spans="1:26" s="261" customFormat="1" x14ac:dyDescent="0.25">
      <c r="A56" s="281"/>
      <c r="B56" s="275" t="s">
        <v>131</v>
      </c>
      <c r="C56" s="275">
        <v>0</v>
      </c>
      <c r="D56" s="275">
        <v>0</v>
      </c>
      <c r="E56" s="275">
        <v>0</v>
      </c>
      <c r="F56" s="275">
        <v>0</v>
      </c>
      <c r="G56" s="275">
        <v>0</v>
      </c>
      <c r="H56" s="275">
        <v>0</v>
      </c>
      <c r="I56" s="275">
        <v>0</v>
      </c>
      <c r="J56" s="275">
        <v>0</v>
      </c>
      <c r="K56" s="288">
        <v>0</v>
      </c>
      <c r="L56" s="275">
        <v>0</v>
      </c>
      <c r="M56" s="275">
        <v>0</v>
      </c>
      <c r="N56" s="275">
        <v>0</v>
      </c>
      <c r="O56" s="275">
        <v>0</v>
      </c>
      <c r="P56" s="288">
        <v>0</v>
      </c>
      <c r="Q56" s="275">
        <v>0</v>
      </c>
      <c r="R56" s="294">
        <v>0</v>
      </c>
      <c r="S56" s="276">
        <v>0</v>
      </c>
      <c r="T56" s="15"/>
      <c r="U56" s="15"/>
      <c r="V56" s="15"/>
      <c r="W56" s="15"/>
      <c r="X56" s="15"/>
      <c r="Y56" s="15"/>
      <c r="Z56" s="15"/>
    </row>
    <row r="57" spans="1:26" s="261" customFormat="1" x14ac:dyDescent="0.25">
      <c r="A57" s="281"/>
      <c r="B57" s="278" t="s">
        <v>135</v>
      </c>
      <c r="C57" s="278">
        <v>0</v>
      </c>
      <c r="D57" s="278">
        <v>0</v>
      </c>
      <c r="E57" s="278">
        <v>0</v>
      </c>
      <c r="F57" s="278">
        <v>0</v>
      </c>
      <c r="G57" s="278">
        <v>0</v>
      </c>
      <c r="H57" s="278">
        <v>0</v>
      </c>
      <c r="I57" s="278">
        <v>0</v>
      </c>
      <c r="J57" s="278">
        <v>0</v>
      </c>
      <c r="K57" s="289">
        <v>0</v>
      </c>
      <c r="L57" s="278">
        <v>0</v>
      </c>
      <c r="M57" s="278">
        <v>0</v>
      </c>
      <c r="N57" s="278">
        <v>0</v>
      </c>
      <c r="O57" s="278">
        <v>0</v>
      </c>
      <c r="P57" s="289">
        <v>0</v>
      </c>
      <c r="Q57" s="278">
        <v>0</v>
      </c>
      <c r="R57" s="295">
        <v>0</v>
      </c>
      <c r="S57" s="279">
        <v>0</v>
      </c>
      <c r="T57" s="15"/>
      <c r="U57" s="15"/>
      <c r="V57" s="15"/>
      <c r="W57" s="15"/>
      <c r="X57" s="15"/>
      <c r="Y57" s="15"/>
      <c r="Z57" s="15"/>
    </row>
    <row r="58" spans="1:26" s="261" customFormat="1" x14ac:dyDescent="0.25">
      <c r="A58" s="281"/>
      <c r="B58" s="275" t="s">
        <v>132</v>
      </c>
      <c r="C58" s="275"/>
      <c r="D58" s="275"/>
      <c r="E58" s="275"/>
      <c r="F58" s="275"/>
      <c r="G58" s="275"/>
      <c r="H58" s="275"/>
      <c r="I58" s="275"/>
      <c r="J58" s="275"/>
      <c r="K58" s="288"/>
      <c r="L58" s="275"/>
      <c r="M58" s="275"/>
      <c r="N58" s="275"/>
      <c r="O58" s="275"/>
      <c r="P58" s="288"/>
      <c r="Q58" s="275"/>
      <c r="R58" s="294"/>
      <c r="S58" s="276"/>
      <c r="T58" s="15"/>
      <c r="U58" s="15"/>
      <c r="V58" s="15"/>
      <c r="W58" s="15"/>
      <c r="X58" s="15"/>
      <c r="Y58" s="15"/>
      <c r="Z58" s="15"/>
    </row>
    <row r="59" spans="1:26" s="261" customFormat="1" x14ac:dyDescent="0.25">
      <c r="A59" s="281"/>
      <c r="B59" s="278" t="s">
        <v>136</v>
      </c>
      <c r="C59" s="278"/>
      <c r="D59" s="278"/>
      <c r="E59" s="278"/>
      <c r="F59" s="278"/>
      <c r="G59" s="278"/>
      <c r="H59" s="278"/>
      <c r="I59" s="278"/>
      <c r="J59" s="278"/>
      <c r="K59" s="289"/>
      <c r="L59" s="278"/>
      <c r="M59" s="278"/>
      <c r="N59" s="278"/>
      <c r="O59" s="278"/>
      <c r="P59" s="289"/>
      <c r="Q59" s="278"/>
      <c r="R59" s="295"/>
      <c r="S59" s="279"/>
      <c r="T59" s="15"/>
      <c r="U59" s="15"/>
      <c r="V59" s="15"/>
      <c r="W59" s="15"/>
      <c r="X59" s="15"/>
      <c r="Y59" s="15"/>
      <c r="Z59" s="15"/>
    </row>
    <row r="60" spans="1:26" s="261" customFormat="1" x14ac:dyDescent="0.25">
      <c r="A60" s="281"/>
      <c r="B60" s="275" t="s">
        <v>133</v>
      </c>
      <c r="C60" s="275">
        <v>0</v>
      </c>
      <c r="D60" s="275">
        <v>0</v>
      </c>
      <c r="E60" s="275">
        <v>0</v>
      </c>
      <c r="F60" s="275">
        <v>0</v>
      </c>
      <c r="G60" s="275">
        <v>0</v>
      </c>
      <c r="H60" s="275">
        <v>0</v>
      </c>
      <c r="I60" s="275">
        <v>0</v>
      </c>
      <c r="J60" s="275">
        <v>0</v>
      </c>
      <c r="K60" s="288">
        <v>0</v>
      </c>
      <c r="L60" s="275">
        <v>0</v>
      </c>
      <c r="M60" s="275">
        <v>0</v>
      </c>
      <c r="N60" s="275">
        <v>0</v>
      </c>
      <c r="O60" s="275">
        <v>0</v>
      </c>
      <c r="P60" s="288">
        <v>0</v>
      </c>
      <c r="Q60" s="275">
        <v>0</v>
      </c>
      <c r="R60" s="294">
        <v>0</v>
      </c>
      <c r="S60" s="276">
        <v>0</v>
      </c>
      <c r="T60" s="15"/>
      <c r="U60" s="15"/>
      <c r="V60" s="15"/>
      <c r="W60" s="15"/>
      <c r="X60" s="15"/>
      <c r="Y60" s="15"/>
      <c r="Z60" s="15"/>
    </row>
    <row r="61" spans="1:26" s="261" customFormat="1" x14ac:dyDescent="0.25">
      <c r="A61" s="282"/>
      <c r="B61" s="278" t="s">
        <v>137</v>
      </c>
      <c r="C61" s="278">
        <v>0</v>
      </c>
      <c r="D61" s="278">
        <v>0</v>
      </c>
      <c r="E61" s="278">
        <v>0</v>
      </c>
      <c r="F61" s="278">
        <v>0</v>
      </c>
      <c r="G61" s="278">
        <v>0</v>
      </c>
      <c r="H61" s="278">
        <v>0</v>
      </c>
      <c r="I61" s="278">
        <v>0</v>
      </c>
      <c r="J61" s="278">
        <v>0</v>
      </c>
      <c r="K61" s="289">
        <v>0</v>
      </c>
      <c r="L61" s="278">
        <v>0</v>
      </c>
      <c r="M61" s="278">
        <v>0</v>
      </c>
      <c r="N61" s="278">
        <v>0</v>
      </c>
      <c r="O61" s="278">
        <v>0</v>
      </c>
      <c r="P61" s="289">
        <v>0</v>
      </c>
      <c r="Q61" s="278">
        <v>0</v>
      </c>
      <c r="R61" s="295">
        <v>0</v>
      </c>
      <c r="S61" s="279">
        <v>0</v>
      </c>
      <c r="T61" s="15"/>
      <c r="U61" s="15"/>
      <c r="V61" s="15"/>
      <c r="W61" s="15"/>
      <c r="X61" s="15"/>
      <c r="Y61" s="15"/>
      <c r="Z61" s="15"/>
    </row>
    <row r="62" spans="1:26" s="261" customFormat="1" x14ac:dyDescent="0.25">
      <c r="A62" s="280" t="s">
        <v>46</v>
      </c>
      <c r="B62" s="275" t="s">
        <v>130</v>
      </c>
      <c r="C62" s="275">
        <v>799218</v>
      </c>
      <c r="D62" s="275">
        <v>471640.5</v>
      </c>
      <c r="E62" s="275">
        <v>506715.5</v>
      </c>
      <c r="F62" s="275">
        <v>765194</v>
      </c>
      <c r="G62" s="275"/>
      <c r="H62" s="275">
        <v>62834.5</v>
      </c>
      <c r="I62" s="275">
        <v>422643</v>
      </c>
      <c r="J62" s="275"/>
      <c r="K62" s="288">
        <v>3028245.5</v>
      </c>
      <c r="L62" s="275"/>
      <c r="M62" s="275">
        <v>2099019.7000000002</v>
      </c>
      <c r="N62" s="275">
        <v>729201.5</v>
      </c>
      <c r="O62" s="275">
        <v>123677.25</v>
      </c>
      <c r="P62" s="288">
        <v>2951898.45</v>
      </c>
      <c r="Q62" s="275"/>
      <c r="R62" s="294"/>
      <c r="S62" s="276"/>
      <c r="T62" s="15"/>
      <c r="U62" s="15"/>
      <c r="V62" s="15"/>
      <c r="W62" s="15"/>
      <c r="X62" s="15"/>
      <c r="Y62" s="15"/>
      <c r="Z62" s="15"/>
    </row>
    <row r="63" spans="1:26" s="261" customFormat="1" x14ac:dyDescent="0.25">
      <c r="A63" s="281"/>
      <c r="B63" s="278" t="s">
        <v>134</v>
      </c>
      <c r="C63" s="278">
        <v>799551</v>
      </c>
      <c r="D63" s="278">
        <v>488823</v>
      </c>
      <c r="E63" s="278">
        <v>506306.5</v>
      </c>
      <c r="F63" s="278">
        <v>767429.5</v>
      </c>
      <c r="G63" s="278"/>
      <c r="H63" s="278">
        <v>65152.5</v>
      </c>
      <c r="I63" s="278">
        <v>467863</v>
      </c>
      <c r="J63" s="278"/>
      <c r="K63" s="289">
        <v>3095125.5</v>
      </c>
      <c r="L63" s="278"/>
      <c r="M63" s="278">
        <v>2105923.5</v>
      </c>
      <c r="N63" s="278">
        <v>743982.5</v>
      </c>
      <c r="O63" s="278">
        <v>125828.75</v>
      </c>
      <c r="P63" s="289">
        <v>2975734.75</v>
      </c>
      <c r="Q63" s="278"/>
      <c r="R63" s="295"/>
      <c r="S63" s="279"/>
      <c r="T63" s="15"/>
      <c r="U63" s="15"/>
      <c r="V63" s="15"/>
      <c r="W63" s="15"/>
      <c r="X63" s="15"/>
      <c r="Y63" s="15"/>
      <c r="Z63" s="15"/>
    </row>
    <row r="64" spans="1:26" s="261" customFormat="1" x14ac:dyDescent="0.25">
      <c r="A64" s="281"/>
      <c r="B64" s="275" t="s">
        <v>131</v>
      </c>
      <c r="C64" s="275">
        <v>11064</v>
      </c>
      <c r="D64" s="275">
        <v>22879</v>
      </c>
      <c r="E64" s="275">
        <v>25124</v>
      </c>
      <c r="F64" s="275">
        <v>60441</v>
      </c>
      <c r="G64" s="275">
        <v>0</v>
      </c>
      <c r="H64" s="275">
        <v>0</v>
      </c>
      <c r="I64" s="275">
        <v>365434</v>
      </c>
      <c r="J64" s="275">
        <v>0</v>
      </c>
      <c r="K64" s="288">
        <v>484942</v>
      </c>
      <c r="L64" s="275">
        <v>0</v>
      </c>
      <c r="M64" s="275">
        <v>258430.5</v>
      </c>
      <c r="N64" s="275">
        <v>101665.5</v>
      </c>
      <c r="O64" s="275">
        <v>17327</v>
      </c>
      <c r="P64" s="288">
        <v>377423</v>
      </c>
      <c r="Q64" s="275">
        <v>0</v>
      </c>
      <c r="R64" s="294">
        <v>0</v>
      </c>
      <c r="S64" s="276">
        <v>0</v>
      </c>
      <c r="T64" s="15"/>
      <c r="U64" s="15"/>
      <c r="V64" s="15"/>
      <c r="W64" s="15"/>
      <c r="X64" s="15"/>
      <c r="Y64" s="15"/>
      <c r="Z64" s="15"/>
    </row>
    <row r="65" spans="1:26" s="261" customFormat="1" x14ac:dyDescent="0.25">
      <c r="A65" s="281"/>
      <c r="B65" s="278" t="s">
        <v>135</v>
      </c>
      <c r="C65" s="278">
        <v>14961</v>
      </c>
      <c r="D65" s="278">
        <v>27787</v>
      </c>
      <c r="E65" s="278">
        <v>26030</v>
      </c>
      <c r="F65" s="278">
        <v>71483</v>
      </c>
      <c r="G65" s="278">
        <v>0</v>
      </c>
      <c r="H65" s="278">
        <v>0</v>
      </c>
      <c r="I65" s="278">
        <v>425286</v>
      </c>
      <c r="J65" s="278">
        <v>0</v>
      </c>
      <c r="K65" s="289">
        <v>565547</v>
      </c>
      <c r="L65" s="278">
        <v>0</v>
      </c>
      <c r="M65" s="278">
        <v>302013</v>
      </c>
      <c r="N65" s="278">
        <v>117557</v>
      </c>
      <c r="O65" s="278">
        <v>22218</v>
      </c>
      <c r="P65" s="289">
        <v>441788</v>
      </c>
      <c r="Q65" s="278">
        <v>0</v>
      </c>
      <c r="R65" s="295">
        <v>0</v>
      </c>
      <c r="S65" s="279">
        <v>0</v>
      </c>
      <c r="T65" s="15"/>
      <c r="U65" s="15"/>
      <c r="V65" s="15"/>
      <c r="W65" s="15"/>
      <c r="X65" s="15"/>
      <c r="Y65" s="15"/>
      <c r="Z65" s="15"/>
    </row>
    <row r="66" spans="1:26" s="261" customFormat="1" x14ac:dyDescent="0.25">
      <c r="A66" s="281"/>
      <c r="B66" s="275" t="s">
        <v>132</v>
      </c>
      <c r="C66" s="275">
        <v>156544.5</v>
      </c>
      <c r="D66" s="275">
        <v>53309</v>
      </c>
      <c r="E66" s="275">
        <v>58131.5</v>
      </c>
      <c r="F66" s="275">
        <v>191450</v>
      </c>
      <c r="G66" s="275"/>
      <c r="H66" s="275">
        <v>1937</v>
      </c>
      <c r="I66" s="275">
        <v>173875</v>
      </c>
      <c r="J66" s="275"/>
      <c r="K66" s="288">
        <v>635247</v>
      </c>
      <c r="L66" s="275"/>
      <c r="M66" s="275">
        <v>0</v>
      </c>
      <c r="N66" s="275">
        <v>0</v>
      </c>
      <c r="O66" s="275">
        <v>0</v>
      </c>
      <c r="P66" s="288">
        <v>0</v>
      </c>
      <c r="Q66" s="275"/>
      <c r="R66" s="294"/>
      <c r="S66" s="276"/>
      <c r="T66" s="15"/>
      <c r="U66" s="15"/>
      <c r="V66" s="15"/>
      <c r="W66" s="15"/>
      <c r="X66" s="15"/>
      <c r="Y66" s="15"/>
      <c r="Z66" s="15"/>
    </row>
    <row r="67" spans="1:26" s="261" customFormat="1" x14ac:dyDescent="0.25">
      <c r="A67" s="281"/>
      <c r="B67" s="278" t="s">
        <v>136</v>
      </c>
      <c r="C67" s="278">
        <v>158873</v>
      </c>
      <c r="D67" s="278">
        <v>54431</v>
      </c>
      <c r="E67" s="278">
        <v>57519</v>
      </c>
      <c r="F67" s="278">
        <v>115885</v>
      </c>
      <c r="G67" s="278"/>
      <c r="H67" s="278">
        <v>1577</v>
      </c>
      <c r="I67" s="278">
        <v>189917</v>
      </c>
      <c r="J67" s="278"/>
      <c r="K67" s="289">
        <v>578202</v>
      </c>
      <c r="L67" s="278"/>
      <c r="M67" s="278">
        <v>0</v>
      </c>
      <c r="N67" s="278">
        <v>0</v>
      </c>
      <c r="O67" s="278">
        <v>0</v>
      </c>
      <c r="P67" s="289">
        <v>0</v>
      </c>
      <c r="Q67" s="278"/>
      <c r="R67" s="295"/>
      <c r="S67" s="279"/>
      <c r="T67" s="15"/>
      <c r="U67" s="15"/>
      <c r="V67" s="15"/>
      <c r="W67" s="15"/>
      <c r="X67" s="15"/>
      <c r="Y67" s="15"/>
      <c r="Z67" s="15"/>
    </row>
    <row r="68" spans="1:26" s="261" customFormat="1" x14ac:dyDescent="0.25">
      <c r="A68" s="281"/>
      <c r="B68" s="275" t="s">
        <v>133</v>
      </c>
      <c r="C68" s="275">
        <v>6383</v>
      </c>
      <c r="D68" s="275">
        <v>6576</v>
      </c>
      <c r="E68" s="275">
        <v>6239</v>
      </c>
      <c r="F68" s="275">
        <v>97724</v>
      </c>
      <c r="G68" s="275">
        <v>0</v>
      </c>
      <c r="H68" s="275">
        <v>0</v>
      </c>
      <c r="I68" s="275">
        <v>173875</v>
      </c>
      <c r="J68" s="275">
        <v>0</v>
      </c>
      <c r="K68" s="288">
        <v>290797</v>
      </c>
      <c r="L68" s="275">
        <v>0</v>
      </c>
      <c r="M68" s="275">
        <v>0</v>
      </c>
      <c r="N68" s="275">
        <v>0</v>
      </c>
      <c r="O68" s="275">
        <v>0</v>
      </c>
      <c r="P68" s="288">
        <v>0</v>
      </c>
      <c r="Q68" s="275">
        <v>0</v>
      </c>
      <c r="R68" s="294">
        <v>0</v>
      </c>
      <c r="S68" s="276">
        <v>0</v>
      </c>
      <c r="T68" s="15"/>
      <c r="U68" s="15"/>
      <c r="V68" s="15"/>
      <c r="W68" s="15"/>
      <c r="X68" s="15"/>
      <c r="Y68" s="15"/>
      <c r="Z68" s="15"/>
    </row>
    <row r="69" spans="1:26" s="261" customFormat="1" x14ac:dyDescent="0.25">
      <c r="A69" s="282"/>
      <c r="B69" s="278" t="s">
        <v>137</v>
      </c>
      <c r="C69" s="278">
        <v>6723</v>
      </c>
      <c r="D69" s="278">
        <v>7231</v>
      </c>
      <c r="E69" s="278">
        <v>8059</v>
      </c>
      <c r="F69" s="278">
        <v>20550</v>
      </c>
      <c r="G69" s="278">
        <v>0</v>
      </c>
      <c r="H69" s="278">
        <v>0</v>
      </c>
      <c r="I69" s="278">
        <v>189917</v>
      </c>
      <c r="J69" s="278">
        <v>0</v>
      </c>
      <c r="K69" s="289">
        <v>232480</v>
      </c>
      <c r="L69" s="278">
        <v>0</v>
      </c>
      <c r="M69" s="278">
        <v>0</v>
      </c>
      <c r="N69" s="278">
        <v>0</v>
      </c>
      <c r="O69" s="278">
        <v>0</v>
      </c>
      <c r="P69" s="289">
        <v>0</v>
      </c>
      <c r="Q69" s="278">
        <v>0</v>
      </c>
      <c r="R69" s="295">
        <v>0</v>
      </c>
      <c r="S69" s="279">
        <v>0</v>
      </c>
      <c r="T69" s="15"/>
      <c r="U69" s="15"/>
      <c r="V69" s="15"/>
      <c r="W69" s="15"/>
      <c r="X69" s="15"/>
      <c r="Y69" s="15"/>
      <c r="Z69" s="15"/>
    </row>
    <row r="70" spans="1:26" s="261" customFormat="1" x14ac:dyDescent="0.25">
      <c r="A70" s="280" t="s">
        <v>47</v>
      </c>
      <c r="B70" s="275" t="s">
        <v>130</v>
      </c>
      <c r="C70" s="275">
        <v>761085</v>
      </c>
      <c r="D70" s="275">
        <v>577234.5</v>
      </c>
      <c r="E70" s="275"/>
      <c r="F70" s="275">
        <v>228354</v>
      </c>
      <c r="G70" s="275">
        <v>63024</v>
      </c>
      <c r="H70" s="275"/>
      <c r="I70" s="275"/>
      <c r="J70" s="275"/>
      <c r="K70" s="288">
        <v>1629697.5</v>
      </c>
      <c r="L70" s="275"/>
      <c r="M70" s="275">
        <v>1046744</v>
      </c>
      <c r="N70" s="275">
        <v>1052107</v>
      </c>
      <c r="O70" s="275">
        <v>120095</v>
      </c>
      <c r="P70" s="288">
        <v>2218946</v>
      </c>
      <c r="Q70" s="275"/>
      <c r="R70" s="294"/>
      <c r="S70" s="276"/>
      <c r="T70" s="15"/>
      <c r="U70" s="15"/>
      <c r="V70" s="15"/>
      <c r="W70" s="15"/>
      <c r="X70" s="15"/>
      <c r="Y70" s="15"/>
      <c r="Z70" s="15"/>
    </row>
    <row r="71" spans="1:26" s="261" customFormat="1" x14ac:dyDescent="0.25">
      <c r="A71" s="281"/>
      <c r="B71" s="278" t="s">
        <v>134</v>
      </c>
      <c r="C71" s="278">
        <v>790323</v>
      </c>
      <c r="D71" s="278">
        <v>614306</v>
      </c>
      <c r="E71" s="278"/>
      <c r="F71" s="278">
        <v>231762</v>
      </c>
      <c r="G71" s="278">
        <v>67624</v>
      </c>
      <c r="H71" s="278"/>
      <c r="I71" s="278"/>
      <c r="J71" s="278"/>
      <c r="K71" s="289">
        <v>1704015</v>
      </c>
      <c r="L71" s="278"/>
      <c r="M71" s="278">
        <v>1012727</v>
      </c>
      <c r="N71" s="278">
        <v>1021317.5</v>
      </c>
      <c r="O71" s="278">
        <v>129482</v>
      </c>
      <c r="P71" s="289">
        <v>2163526.5</v>
      </c>
      <c r="Q71" s="278"/>
      <c r="R71" s="295"/>
      <c r="S71" s="279"/>
      <c r="T71" s="15"/>
      <c r="U71" s="15"/>
      <c r="V71" s="15"/>
      <c r="W71" s="15"/>
      <c r="X71" s="15"/>
      <c r="Y71" s="15"/>
      <c r="Z71" s="15"/>
    </row>
    <row r="72" spans="1:26" s="261" customFormat="1" x14ac:dyDescent="0.25">
      <c r="A72" s="281"/>
      <c r="B72" s="275" t="s">
        <v>131</v>
      </c>
      <c r="C72" s="275">
        <v>56180</v>
      </c>
      <c r="D72" s="275">
        <v>20722</v>
      </c>
      <c r="E72" s="275">
        <v>0</v>
      </c>
      <c r="F72" s="275">
        <v>29692.5</v>
      </c>
      <c r="G72" s="275">
        <v>19169</v>
      </c>
      <c r="H72" s="275">
        <v>0</v>
      </c>
      <c r="I72" s="275">
        <v>0</v>
      </c>
      <c r="J72" s="275">
        <v>0</v>
      </c>
      <c r="K72" s="288">
        <v>125763.5</v>
      </c>
      <c r="L72" s="275">
        <v>0</v>
      </c>
      <c r="M72" s="275">
        <v>215435</v>
      </c>
      <c r="N72" s="275">
        <v>172678</v>
      </c>
      <c r="O72" s="275">
        <v>11706</v>
      </c>
      <c r="P72" s="288">
        <v>399819</v>
      </c>
      <c r="Q72" s="275">
        <v>0</v>
      </c>
      <c r="R72" s="294">
        <v>0</v>
      </c>
      <c r="S72" s="276">
        <v>0</v>
      </c>
      <c r="T72" s="15"/>
      <c r="U72" s="15"/>
      <c r="V72" s="15"/>
      <c r="W72" s="15"/>
      <c r="X72" s="15"/>
      <c r="Y72" s="15"/>
      <c r="Z72" s="15"/>
    </row>
    <row r="73" spans="1:26" s="261" customFormat="1" x14ac:dyDescent="0.25">
      <c r="A73" s="281"/>
      <c r="B73" s="278" t="s">
        <v>135</v>
      </c>
      <c r="C73" s="278">
        <v>59316</v>
      </c>
      <c r="D73" s="278">
        <v>26498</v>
      </c>
      <c r="E73" s="278">
        <v>0</v>
      </c>
      <c r="F73" s="278">
        <v>39766</v>
      </c>
      <c r="G73" s="278">
        <v>27672</v>
      </c>
      <c r="H73" s="278">
        <v>0</v>
      </c>
      <c r="I73" s="278">
        <v>0</v>
      </c>
      <c r="J73" s="278">
        <v>0</v>
      </c>
      <c r="K73" s="289">
        <v>153252</v>
      </c>
      <c r="L73" s="278">
        <v>0</v>
      </c>
      <c r="M73" s="278">
        <v>217043</v>
      </c>
      <c r="N73" s="278">
        <v>188545</v>
      </c>
      <c r="O73" s="278">
        <v>15718</v>
      </c>
      <c r="P73" s="289">
        <v>421306</v>
      </c>
      <c r="Q73" s="278">
        <v>0</v>
      </c>
      <c r="R73" s="295">
        <v>0</v>
      </c>
      <c r="S73" s="279">
        <v>0</v>
      </c>
      <c r="T73" s="15"/>
      <c r="U73" s="15"/>
      <c r="V73" s="15"/>
      <c r="W73" s="15"/>
      <c r="X73" s="15"/>
      <c r="Y73" s="15"/>
      <c r="Z73" s="15"/>
    </row>
    <row r="74" spans="1:26" s="261" customFormat="1" x14ac:dyDescent="0.25">
      <c r="A74" s="281"/>
      <c r="B74" s="275" t="s">
        <v>132</v>
      </c>
      <c r="C74" s="275">
        <v>124105</v>
      </c>
      <c r="D74" s="275">
        <v>87762.5</v>
      </c>
      <c r="E74" s="275"/>
      <c r="F74" s="275">
        <v>38310</v>
      </c>
      <c r="G74" s="275">
        <v>4501</v>
      </c>
      <c r="H74" s="275"/>
      <c r="I74" s="275"/>
      <c r="J74" s="275"/>
      <c r="K74" s="288">
        <v>254678.5</v>
      </c>
      <c r="L74" s="275"/>
      <c r="M74" s="275">
        <v>0</v>
      </c>
      <c r="N74" s="275">
        <v>0</v>
      </c>
      <c r="O74" s="275">
        <v>0</v>
      </c>
      <c r="P74" s="288">
        <v>0</v>
      </c>
      <c r="Q74" s="275"/>
      <c r="R74" s="294"/>
      <c r="S74" s="276"/>
      <c r="T74" s="15"/>
      <c r="U74" s="15"/>
      <c r="V74" s="15"/>
      <c r="W74" s="15"/>
      <c r="X74" s="15"/>
      <c r="Y74" s="15"/>
      <c r="Z74" s="15"/>
    </row>
    <row r="75" spans="1:26" s="261" customFormat="1" x14ac:dyDescent="0.25">
      <c r="A75" s="281"/>
      <c r="B75" s="278" t="s">
        <v>136</v>
      </c>
      <c r="C75" s="278">
        <v>123248</v>
      </c>
      <c r="D75" s="278">
        <v>92928</v>
      </c>
      <c r="E75" s="278"/>
      <c r="F75" s="278">
        <v>46157</v>
      </c>
      <c r="G75" s="278">
        <v>4260</v>
      </c>
      <c r="H75" s="278"/>
      <c r="I75" s="278"/>
      <c r="J75" s="278"/>
      <c r="K75" s="289">
        <v>266593</v>
      </c>
      <c r="L75" s="278"/>
      <c r="M75" s="278">
        <v>0</v>
      </c>
      <c r="N75" s="278">
        <v>0</v>
      </c>
      <c r="O75" s="278">
        <v>0</v>
      </c>
      <c r="P75" s="289">
        <v>0</v>
      </c>
      <c r="Q75" s="278"/>
      <c r="R75" s="295"/>
      <c r="S75" s="279"/>
      <c r="T75" s="15"/>
      <c r="U75" s="15"/>
      <c r="V75" s="15"/>
      <c r="W75" s="15"/>
      <c r="X75" s="15"/>
      <c r="Y75" s="15"/>
      <c r="Z75" s="15"/>
    </row>
    <row r="76" spans="1:26" s="261" customFormat="1" x14ac:dyDescent="0.25">
      <c r="A76" s="281"/>
      <c r="B76" s="275" t="s">
        <v>133</v>
      </c>
      <c r="C76" s="275">
        <v>30146</v>
      </c>
      <c r="D76" s="275">
        <v>3482</v>
      </c>
      <c r="E76" s="275">
        <v>0</v>
      </c>
      <c r="F76" s="275">
        <v>15119</v>
      </c>
      <c r="G76" s="275">
        <v>1239</v>
      </c>
      <c r="H76" s="275">
        <v>0</v>
      </c>
      <c r="I76" s="275">
        <v>0</v>
      </c>
      <c r="J76" s="275">
        <v>0</v>
      </c>
      <c r="K76" s="288">
        <v>49986</v>
      </c>
      <c r="L76" s="275">
        <v>0</v>
      </c>
      <c r="M76" s="275">
        <v>0</v>
      </c>
      <c r="N76" s="275">
        <v>0</v>
      </c>
      <c r="O76" s="275">
        <v>0</v>
      </c>
      <c r="P76" s="288">
        <v>0</v>
      </c>
      <c r="Q76" s="275">
        <v>0</v>
      </c>
      <c r="R76" s="294">
        <v>0</v>
      </c>
      <c r="S76" s="276">
        <v>0</v>
      </c>
      <c r="T76" s="15"/>
      <c r="U76" s="15"/>
      <c r="V76" s="15"/>
      <c r="W76" s="15"/>
      <c r="X76" s="15"/>
      <c r="Y76" s="15"/>
      <c r="Z76" s="15"/>
    </row>
    <row r="77" spans="1:26" s="261" customFormat="1" x14ac:dyDescent="0.25">
      <c r="A77" s="282"/>
      <c r="B77" s="278" t="s">
        <v>137</v>
      </c>
      <c r="C77" s="278">
        <v>32391</v>
      </c>
      <c r="D77" s="278">
        <v>5663</v>
      </c>
      <c r="E77" s="278">
        <v>0</v>
      </c>
      <c r="F77" s="278">
        <v>18018</v>
      </c>
      <c r="G77" s="278">
        <v>1189</v>
      </c>
      <c r="H77" s="278">
        <v>0</v>
      </c>
      <c r="I77" s="278">
        <v>0</v>
      </c>
      <c r="J77" s="278">
        <v>0</v>
      </c>
      <c r="K77" s="289">
        <v>57261</v>
      </c>
      <c r="L77" s="278">
        <v>0</v>
      </c>
      <c r="M77" s="278">
        <v>0</v>
      </c>
      <c r="N77" s="278">
        <v>0</v>
      </c>
      <c r="O77" s="278">
        <v>0</v>
      </c>
      <c r="P77" s="289">
        <v>0</v>
      </c>
      <c r="Q77" s="278">
        <v>0</v>
      </c>
      <c r="R77" s="295">
        <v>0</v>
      </c>
      <c r="S77" s="279">
        <v>0</v>
      </c>
      <c r="T77" s="15"/>
      <c r="U77" s="15"/>
      <c r="V77" s="15"/>
      <c r="W77" s="15"/>
      <c r="X77" s="15"/>
      <c r="Y77" s="15"/>
      <c r="Z77" s="15"/>
    </row>
    <row r="78" spans="1:26" s="261" customFormat="1" x14ac:dyDescent="0.25">
      <c r="A78" s="280" t="s">
        <v>48</v>
      </c>
      <c r="B78" s="275" t="s">
        <v>130</v>
      </c>
      <c r="C78" s="275">
        <v>1649031</v>
      </c>
      <c r="D78" s="275">
        <v>550912</v>
      </c>
      <c r="E78" s="275">
        <v>2064575</v>
      </c>
      <c r="F78" s="275">
        <v>144829</v>
      </c>
      <c r="G78" s="275">
        <v>342848</v>
      </c>
      <c r="H78" s="275">
        <v>202516</v>
      </c>
      <c r="I78" s="275"/>
      <c r="J78" s="275"/>
      <c r="K78" s="288">
        <v>4954711</v>
      </c>
      <c r="L78" s="275"/>
      <c r="M78" s="275">
        <v>2426176</v>
      </c>
      <c r="N78" s="275">
        <v>2128322</v>
      </c>
      <c r="O78" s="275">
        <v>885250</v>
      </c>
      <c r="P78" s="288">
        <v>5439748</v>
      </c>
      <c r="Q78" s="275"/>
      <c r="R78" s="294"/>
      <c r="S78" s="276"/>
      <c r="T78" s="15"/>
      <c r="U78" s="15"/>
      <c r="V78" s="15"/>
      <c r="W78" s="15"/>
      <c r="X78" s="15"/>
      <c r="Y78" s="15"/>
      <c r="Z78" s="15"/>
    </row>
    <row r="79" spans="1:26" s="261" customFormat="1" x14ac:dyDescent="0.25">
      <c r="A79" s="281"/>
      <c r="B79" s="278" t="s">
        <v>134</v>
      </c>
      <c r="C79" s="278">
        <v>1663616</v>
      </c>
      <c r="D79" s="278">
        <v>566448</v>
      </c>
      <c r="E79" s="278">
        <v>2089313</v>
      </c>
      <c r="F79" s="278">
        <v>148382</v>
      </c>
      <c r="G79" s="278">
        <v>328916</v>
      </c>
      <c r="H79" s="278">
        <v>196642</v>
      </c>
      <c r="I79" s="278"/>
      <c r="J79" s="278"/>
      <c r="K79" s="289">
        <v>4993317</v>
      </c>
      <c r="L79" s="278"/>
      <c r="M79" s="278">
        <v>2511660</v>
      </c>
      <c r="N79" s="278">
        <v>2067397</v>
      </c>
      <c r="O79" s="278">
        <v>852525</v>
      </c>
      <c r="P79" s="289">
        <v>5431582</v>
      </c>
      <c r="Q79" s="278"/>
      <c r="R79" s="295"/>
      <c r="S79" s="279"/>
      <c r="T79" s="15"/>
      <c r="U79" s="15"/>
      <c r="V79" s="15"/>
      <c r="W79" s="15"/>
      <c r="X79" s="15"/>
      <c r="Y79" s="15"/>
      <c r="Z79" s="15"/>
    </row>
    <row r="80" spans="1:26" s="261" customFormat="1" x14ac:dyDescent="0.25">
      <c r="A80" s="281"/>
      <c r="B80" s="275" t="s">
        <v>131</v>
      </c>
      <c r="C80" s="275">
        <v>149560</v>
      </c>
      <c r="D80" s="275">
        <v>20126</v>
      </c>
      <c r="E80" s="275">
        <v>164895</v>
      </c>
      <c r="F80" s="275">
        <v>22072</v>
      </c>
      <c r="G80" s="275">
        <v>51837</v>
      </c>
      <c r="H80" s="275">
        <v>15046</v>
      </c>
      <c r="I80" s="275">
        <v>0</v>
      </c>
      <c r="J80" s="275">
        <v>0</v>
      </c>
      <c r="K80" s="288">
        <v>423536</v>
      </c>
      <c r="L80" s="275">
        <v>0</v>
      </c>
      <c r="M80" s="275">
        <v>515842</v>
      </c>
      <c r="N80" s="275">
        <v>498157</v>
      </c>
      <c r="O80" s="275">
        <v>217647</v>
      </c>
      <c r="P80" s="288">
        <v>1231646</v>
      </c>
      <c r="Q80" s="275">
        <v>0</v>
      </c>
      <c r="R80" s="294">
        <v>0</v>
      </c>
      <c r="S80" s="276">
        <v>0</v>
      </c>
      <c r="T80" s="15"/>
      <c r="U80" s="15"/>
      <c r="V80" s="15"/>
      <c r="W80" s="15"/>
      <c r="X80" s="15"/>
      <c r="Y80" s="15"/>
      <c r="Z80" s="15"/>
    </row>
    <row r="81" spans="1:26" s="261" customFormat="1" x14ac:dyDescent="0.25">
      <c r="A81" s="281"/>
      <c r="B81" s="278" t="s">
        <v>135</v>
      </c>
      <c r="C81" s="278">
        <v>160731</v>
      </c>
      <c r="D81" s="278">
        <v>22987</v>
      </c>
      <c r="E81" s="278">
        <v>180461</v>
      </c>
      <c r="F81" s="278">
        <v>23627</v>
      </c>
      <c r="G81" s="278">
        <v>53056</v>
      </c>
      <c r="H81" s="278">
        <v>17522</v>
      </c>
      <c r="I81" s="278">
        <v>0</v>
      </c>
      <c r="J81" s="278">
        <v>0</v>
      </c>
      <c r="K81" s="289">
        <v>458384</v>
      </c>
      <c r="L81" s="278">
        <v>0</v>
      </c>
      <c r="M81" s="278">
        <v>770943</v>
      </c>
      <c r="N81" s="278">
        <v>709843</v>
      </c>
      <c r="O81" s="278">
        <v>306526</v>
      </c>
      <c r="P81" s="289">
        <v>1787312</v>
      </c>
      <c r="Q81" s="278">
        <v>0</v>
      </c>
      <c r="R81" s="295">
        <v>0</v>
      </c>
      <c r="S81" s="279">
        <v>0</v>
      </c>
      <c r="T81" s="15"/>
      <c r="U81" s="15"/>
      <c r="V81" s="15"/>
      <c r="W81" s="15"/>
      <c r="X81" s="15"/>
      <c r="Y81" s="15"/>
      <c r="Z81" s="15"/>
    </row>
    <row r="82" spans="1:26" s="261" customFormat="1" x14ac:dyDescent="0.25">
      <c r="A82" s="281"/>
      <c r="B82" s="275" t="s">
        <v>132</v>
      </c>
      <c r="C82" s="275">
        <v>398794</v>
      </c>
      <c r="D82" s="275">
        <v>74936</v>
      </c>
      <c r="E82" s="275">
        <v>278815</v>
      </c>
      <c r="F82" s="275">
        <v>9471</v>
      </c>
      <c r="G82" s="275">
        <v>21876</v>
      </c>
      <c r="H82" s="275">
        <v>1519</v>
      </c>
      <c r="I82" s="275"/>
      <c r="J82" s="275"/>
      <c r="K82" s="288">
        <v>785411</v>
      </c>
      <c r="L82" s="275"/>
      <c r="M82" s="275">
        <v>0</v>
      </c>
      <c r="N82" s="275">
        <v>0</v>
      </c>
      <c r="O82" s="275">
        <v>0</v>
      </c>
      <c r="P82" s="288">
        <v>0</v>
      </c>
      <c r="Q82" s="275"/>
      <c r="R82" s="294"/>
      <c r="S82" s="276"/>
      <c r="T82" s="15"/>
      <c r="U82" s="15"/>
      <c r="V82" s="15"/>
      <c r="W82" s="15"/>
      <c r="X82" s="15"/>
      <c r="Y82" s="15"/>
      <c r="Z82" s="15"/>
    </row>
    <row r="83" spans="1:26" s="261" customFormat="1" x14ac:dyDescent="0.25">
      <c r="A83" s="281"/>
      <c r="B83" s="278" t="s">
        <v>136</v>
      </c>
      <c r="C83" s="278">
        <v>400538</v>
      </c>
      <c r="D83" s="278">
        <v>71816</v>
      </c>
      <c r="E83" s="278">
        <v>266291</v>
      </c>
      <c r="F83" s="278">
        <v>10848</v>
      </c>
      <c r="G83" s="278">
        <v>23028</v>
      </c>
      <c r="H83" s="278">
        <v>2072</v>
      </c>
      <c r="I83" s="278"/>
      <c r="J83" s="278"/>
      <c r="K83" s="289">
        <v>774593</v>
      </c>
      <c r="L83" s="278"/>
      <c r="M83" s="278">
        <v>0</v>
      </c>
      <c r="N83" s="278">
        <v>0</v>
      </c>
      <c r="O83" s="278">
        <v>0</v>
      </c>
      <c r="P83" s="289">
        <v>0</v>
      </c>
      <c r="Q83" s="278"/>
      <c r="R83" s="295"/>
      <c r="S83" s="279"/>
      <c r="T83" s="15"/>
      <c r="U83" s="15"/>
      <c r="V83" s="15"/>
      <c r="W83" s="15"/>
      <c r="X83" s="15"/>
      <c r="Y83" s="15"/>
      <c r="Z83" s="15"/>
    </row>
    <row r="84" spans="1:26" s="261" customFormat="1" x14ac:dyDescent="0.25">
      <c r="A84" s="281"/>
      <c r="B84" s="275" t="s">
        <v>133</v>
      </c>
      <c r="C84" s="275">
        <v>44941</v>
      </c>
      <c r="D84" s="275">
        <v>10139</v>
      </c>
      <c r="E84" s="275">
        <v>80369</v>
      </c>
      <c r="F84" s="275">
        <v>2298</v>
      </c>
      <c r="G84" s="275">
        <v>6545</v>
      </c>
      <c r="H84" s="275">
        <v>365</v>
      </c>
      <c r="I84" s="275">
        <v>0</v>
      </c>
      <c r="J84" s="275">
        <v>0</v>
      </c>
      <c r="K84" s="288">
        <v>144657</v>
      </c>
      <c r="L84" s="275">
        <v>0</v>
      </c>
      <c r="M84" s="275">
        <v>0</v>
      </c>
      <c r="N84" s="275">
        <v>0</v>
      </c>
      <c r="O84" s="275">
        <v>0</v>
      </c>
      <c r="P84" s="288">
        <v>0</v>
      </c>
      <c r="Q84" s="275">
        <v>0</v>
      </c>
      <c r="R84" s="294">
        <v>0</v>
      </c>
      <c r="S84" s="276">
        <v>0</v>
      </c>
      <c r="T84" s="15"/>
      <c r="U84" s="15"/>
      <c r="V84" s="15"/>
      <c r="W84" s="15"/>
      <c r="X84" s="15"/>
      <c r="Y84" s="15"/>
      <c r="Z84" s="15"/>
    </row>
    <row r="85" spans="1:26" s="261" customFormat="1" x14ac:dyDescent="0.25">
      <c r="A85" s="282"/>
      <c r="B85" s="278" t="s">
        <v>137</v>
      </c>
      <c r="C85" s="278">
        <v>45198</v>
      </c>
      <c r="D85" s="278">
        <v>10126</v>
      </c>
      <c r="E85" s="278">
        <v>76673</v>
      </c>
      <c r="F85" s="278">
        <v>2676</v>
      </c>
      <c r="G85" s="278">
        <v>7939</v>
      </c>
      <c r="H85" s="278">
        <v>682</v>
      </c>
      <c r="I85" s="278">
        <v>0</v>
      </c>
      <c r="J85" s="278">
        <v>0</v>
      </c>
      <c r="K85" s="289">
        <v>143294</v>
      </c>
      <c r="L85" s="278">
        <v>0</v>
      </c>
      <c r="M85" s="278">
        <v>0</v>
      </c>
      <c r="N85" s="278">
        <v>0</v>
      </c>
      <c r="O85" s="278">
        <v>0</v>
      </c>
      <c r="P85" s="289">
        <v>0</v>
      </c>
      <c r="Q85" s="278">
        <v>0</v>
      </c>
      <c r="R85" s="295">
        <v>0</v>
      </c>
      <c r="S85" s="279">
        <v>0</v>
      </c>
      <c r="T85" s="15"/>
      <c r="U85" s="15"/>
      <c r="V85" s="15"/>
      <c r="W85" s="15"/>
      <c r="X85" s="15"/>
      <c r="Y85" s="15"/>
      <c r="Z85" s="15"/>
    </row>
    <row r="86" spans="1:26" s="261" customFormat="1" x14ac:dyDescent="0.25">
      <c r="A86" s="280" t="s">
        <v>49</v>
      </c>
      <c r="B86" s="275" t="s">
        <v>130</v>
      </c>
      <c r="C86" s="275">
        <v>527383</v>
      </c>
      <c r="D86" s="275"/>
      <c r="E86" s="275">
        <v>570594</v>
      </c>
      <c r="F86" s="275"/>
      <c r="G86" s="275">
        <v>584608</v>
      </c>
      <c r="H86" s="275">
        <v>168945</v>
      </c>
      <c r="I86" s="275"/>
      <c r="J86" s="275"/>
      <c r="K86" s="288">
        <v>1851530</v>
      </c>
      <c r="L86" s="275">
        <v>256386</v>
      </c>
      <c r="M86" s="275">
        <v>814596</v>
      </c>
      <c r="N86" s="275">
        <v>112504</v>
      </c>
      <c r="O86" s="275">
        <v>445740</v>
      </c>
      <c r="P86" s="288">
        <v>1629226</v>
      </c>
      <c r="Q86" s="275"/>
      <c r="R86" s="294"/>
      <c r="S86" s="276"/>
      <c r="T86" s="15"/>
      <c r="U86" s="15"/>
      <c r="V86" s="15"/>
      <c r="W86" s="15"/>
      <c r="X86" s="15"/>
      <c r="Y86" s="15"/>
      <c r="Z86" s="15"/>
    </row>
    <row r="87" spans="1:26" s="261" customFormat="1" x14ac:dyDescent="0.25">
      <c r="A87" s="281"/>
      <c r="B87" s="278" t="s">
        <v>134</v>
      </c>
      <c r="C87" s="278">
        <v>542963</v>
      </c>
      <c r="D87" s="278"/>
      <c r="E87" s="278">
        <v>580617</v>
      </c>
      <c r="F87" s="278"/>
      <c r="G87" s="278">
        <v>582775</v>
      </c>
      <c r="H87" s="278">
        <v>174874</v>
      </c>
      <c r="I87" s="278"/>
      <c r="J87" s="278"/>
      <c r="K87" s="289">
        <v>1881229</v>
      </c>
      <c r="L87" s="278">
        <v>265072</v>
      </c>
      <c r="M87" s="278">
        <v>882644</v>
      </c>
      <c r="N87" s="278">
        <v>120330</v>
      </c>
      <c r="O87" s="278">
        <v>447794</v>
      </c>
      <c r="P87" s="289">
        <v>1715840</v>
      </c>
      <c r="Q87" s="278"/>
      <c r="R87" s="295"/>
      <c r="S87" s="279"/>
      <c r="T87" s="15"/>
      <c r="U87" s="15"/>
      <c r="V87" s="15"/>
      <c r="W87" s="15"/>
      <c r="X87" s="15"/>
      <c r="Y87" s="15"/>
      <c r="Z87" s="15"/>
    </row>
    <row r="88" spans="1:26" s="261" customFormat="1" x14ac:dyDescent="0.25">
      <c r="A88" s="281"/>
      <c r="B88" s="275" t="s">
        <v>131</v>
      </c>
      <c r="C88" s="275">
        <v>50889</v>
      </c>
      <c r="D88" s="275">
        <v>0</v>
      </c>
      <c r="E88" s="275">
        <v>46358</v>
      </c>
      <c r="F88" s="275">
        <v>0</v>
      </c>
      <c r="G88" s="275">
        <v>96036</v>
      </c>
      <c r="H88" s="275">
        <v>35476</v>
      </c>
      <c r="I88" s="275">
        <v>0</v>
      </c>
      <c r="J88" s="275">
        <v>0</v>
      </c>
      <c r="K88" s="288">
        <v>228759</v>
      </c>
      <c r="L88" s="275">
        <v>55365</v>
      </c>
      <c r="M88" s="275">
        <v>144707</v>
      </c>
      <c r="N88" s="275">
        <v>24506</v>
      </c>
      <c r="O88" s="275">
        <v>140143</v>
      </c>
      <c r="P88" s="288">
        <v>364721</v>
      </c>
      <c r="Q88" s="275">
        <v>0</v>
      </c>
      <c r="R88" s="294">
        <v>0</v>
      </c>
      <c r="S88" s="276">
        <v>0</v>
      </c>
      <c r="T88" s="15"/>
      <c r="U88" s="15"/>
      <c r="V88" s="15"/>
      <c r="W88" s="15"/>
      <c r="X88" s="15"/>
      <c r="Y88" s="15"/>
      <c r="Z88" s="15"/>
    </row>
    <row r="89" spans="1:26" s="261" customFormat="1" x14ac:dyDescent="0.25">
      <c r="A89" s="281"/>
      <c r="B89" s="278" t="s">
        <v>135</v>
      </c>
      <c r="C89" s="278">
        <v>61870</v>
      </c>
      <c r="D89" s="278">
        <v>0</v>
      </c>
      <c r="E89" s="278">
        <v>67198</v>
      </c>
      <c r="F89" s="278">
        <v>0</v>
      </c>
      <c r="G89" s="278">
        <v>102412</v>
      </c>
      <c r="H89" s="278">
        <v>34297</v>
      </c>
      <c r="I89" s="278">
        <v>0</v>
      </c>
      <c r="J89" s="278">
        <v>0</v>
      </c>
      <c r="K89" s="289">
        <v>265777</v>
      </c>
      <c r="L89" s="278">
        <v>62848</v>
      </c>
      <c r="M89" s="278">
        <v>235842</v>
      </c>
      <c r="N89" s="278">
        <v>28120</v>
      </c>
      <c r="O89" s="278">
        <v>152261</v>
      </c>
      <c r="P89" s="289">
        <v>479071</v>
      </c>
      <c r="Q89" s="278">
        <v>0</v>
      </c>
      <c r="R89" s="295">
        <v>0</v>
      </c>
      <c r="S89" s="279">
        <v>0</v>
      </c>
      <c r="T89" s="15"/>
      <c r="U89" s="15"/>
      <c r="V89" s="15"/>
      <c r="W89" s="15"/>
      <c r="X89" s="15"/>
      <c r="Y89" s="15"/>
      <c r="Z89" s="15"/>
    </row>
    <row r="90" spans="1:26" s="261" customFormat="1" x14ac:dyDescent="0.25">
      <c r="A90" s="281"/>
      <c r="B90" s="275" t="s">
        <v>132</v>
      </c>
      <c r="C90" s="275">
        <v>92405</v>
      </c>
      <c r="D90" s="275"/>
      <c r="E90" s="275">
        <v>48051</v>
      </c>
      <c r="F90" s="275"/>
      <c r="G90" s="275">
        <v>53667</v>
      </c>
      <c r="H90" s="275">
        <v>0</v>
      </c>
      <c r="I90" s="275"/>
      <c r="J90" s="275"/>
      <c r="K90" s="288">
        <v>194123</v>
      </c>
      <c r="L90" s="275">
        <v>0</v>
      </c>
      <c r="M90" s="275">
        <v>0</v>
      </c>
      <c r="N90" s="275">
        <v>0</v>
      </c>
      <c r="O90" s="275">
        <v>0</v>
      </c>
      <c r="P90" s="288">
        <v>0</v>
      </c>
      <c r="Q90" s="275"/>
      <c r="R90" s="294"/>
      <c r="S90" s="276"/>
      <c r="T90" s="15"/>
      <c r="U90" s="15"/>
      <c r="V90" s="15"/>
      <c r="W90" s="15"/>
      <c r="X90" s="15"/>
      <c r="Y90" s="15"/>
      <c r="Z90" s="15"/>
    </row>
    <row r="91" spans="1:26" s="261" customFormat="1" x14ac:dyDescent="0.25">
      <c r="A91" s="281"/>
      <c r="B91" s="278" t="s">
        <v>136</v>
      </c>
      <c r="C91" s="278">
        <v>94236</v>
      </c>
      <c r="D91" s="278"/>
      <c r="E91" s="278">
        <v>48499</v>
      </c>
      <c r="F91" s="278"/>
      <c r="G91" s="278">
        <v>55864</v>
      </c>
      <c r="H91" s="278">
        <v>0</v>
      </c>
      <c r="I91" s="278"/>
      <c r="J91" s="278"/>
      <c r="K91" s="289">
        <v>198599</v>
      </c>
      <c r="L91" s="278">
        <v>0</v>
      </c>
      <c r="M91" s="278">
        <v>0</v>
      </c>
      <c r="N91" s="278">
        <v>0</v>
      </c>
      <c r="O91" s="278">
        <v>0</v>
      </c>
      <c r="P91" s="289">
        <v>0</v>
      </c>
      <c r="Q91" s="278"/>
      <c r="R91" s="295"/>
      <c r="S91" s="279"/>
      <c r="T91" s="15"/>
      <c r="U91" s="15"/>
      <c r="V91" s="15"/>
      <c r="W91" s="15"/>
      <c r="X91" s="15"/>
      <c r="Y91" s="15"/>
      <c r="Z91" s="15"/>
    </row>
    <row r="92" spans="1:26" s="261" customFormat="1" x14ac:dyDescent="0.25">
      <c r="A92" s="281"/>
      <c r="B92" s="275" t="s">
        <v>133</v>
      </c>
      <c r="C92" s="275">
        <v>11780</v>
      </c>
      <c r="D92" s="275">
        <v>0</v>
      </c>
      <c r="E92" s="275">
        <v>3677</v>
      </c>
      <c r="F92" s="275">
        <v>0</v>
      </c>
      <c r="G92" s="275">
        <v>22579</v>
      </c>
      <c r="H92" s="275">
        <v>0</v>
      </c>
      <c r="I92" s="275">
        <v>0</v>
      </c>
      <c r="J92" s="275">
        <v>0</v>
      </c>
      <c r="K92" s="288">
        <v>38036</v>
      </c>
      <c r="L92" s="275">
        <v>0</v>
      </c>
      <c r="M92" s="275">
        <v>0</v>
      </c>
      <c r="N92" s="275">
        <v>0</v>
      </c>
      <c r="O92" s="275">
        <v>0</v>
      </c>
      <c r="P92" s="288">
        <v>0</v>
      </c>
      <c r="Q92" s="275">
        <v>0</v>
      </c>
      <c r="R92" s="294">
        <v>0</v>
      </c>
      <c r="S92" s="276">
        <v>0</v>
      </c>
      <c r="T92" s="15"/>
      <c r="U92" s="15"/>
      <c r="V92" s="15"/>
      <c r="W92" s="15"/>
      <c r="X92" s="15"/>
      <c r="Y92" s="15"/>
      <c r="Z92" s="15"/>
    </row>
    <row r="93" spans="1:26" s="261" customFormat="1" x14ac:dyDescent="0.25">
      <c r="A93" s="282"/>
      <c r="B93" s="278" t="s">
        <v>137</v>
      </c>
      <c r="C93" s="278">
        <v>16558</v>
      </c>
      <c r="D93" s="278">
        <v>0</v>
      </c>
      <c r="E93" s="278">
        <v>5660</v>
      </c>
      <c r="F93" s="278">
        <v>0</v>
      </c>
      <c r="G93" s="278">
        <v>22174</v>
      </c>
      <c r="H93" s="278">
        <v>0</v>
      </c>
      <c r="I93" s="278">
        <v>0</v>
      </c>
      <c r="J93" s="278">
        <v>0</v>
      </c>
      <c r="K93" s="289">
        <v>44392</v>
      </c>
      <c r="L93" s="278">
        <v>0</v>
      </c>
      <c r="M93" s="278">
        <v>0</v>
      </c>
      <c r="N93" s="278">
        <v>0</v>
      </c>
      <c r="O93" s="278">
        <v>0</v>
      </c>
      <c r="P93" s="289">
        <v>0</v>
      </c>
      <c r="Q93" s="278">
        <v>0</v>
      </c>
      <c r="R93" s="295">
        <v>0</v>
      </c>
      <c r="S93" s="279">
        <v>0</v>
      </c>
      <c r="T93" s="15"/>
      <c r="U93" s="15"/>
      <c r="V93" s="15"/>
      <c r="W93" s="15"/>
      <c r="X93" s="15"/>
      <c r="Y93" s="15"/>
      <c r="Z93" s="15"/>
    </row>
    <row r="94" spans="1:26" s="261" customFormat="1" x14ac:dyDescent="0.25">
      <c r="A94" s="280" t="s">
        <v>50</v>
      </c>
      <c r="B94" s="275" t="s">
        <v>130</v>
      </c>
      <c r="C94" s="275">
        <v>1096262</v>
      </c>
      <c r="D94" s="275"/>
      <c r="E94" s="275">
        <v>438067.5</v>
      </c>
      <c r="F94" s="275">
        <v>85876</v>
      </c>
      <c r="G94" s="275">
        <v>454983</v>
      </c>
      <c r="H94" s="275">
        <v>361664.5</v>
      </c>
      <c r="I94" s="275"/>
      <c r="J94" s="275"/>
      <c r="K94" s="288">
        <v>2436853</v>
      </c>
      <c r="L94" s="275"/>
      <c r="M94" s="275">
        <v>1329057</v>
      </c>
      <c r="N94" s="275">
        <v>803203</v>
      </c>
      <c r="O94" s="275">
        <v>235856</v>
      </c>
      <c r="P94" s="288">
        <v>2368116</v>
      </c>
      <c r="Q94" s="275"/>
      <c r="R94" s="294"/>
      <c r="S94" s="276"/>
      <c r="T94" s="15"/>
      <c r="U94" s="15"/>
      <c r="V94" s="15"/>
      <c r="W94" s="15"/>
      <c r="X94" s="15"/>
      <c r="Y94" s="15"/>
      <c r="Z94" s="15"/>
    </row>
    <row r="95" spans="1:26" s="261" customFormat="1" x14ac:dyDescent="0.25">
      <c r="A95" s="281"/>
      <c r="B95" s="278" t="s">
        <v>134</v>
      </c>
      <c r="C95" s="278">
        <v>1166277</v>
      </c>
      <c r="D95" s="278"/>
      <c r="E95" s="278">
        <v>445886</v>
      </c>
      <c r="F95" s="278">
        <v>87469</v>
      </c>
      <c r="G95" s="278">
        <v>467191</v>
      </c>
      <c r="H95" s="278">
        <v>392132</v>
      </c>
      <c r="I95" s="278"/>
      <c r="J95" s="278"/>
      <c r="K95" s="289">
        <v>2558955</v>
      </c>
      <c r="L95" s="278"/>
      <c r="M95" s="278">
        <v>1425625.79</v>
      </c>
      <c r="N95" s="278">
        <v>906819.92</v>
      </c>
      <c r="O95" s="278">
        <v>258949.58</v>
      </c>
      <c r="P95" s="289">
        <v>2591395.29</v>
      </c>
      <c r="Q95" s="278"/>
      <c r="R95" s="295"/>
      <c r="S95" s="279"/>
      <c r="T95" s="15"/>
      <c r="U95" s="15"/>
      <c r="V95" s="15"/>
      <c r="W95" s="15"/>
      <c r="X95" s="15"/>
      <c r="Y95" s="15"/>
      <c r="Z95" s="15"/>
    </row>
    <row r="96" spans="1:26" s="261" customFormat="1" x14ac:dyDescent="0.25">
      <c r="A96" s="281"/>
      <c r="B96" s="275" t="s">
        <v>131</v>
      </c>
      <c r="C96" s="275">
        <v>42584</v>
      </c>
      <c r="D96" s="275">
        <v>0</v>
      </c>
      <c r="E96" s="275">
        <v>0</v>
      </c>
      <c r="F96" s="275">
        <v>219</v>
      </c>
      <c r="G96" s="275">
        <v>10168.469999999999</v>
      </c>
      <c r="H96" s="275">
        <v>21272</v>
      </c>
      <c r="I96" s="275">
        <v>0</v>
      </c>
      <c r="J96" s="275">
        <v>0</v>
      </c>
      <c r="K96" s="288">
        <v>74243.47</v>
      </c>
      <c r="L96" s="275">
        <v>0</v>
      </c>
      <c r="M96" s="275">
        <v>268536</v>
      </c>
      <c r="N96" s="275">
        <v>181773</v>
      </c>
      <c r="O96" s="275">
        <v>30293</v>
      </c>
      <c r="P96" s="288">
        <v>480602</v>
      </c>
      <c r="Q96" s="275">
        <v>0</v>
      </c>
      <c r="R96" s="294">
        <v>0</v>
      </c>
      <c r="S96" s="276">
        <v>0</v>
      </c>
      <c r="T96" s="15"/>
      <c r="U96" s="15"/>
      <c r="V96" s="15"/>
      <c r="W96" s="15"/>
      <c r="X96" s="15"/>
      <c r="Y96" s="15"/>
      <c r="Z96" s="15"/>
    </row>
    <row r="97" spans="1:26" s="261" customFormat="1" x14ac:dyDescent="0.25">
      <c r="A97" s="281"/>
      <c r="B97" s="278" t="s">
        <v>135</v>
      </c>
      <c r="C97" s="278">
        <v>46156</v>
      </c>
      <c r="D97" s="278">
        <v>0</v>
      </c>
      <c r="E97" s="278">
        <v>4166</v>
      </c>
      <c r="F97" s="278">
        <v>620</v>
      </c>
      <c r="G97" s="278">
        <v>18486</v>
      </c>
      <c r="H97" s="278">
        <v>23966</v>
      </c>
      <c r="I97" s="278">
        <v>0</v>
      </c>
      <c r="J97" s="278">
        <v>0</v>
      </c>
      <c r="K97" s="289">
        <v>93394</v>
      </c>
      <c r="L97" s="278">
        <v>0</v>
      </c>
      <c r="M97" s="278">
        <v>263953</v>
      </c>
      <c r="N97" s="278">
        <v>181047</v>
      </c>
      <c r="O97" s="278">
        <v>25970</v>
      </c>
      <c r="P97" s="289">
        <v>470970</v>
      </c>
      <c r="Q97" s="278">
        <v>0</v>
      </c>
      <c r="R97" s="295">
        <v>0</v>
      </c>
      <c r="S97" s="279">
        <v>0</v>
      </c>
      <c r="T97" s="15"/>
      <c r="U97" s="15"/>
      <c r="V97" s="15"/>
      <c r="W97" s="15"/>
      <c r="X97" s="15"/>
      <c r="Y97" s="15"/>
      <c r="Z97" s="15"/>
    </row>
    <row r="98" spans="1:26" s="261" customFormat="1" x14ac:dyDescent="0.25">
      <c r="A98" s="281"/>
      <c r="B98" s="275" t="s">
        <v>132</v>
      </c>
      <c r="C98" s="275">
        <v>190348</v>
      </c>
      <c r="D98" s="275"/>
      <c r="E98" s="275">
        <v>36387</v>
      </c>
      <c r="F98" s="275">
        <v>15502</v>
      </c>
      <c r="G98" s="275">
        <v>25034</v>
      </c>
      <c r="H98" s="275">
        <v>4397</v>
      </c>
      <c r="I98" s="275"/>
      <c r="J98" s="275"/>
      <c r="K98" s="288">
        <v>271668</v>
      </c>
      <c r="L98" s="275"/>
      <c r="M98" s="275">
        <v>0</v>
      </c>
      <c r="N98" s="275">
        <v>0</v>
      </c>
      <c r="O98" s="275">
        <v>0</v>
      </c>
      <c r="P98" s="288">
        <v>0</v>
      </c>
      <c r="Q98" s="275"/>
      <c r="R98" s="294"/>
      <c r="S98" s="276"/>
      <c r="T98" s="15"/>
      <c r="U98" s="15"/>
      <c r="V98" s="15"/>
      <c r="W98" s="15"/>
      <c r="X98" s="15"/>
      <c r="Y98" s="15"/>
      <c r="Z98" s="15"/>
    </row>
    <row r="99" spans="1:26" s="261" customFormat="1" x14ac:dyDescent="0.25">
      <c r="A99" s="281"/>
      <c r="B99" s="278" t="s">
        <v>136</v>
      </c>
      <c r="C99" s="278">
        <v>195493</v>
      </c>
      <c r="D99" s="278"/>
      <c r="E99" s="278">
        <v>37636</v>
      </c>
      <c r="F99" s="278">
        <v>16062</v>
      </c>
      <c r="G99" s="278">
        <v>24729</v>
      </c>
      <c r="H99" s="278">
        <v>4253</v>
      </c>
      <c r="I99" s="278"/>
      <c r="J99" s="278"/>
      <c r="K99" s="289">
        <v>278173</v>
      </c>
      <c r="L99" s="278"/>
      <c r="M99" s="278">
        <v>0</v>
      </c>
      <c r="N99" s="278">
        <v>0</v>
      </c>
      <c r="O99" s="278">
        <v>0</v>
      </c>
      <c r="P99" s="289">
        <v>0</v>
      </c>
      <c r="Q99" s="278"/>
      <c r="R99" s="295"/>
      <c r="S99" s="279"/>
      <c r="T99" s="15"/>
      <c r="U99" s="15"/>
      <c r="V99" s="15"/>
      <c r="W99" s="15"/>
      <c r="X99" s="15"/>
      <c r="Y99" s="15"/>
      <c r="Z99" s="15"/>
    </row>
    <row r="100" spans="1:26" s="261" customFormat="1" x14ac:dyDescent="0.25">
      <c r="A100" s="281"/>
      <c r="B100" s="275" t="s">
        <v>133</v>
      </c>
      <c r="C100" s="275">
        <v>37640</v>
      </c>
      <c r="D100" s="275">
        <v>0</v>
      </c>
      <c r="E100" s="275">
        <v>491</v>
      </c>
      <c r="F100" s="275">
        <v>237</v>
      </c>
      <c r="G100" s="275">
        <v>3057</v>
      </c>
      <c r="H100" s="275">
        <v>1458</v>
      </c>
      <c r="I100" s="275">
        <v>0</v>
      </c>
      <c r="J100" s="275">
        <v>0</v>
      </c>
      <c r="K100" s="288">
        <v>42883</v>
      </c>
      <c r="L100" s="275">
        <v>0</v>
      </c>
      <c r="M100" s="275">
        <v>0</v>
      </c>
      <c r="N100" s="275">
        <v>0</v>
      </c>
      <c r="O100" s="275">
        <v>0</v>
      </c>
      <c r="P100" s="288">
        <v>0</v>
      </c>
      <c r="Q100" s="275">
        <v>0</v>
      </c>
      <c r="R100" s="294">
        <v>0</v>
      </c>
      <c r="S100" s="276">
        <v>0</v>
      </c>
      <c r="T100" s="15"/>
      <c r="U100" s="15"/>
      <c r="V100" s="15"/>
      <c r="W100" s="15"/>
      <c r="X100" s="15"/>
      <c r="Y100" s="15"/>
      <c r="Z100" s="15"/>
    </row>
    <row r="101" spans="1:26" s="261" customFormat="1" x14ac:dyDescent="0.25">
      <c r="A101" s="282"/>
      <c r="B101" s="278" t="s">
        <v>137</v>
      </c>
      <c r="C101" s="278">
        <v>38628</v>
      </c>
      <c r="D101" s="278">
        <v>0</v>
      </c>
      <c r="E101" s="278">
        <v>2569</v>
      </c>
      <c r="F101" s="278">
        <v>1530</v>
      </c>
      <c r="G101" s="278">
        <v>3836</v>
      </c>
      <c r="H101" s="278">
        <v>1212</v>
      </c>
      <c r="I101" s="278">
        <v>0</v>
      </c>
      <c r="J101" s="278">
        <v>0</v>
      </c>
      <c r="K101" s="289">
        <v>47775</v>
      </c>
      <c r="L101" s="278">
        <v>0</v>
      </c>
      <c r="M101" s="278">
        <v>0</v>
      </c>
      <c r="N101" s="278">
        <v>0</v>
      </c>
      <c r="O101" s="278">
        <v>0</v>
      </c>
      <c r="P101" s="289">
        <v>0</v>
      </c>
      <c r="Q101" s="278">
        <v>0</v>
      </c>
      <c r="R101" s="295">
        <v>0</v>
      </c>
      <c r="S101" s="279">
        <v>0</v>
      </c>
      <c r="T101" s="15"/>
      <c r="U101" s="15"/>
      <c r="V101" s="15"/>
      <c r="W101" s="15"/>
      <c r="X101" s="15"/>
      <c r="Y101" s="15"/>
      <c r="Z101" s="15"/>
    </row>
    <row r="102" spans="1:26" s="261" customFormat="1" x14ac:dyDescent="0.25">
      <c r="A102" s="280" t="s">
        <v>51</v>
      </c>
      <c r="B102" s="275" t="s">
        <v>130</v>
      </c>
      <c r="C102" s="275">
        <v>990540</v>
      </c>
      <c r="D102" s="275">
        <v>182408</v>
      </c>
      <c r="E102" s="275">
        <v>1668369</v>
      </c>
      <c r="F102" s="275"/>
      <c r="G102" s="275">
        <v>189533</v>
      </c>
      <c r="H102" s="275"/>
      <c r="I102" s="275"/>
      <c r="J102" s="275"/>
      <c r="K102" s="288">
        <v>3030850</v>
      </c>
      <c r="L102" s="275"/>
      <c r="M102" s="275">
        <v>1083827</v>
      </c>
      <c r="N102" s="275">
        <v>902544</v>
      </c>
      <c r="O102" s="275"/>
      <c r="P102" s="288">
        <v>1986371</v>
      </c>
      <c r="Q102" s="275"/>
      <c r="R102" s="294">
        <v>0</v>
      </c>
      <c r="S102" s="276">
        <v>0</v>
      </c>
      <c r="T102" s="15"/>
      <c r="U102" s="15"/>
      <c r="V102" s="15"/>
      <c r="W102" s="15"/>
      <c r="X102" s="15"/>
      <c r="Y102" s="15"/>
      <c r="Z102" s="15"/>
    </row>
    <row r="103" spans="1:26" s="261" customFormat="1" x14ac:dyDescent="0.25">
      <c r="A103" s="281"/>
      <c r="B103" s="278" t="s">
        <v>134</v>
      </c>
      <c r="C103" s="278">
        <v>1098614</v>
      </c>
      <c r="D103" s="278">
        <v>183269</v>
      </c>
      <c r="E103" s="278">
        <v>1645112.3</v>
      </c>
      <c r="F103" s="278"/>
      <c r="G103" s="278">
        <v>204980</v>
      </c>
      <c r="H103" s="278"/>
      <c r="I103" s="278"/>
      <c r="J103" s="278"/>
      <c r="K103" s="289">
        <v>3131975.3</v>
      </c>
      <c r="L103" s="278"/>
      <c r="M103" s="278">
        <v>1098901.5</v>
      </c>
      <c r="N103" s="278">
        <v>885936</v>
      </c>
      <c r="O103" s="278"/>
      <c r="P103" s="289">
        <v>1984837.5</v>
      </c>
      <c r="Q103" s="278"/>
      <c r="R103" s="295">
        <v>0</v>
      </c>
      <c r="S103" s="279">
        <v>0</v>
      </c>
      <c r="T103" s="15"/>
      <c r="U103" s="15"/>
      <c r="V103" s="15"/>
      <c r="W103" s="15"/>
      <c r="X103" s="15"/>
      <c r="Y103" s="15"/>
      <c r="Z103" s="15"/>
    </row>
    <row r="104" spans="1:26" s="261" customFormat="1" x14ac:dyDescent="0.25">
      <c r="A104" s="281"/>
      <c r="B104" s="275" t="s">
        <v>131</v>
      </c>
      <c r="C104" s="275">
        <v>138967</v>
      </c>
      <c r="D104" s="275">
        <v>13379</v>
      </c>
      <c r="E104" s="275">
        <v>228266</v>
      </c>
      <c r="F104" s="275">
        <v>0</v>
      </c>
      <c r="G104" s="275">
        <v>11593</v>
      </c>
      <c r="H104" s="275">
        <v>0</v>
      </c>
      <c r="I104" s="275">
        <v>0</v>
      </c>
      <c r="J104" s="275">
        <v>0</v>
      </c>
      <c r="K104" s="288">
        <v>392205</v>
      </c>
      <c r="L104" s="275">
        <v>0</v>
      </c>
      <c r="M104" s="275">
        <v>237733</v>
      </c>
      <c r="N104" s="275">
        <v>220062</v>
      </c>
      <c r="O104" s="275">
        <v>0</v>
      </c>
      <c r="P104" s="288">
        <v>457795</v>
      </c>
      <c r="Q104" s="275">
        <v>0</v>
      </c>
      <c r="R104" s="294">
        <v>0</v>
      </c>
      <c r="S104" s="276">
        <v>0</v>
      </c>
      <c r="T104" s="15"/>
      <c r="U104" s="15"/>
      <c r="V104" s="15"/>
      <c r="W104" s="15"/>
      <c r="X104" s="15"/>
      <c r="Y104" s="15"/>
      <c r="Z104" s="15"/>
    </row>
    <row r="105" spans="1:26" s="261" customFormat="1" x14ac:dyDescent="0.25">
      <c r="A105" s="281"/>
      <c r="B105" s="278" t="s">
        <v>135</v>
      </c>
      <c r="C105" s="278">
        <v>158212</v>
      </c>
      <c r="D105" s="278">
        <v>14647</v>
      </c>
      <c r="E105" s="278">
        <v>256333</v>
      </c>
      <c r="F105" s="278">
        <v>0</v>
      </c>
      <c r="G105" s="278">
        <v>15720</v>
      </c>
      <c r="H105" s="278">
        <v>0</v>
      </c>
      <c r="I105" s="278">
        <v>0</v>
      </c>
      <c r="J105" s="278">
        <v>0</v>
      </c>
      <c r="K105" s="289">
        <v>444912</v>
      </c>
      <c r="L105" s="278">
        <v>0</v>
      </c>
      <c r="M105" s="278">
        <v>245835</v>
      </c>
      <c r="N105" s="278">
        <v>220912</v>
      </c>
      <c r="O105" s="278">
        <v>0</v>
      </c>
      <c r="P105" s="289">
        <v>466747</v>
      </c>
      <c r="Q105" s="278">
        <v>0</v>
      </c>
      <c r="R105" s="295">
        <v>0</v>
      </c>
      <c r="S105" s="279">
        <v>0</v>
      </c>
      <c r="T105" s="15"/>
      <c r="U105" s="15"/>
      <c r="V105" s="15"/>
      <c r="W105" s="15"/>
      <c r="X105" s="15"/>
      <c r="Y105" s="15"/>
      <c r="Z105" s="15"/>
    </row>
    <row r="106" spans="1:26" s="261" customFormat="1" x14ac:dyDescent="0.25">
      <c r="A106" s="281"/>
      <c r="B106" s="275" t="s">
        <v>132</v>
      </c>
      <c r="C106" s="275">
        <v>212880</v>
      </c>
      <c r="D106" s="275">
        <v>32856</v>
      </c>
      <c r="E106" s="275">
        <v>152156</v>
      </c>
      <c r="F106" s="275"/>
      <c r="G106" s="275">
        <v>6675</v>
      </c>
      <c r="H106" s="275"/>
      <c r="I106" s="275"/>
      <c r="J106" s="275"/>
      <c r="K106" s="288">
        <v>404567</v>
      </c>
      <c r="L106" s="275"/>
      <c r="M106" s="275">
        <v>0</v>
      </c>
      <c r="N106" s="275">
        <v>0</v>
      </c>
      <c r="O106" s="275"/>
      <c r="P106" s="288">
        <v>0</v>
      </c>
      <c r="Q106" s="275"/>
      <c r="R106" s="294">
        <v>0</v>
      </c>
      <c r="S106" s="276">
        <v>0</v>
      </c>
      <c r="T106" s="15"/>
      <c r="U106" s="15"/>
      <c r="V106" s="15"/>
      <c r="W106" s="15"/>
      <c r="X106" s="15"/>
      <c r="Y106" s="15"/>
      <c r="Z106" s="15"/>
    </row>
    <row r="107" spans="1:26" s="261" customFormat="1" x14ac:dyDescent="0.25">
      <c r="A107" s="281"/>
      <c r="B107" s="278" t="s">
        <v>136</v>
      </c>
      <c r="C107" s="278">
        <v>168522.90000000002</v>
      </c>
      <c r="D107" s="278">
        <v>30967</v>
      </c>
      <c r="E107" s="278">
        <v>140021</v>
      </c>
      <c r="F107" s="278"/>
      <c r="G107" s="278">
        <v>7227</v>
      </c>
      <c r="H107" s="278"/>
      <c r="I107" s="278"/>
      <c r="J107" s="278"/>
      <c r="K107" s="289">
        <v>346737.9</v>
      </c>
      <c r="L107" s="278"/>
      <c r="M107" s="278">
        <v>0</v>
      </c>
      <c r="N107" s="278">
        <v>0</v>
      </c>
      <c r="O107" s="278"/>
      <c r="P107" s="289">
        <v>0</v>
      </c>
      <c r="Q107" s="278"/>
      <c r="R107" s="295">
        <v>0</v>
      </c>
      <c r="S107" s="279">
        <v>0</v>
      </c>
      <c r="T107" s="15"/>
      <c r="U107" s="15"/>
      <c r="V107" s="15"/>
      <c r="W107" s="15"/>
      <c r="X107" s="15"/>
      <c r="Y107" s="15"/>
      <c r="Z107" s="15"/>
    </row>
    <row r="108" spans="1:26" s="261" customFormat="1" x14ac:dyDescent="0.25">
      <c r="A108" s="281"/>
      <c r="B108" s="275" t="s">
        <v>133</v>
      </c>
      <c r="C108" s="275">
        <v>30851</v>
      </c>
      <c r="D108" s="275">
        <v>1975</v>
      </c>
      <c r="E108" s="275">
        <v>33829</v>
      </c>
      <c r="F108" s="275">
        <v>0</v>
      </c>
      <c r="G108" s="275">
        <v>3896</v>
      </c>
      <c r="H108" s="275">
        <v>0</v>
      </c>
      <c r="I108" s="275">
        <v>0</v>
      </c>
      <c r="J108" s="275">
        <v>0</v>
      </c>
      <c r="K108" s="288">
        <v>70551</v>
      </c>
      <c r="L108" s="275">
        <v>0</v>
      </c>
      <c r="M108" s="275">
        <v>0</v>
      </c>
      <c r="N108" s="275">
        <v>0</v>
      </c>
      <c r="O108" s="275">
        <v>0</v>
      </c>
      <c r="P108" s="288">
        <v>0</v>
      </c>
      <c r="Q108" s="275">
        <v>0</v>
      </c>
      <c r="R108" s="294">
        <v>0</v>
      </c>
      <c r="S108" s="276">
        <v>0</v>
      </c>
      <c r="T108" s="15"/>
      <c r="U108" s="15"/>
      <c r="V108" s="15"/>
      <c r="W108" s="15"/>
      <c r="X108" s="15"/>
      <c r="Y108" s="15"/>
      <c r="Z108" s="15"/>
    </row>
    <row r="109" spans="1:26" s="261" customFormat="1" x14ac:dyDescent="0.25">
      <c r="A109" s="282"/>
      <c r="B109" s="278" t="s">
        <v>137</v>
      </c>
      <c r="C109" s="278">
        <v>33483.300000000003</v>
      </c>
      <c r="D109" s="278">
        <v>5253</v>
      </c>
      <c r="E109" s="278">
        <v>46526</v>
      </c>
      <c r="F109" s="278">
        <v>0</v>
      </c>
      <c r="G109" s="278">
        <v>5048</v>
      </c>
      <c r="H109" s="278">
        <v>0</v>
      </c>
      <c r="I109" s="278">
        <v>0</v>
      </c>
      <c r="J109" s="278">
        <v>0</v>
      </c>
      <c r="K109" s="289">
        <v>90310.3</v>
      </c>
      <c r="L109" s="278">
        <v>0</v>
      </c>
      <c r="M109" s="278">
        <v>0</v>
      </c>
      <c r="N109" s="278">
        <v>0</v>
      </c>
      <c r="O109" s="278">
        <v>0</v>
      </c>
      <c r="P109" s="289">
        <v>0</v>
      </c>
      <c r="Q109" s="278">
        <v>0</v>
      </c>
      <c r="R109" s="295">
        <v>0</v>
      </c>
      <c r="S109" s="279">
        <v>0</v>
      </c>
      <c r="T109" s="15"/>
      <c r="U109" s="15"/>
      <c r="V109" s="15"/>
      <c r="W109" s="15"/>
      <c r="X109" s="15"/>
      <c r="Y109" s="15"/>
      <c r="Z109" s="15"/>
    </row>
    <row r="110" spans="1:26" s="261" customFormat="1" x14ac:dyDescent="0.25">
      <c r="A110" s="280" t="s">
        <v>52</v>
      </c>
      <c r="B110" s="275" t="s">
        <v>130</v>
      </c>
      <c r="C110" s="275">
        <v>5122035</v>
      </c>
      <c r="D110" s="275">
        <v>1275570</v>
      </c>
      <c r="E110" s="275">
        <v>4170292</v>
      </c>
      <c r="F110" s="275">
        <v>76964</v>
      </c>
      <c r="G110" s="275">
        <v>281735</v>
      </c>
      <c r="H110" s="275">
        <v>49475</v>
      </c>
      <c r="I110" s="275"/>
      <c r="J110" s="275">
        <v>105771</v>
      </c>
      <c r="K110" s="288">
        <v>11081842</v>
      </c>
      <c r="L110" s="275">
        <v>748106</v>
      </c>
      <c r="M110" s="275">
        <v>11171131</v>
      </c>
      <c r="N110" s="275">
        <v>2441495</v>
      </c>
      <c r="O110" s="275">
        <v>411354</v>
      </c>
      <c r="P110" s="288">
        <v>14772086</v>
      </c>
      <c r="Q110" s="275"/>
      <c r="R110" s="294"/>
      <c r="S110" s="276"/>
      <c r="T110" s="15"/>
      <c r="U110" s="15"/>
      <c r="V110" s="15"/>
      <c r="W110" s="15"/>
      <c r="X110" s="15"/>
      <c r="Y110" s="15"/>
      <c r="Z110" s="15"/>
    </row>
    <row r="111" spans="1:26" s="261" customFormat="1" x14ac:dyDescent="0.25">
      <c r="A111" s="281"/>
      <c r="B111" s="278" t="s">
        <v>134</v>
      </c>
      <c r="C111" s="278">
        <v>5276587</v>
      </c>
      <c r="D111" s="278">
        <v>1332619</v>
      </c>
      <c r="E111" s="278">
        <v>4280207</v>
      </c>
      <c r="F111" s="278">
        <v>91001</v>
      </c>
      <c r="G111" s="278">
        <v>284896</v>
      </c>
      <c r="H111" s="278">
        <v>54166</v>
      </c>
      <c r="I111" s="278"/>
      <c r="J111" s="278">
        <v>116692</v>
      </c>
      <c r="K111" s="289">
        <v>11436168</v>
      </c>
      <c r="L111" s="278">
        <v>767841</v>
      </c>
      <c r="M111" s="278">
        <v>11367099</v>
      </c>
      <c r="N111" s="278">
        <v>2412924</v>
      </c>
      <c r="O111" s="278">
        <v>416048</v>
      </c>
      <c r="P111" s="289">
        <v>14963912</v>
      </c>
      <c r="Q111" s="278"/>
      <c r="R111" s="295"/>
      <c r="S111" s="279"/>
      <c r="T111" s="15"/>
      <c r="U111" s="15"/>
      <c r="V111" s="15"/>
      <c r="W111" s="15"/>
      <c r="X111" s="15"/>
      <c r="Y111" s="15"/>
      <c r="Z111" s="15"/>
    </row>
    <row r="112" spans="1:26" s="261" customFormat="1" x14ac:dyDescent="0.25">
      <c r="A112" s="281"/>
      <c r="B112" s="275" t="s">
        <v>131</v>
      </c>
      <c r="C112" s="275">
        <v>370133</v>
      </c>
      <c r="D112" s="275">
        <v>88967</v>
      </c>
      <c r="E112" s="275">
        <v>320146</v>
      </c>
      <c r="F112" s="275">
        <v>41925</v>
      </c>
      <c r="G112" s="275">
        <v>49229</v>
      </c>
      <c r="H112" s="275">
        <v>0</v>
      </c>
      <c r="I112" s="275">
        <v>0</v>
      </c>
      <c r="J112" s="275">
        <v>10340</v>
      </c>
      <c r="K112" s="288">
        <v>880740</v>
      </c>
      <c r="L112" s="275">
        <v>128838</v>
      </c>
      <c r="M112" s="275">
        <v>1907840</v>
      </c>
      <c r="N112" s="275">
        <v>471106</v>
      </c>
      <c r="O112" s="275">
        <v>97384</v>
      </c>
      <c r="P112" s="288">
        <v>2605168</v>
      </c>
      <c r="Q112" s="275">
        <v>0</v>
      </c>
      <c r="R112" s="294">
        <v>0</v>
      </c>
      <c r="S112" s="276">
        <v>0</v>
      </c>
      <c r="T112" s="15"/>
      <c r="U112" s="15"/>
      <c r="V112" s="15"/>
      <c r="W112" s="15"/>
      <c r="X112" s="15"/>
      <c r="Y112" s="15"/>
      <c r="Z112" s="15"/>
    </row>
    <row r="113" spans="1:26" s="261" customFormat="1" x14ac:dyDescent="0.25">
      <c r="A113" s="281"/>
      <c r="B113" s="278" t="s">
        <v>135</v>
      </c>
      <c r="C113" s="278">
        <v>461559</v>
      </c>
      <c r="D113" s="278">
        <v>121592</v>
      </c>
      <c r="E113" s="278">
        <v>412976</v>
      </c>
      <c r="F113" s="278">
        <v>44071</v>
      </c>
      <c r="G113" s="278">
        <v>74644</v>
      </c>
      <c r="H113" s="278">
        <v>0</v>
      </c>
      <c r="I113" s="278">
        <v>0</v>
      </c>
      <c r="J113" s="278">
        <v>30430</v>
      </c>
      <c r="K113" s="289">
        <v>1145272</v>
      </c>
      <c r="L113" s="278">
        <v>148330</v>
      </c>
      <c r="M113" s="278">
        <v>1999366</v>
      </c>
      <c r="N113" s="278">
        <v>534262</v>
      </c>
      <c r="O113" s="278">
        <v>101626</v>
      </c>
      <c r="P113" s="289">
        <v>2783584</v>
      </c>
      <c r="Q113" s="278">
        <v>0</v>
      </c>
      <c r="R113" s="295">
        <v>0</v>
      </c>
      <c r="S113" s="279">
        <v>0</v>
      </c>
      <c r="T113" s="15"/>
      <c r="U113" s="15"/>
      <c r="V113" s="15"/>
      <c r="W113" s="15"/>
      <c r="X113" s="15"/>
      <c r="Y113" s="15"/>
      <c r="Z113" s="15"/>
    </row>
    <row r="114" spans="1:26" s="261" customFormat="1" x14ac:dyDescent="0.25">
      <c r="A114" s="281"/>
      <c r="B114" s="275" t="s">
        <v>132</v>
      </c>
      <c r="C114" s="275">
        <v>1092468</v>
      </c>
      <c r="D114" s="275">
        <v>223134</v>
      </c>
      <c r="E114" s="275">
        <v>671808</v>
      </c>
      <c r="F114" s="275">
        <v>36907</v>
      </c>
      <c r="G114" s="275">
        <v>5625</v>
      </c>
      <c r="H114" s="275">
        <v>996</v>
      </c>
      <c r="I114" s="275"/>
      <c r="J114" s="275">
        <v>29317</v>
      </c>
      <c r="K114" s="288">
        <v>2060255</v>
      </c>
      <c r="L114" s="275">
        <v>0</v>
      </c>
      <c r="M114" s="275">
        <v>0</v>
      </c>
      <c r="N114" s="275">
        <v>0</v>
      </c>
      <c r="O114" s="275">
        <v>0</v>
      </c>
      <c r="P114" s="288">
        <v>0</v>
      </c>
      <c r="Q114" s="275"/>
      <c r="R114" s="294"/>
      <c r="S114" s="276"/>
      <c r="T114" s="15"/>
      <c r="U114" s="15"/>
      <c r="V114" s="15"/>
      <c r="W114" s="15"/>
      <c r="X114" s="15"/>
      <c r="Y114" s="15"/>
      <c r="Z114" s="15"/>
    </row>
    <row r="115" spans="1:26" s="261" customFormat="1" x14ac:dyDescent="0.25">
      <c r="A115" s="281"/>
      <c r="B115" s="278" t="s">
        <v>136</v>
      </c>
      <c r="C115" s="278">
        <v>1116832</v>
      </c>
      <c r="D115" s="278">
        <v>231841</v>
      </c>
      <c r="E115" s="278">
        <v>665862</v>
      </c>
      <c r="F115" s="278">
        <v>34839</v>
      </c>
      <c r="G115" s="278">
        <v>5445</v>
      </c>
      <c r="H115" s="278">
        <v>1211</v>
      </c>
      <c r="I115" s="278"/>
      <c r="J115" s="278">
        <v>30219</v>
      </c>
      <c r="K115" s="289">
        <v>2086249</v>
      </c>
      <c r="L115" s="278">
        <v>0</v>
      </c>
      <c r="M115" s="278">
        <v>0</v>
      </c>
      <c r="N115" s="278">
        <v>0</v>
      </c>
      <c r="O115" s="278">
        <v>0</v>
      </c>
      <c r="P115" s="289">
        <v>0</v>
      </c>
      <c r="Q115" s="278"/>
      <c r="R115" s="295"/>
      <c r="S115" s="279"/>
      <c r="T115" s="15"/>
      <c r="U115" s="15"/>
      <c r="V115" s="15"/>
      <c r="W115" s="15"/>
      <c r="X115" s="15"/>
      <c r="Y115" s="15"/>
      <c r="Z115" s="15"/>
    </row>
    <row r="116" spans="1:26" s="261" customFormat="1" x14ac:dyDescent="0.25">
      <c r="A116" s="281"/>
      <c r="B116" s="275" t="s">
        <v>133</v>
      </c>
      <c r="C116" s="275">
        <v>118870</v>
      </c>
      <c r="D116" s="275">
        <v>62151</v>
      </c>
      <c r="E116" s="275">
        <v>228591</v>
      </c>
      <c r="F116" s="275">
        <v>23394</v>
      </c>
      <c r="G116" s="275">
        <v>1632</v>
      </c>
      <c r="H116" s="275">
        <v>63</v>
      </c>
      <c r="I116" s="275">
        <v>0</v>
      </c>
      <c r="J116" s="275">
        <v>2227</v>
      </c>
      <c r="K116" s="288">
        <v>436928</v>
      </c>
      <c r="L116" s="275">
        <v>0</v>
      </c>
      <c r="M116" s="275">
        <v>0</v>
      </c>
      <c r="N116" s="275">
        <v>0</v>
      </c>
      <c r="O116" s="275">
        <v>0</v>
      </c>
      <c r="P116" s="288">
        <v>0</v>
      </c>
      <c r="Q116" s="275">
        <v>0</v>
      </c>
      <c r="R116" s="294">
        <v>0</v>
      </c>
      <c r="S116" s="276">
        <v>0</v>
      </c>
      <c r="T116" s="15"/>
      <c r="U116" s="15"/>
      <c r="V116" s="15"/>
      <c r="W116" s="15"/>
      <c r="X116" s="15"/>
      <c r="Y116" s="15"/>
      <c r="Z116" s="15"/>
    </row>
    <row r="117" spans="1:26" s="261" customFormat="1" x14ac:dyDescent="0.25">
      <c r="A117" s="282"/>
      <c r="B117" s="278" t="s">
        <v>137</v>
      </c>
      <c r="C117" s="278">
        <v>138497</v>
      </c>
      <c r="D117" s="278">
        <v>68386</v>
      </c>
      <c r="E117" s="278">
        <v>240872</v>
      </c>
      <c r="F117" s="278">
        <v>23799</v>
      </c>
      <c r="G117" s="278">
        <v>1920</v>
      </c>
      <c r="H117" s="278">
        <v>97</v>
      </c>
      <c r="I117" s="278">
        <v>0</v>
      </c>
      <c r="J117" s="278">
        <v>12118</v>
      </c>
      <c r="K117" s="289">
        <v>485689</v>
      </c>
      <c r="L117" s="278">
        <v>0</v>
      </c>
      <c r="M117" s="278">
        <v>0</v>
      </c>
      <c r="N117" s="278">
        <v>0</v>
      </c>
      <c r="O117" s="278">
        <v>0</v>
      </c>
      <c r="P117" s="289">
        <v>0</v>
      </c>
      <c r="Q117" s="278">
        <v>0</v>
      </c>
      <c r="R117" s="295">
        <v>0</v>
      </c>
      <c r="S117" s="279">
        <v>0</v>
      </c>
      <c r="T117" s="15"/>
      <c r="U117" s="15"/>
      <c r="V117" s="15"/>
      <c r="W117" s="15"/>
      <c r="X117" s="15"/>
      <c r="Y117" s="15"/>
      <c r="Z117" s="15"/>
    </row>
    <row r="118" spans="1:26" s="261" customFormat="1" x14ac:dyDescent="0.25">
      <c r="A118" s="280" t="s">
        <v>53</v>
      </c>
      <c r="B118" s="275" t="s">
        <v>130</v>
      </c>
      <c r="C118" s="275">
        <v>2239653.5</v>
      </c>
      <c r="D118" s="275">
        <v>817799</v>
      </c>
      <c r="E118" s="275">
        <v>667628</v>
      </c>
      <c r="F118" s="275">
        <v>512517</v>
      </c>
      <c r="G118" s="275">
        <v>264323</v>
      </c>
      <c r="H118" s="275">
        <v>50690.3</v>
      </c>
      <c r="I118" s="275"/>
      <c r="J118" s="275"/>
      <c r="K118" s="288">
        <v>4552610.8</v>
      </c>
      <c r="L118" s="275"/>
      <c r="M118" s="275">
        <v>2108344</v>
      </c>
      <c r="N118" s="275">
        <v>1381549</v>
      </c>
      <c r="O118" s="275">
        <v>292921</v>
      </c>
      <c r="P118" s="288">
        <v>3782814</v>
      </c>
      <c r="Q118" s="275"/>
      <c r="R118" s="294"/>
      <c r="S118" s="276"/>
      <c r="T118" s="15"/>
      <c r="U118" s="15"/>
      <c r="V118" s="15"/>
      <c r="W118" s="15"/>
      <c r="X118" s="15"/>
      <c r="Y118" s="15"/>
      <c r="Z118" s="15"/>
    </row>
    <row r="119" spans="1:26" s="261" customFormat="1" x14ac:dyDescent="0.25">
      <c r="A119" s="281"/>
      <c r="B119" s="278" t="s">
        <v>134</v>
      </c>
      <c r="C119" s="278">
        <v>2289603</v>
      </c>
      <c r="D119" s="278">
        <v>825507.5</v>
      </c>
      <c r="E119" s="278">
        <v>694589</v>
      </c>
      <c r="F119" s="278">
        <v>542305</v>
      </c>
      <c r="G119" s="278">
        <v>253503</v>
      </c>
      <c r="H119" s="278">
        <v>51098</v>
      </c>
      <c r="I119" s="278"/>
      <c r="J119" s="278"/>
      <c r="K119" s="289">
        <v>4656605.5</v>
      </c>
      <c r="L119" s="278"/>
      <c r="M119" s="278">
        <v>2216538</v>
      </c>
      <c r="N119" s="278">
        <v>1313749</v>
      </c>
      <c r="O119" s="278">
        <v>378830</v>
      </c>
      <c r="P119" s="289">
        <v>3909117</v>
      </c>
      <c r="Q119" s="278"/>
      <c r="R119" s="295"/>
      <c r="S119" s="279"/>
      <c r="T119" s="15"/>
      <c r="U119" s="15"/>
      <c r="V119" s="15"/>
      <c r="W119" s="15"/>
      <c r="X119" s="15"/>
      <c r="Y119" s="15"/>
      <c r="Z119" s="15"/>
    </row>
    <row r="120" spans="1:26" s="261" customFormat="1" x14ac:dyDescent="0.25">
      <c r="A120" s="281"/>
      <c r="B120" s="275" t="s">
        <v>131</v>
      </c>
      <c r="C120" s="275">
        <v>86712</v>
      </c>
      <c r="D120" s="275">
        <v>15580</v>
      </c>
      <c r="E120" s="275">
        <v>18759</v>
      </c>
      <c r="F120" s="275">
        <v>10325</v>
      </c>
      <c r="G120" s="275">
        <v>5733</v>
      </c>
      <c r="H120" s="275">
        <v>2020</v>
      </c>
      <c r="I120" s="275">
        <v>0</v>
      </c>
      <c r="J120" s="275">
        <v>0</v>
      </c>
      <c r="K120" s="288">
        <v>139129</v>
      </c>
      <c r="L120" s="275">
        <v>0</v>
      </c>
      <c r="M120" s="275">
        <v>475722</v>
      </c>
      <c r="N120" s="275">
        <v>330383</v>
      </c>
      <c r="O120" s="275">
        <v>87657</v>
      </c>
      <c r="P120" s="288">
        <v>893762</v>
      </c>
      <c r="Q120" s="275">
        <v>0</v>
      </c>
      <c r="R120" s="294">
        <v>0</v>
      </c>
      <c r="S120" s="276">
        <v>0</v>
      </c>
      <c r="T120" s="15"/>
      <c r="U120" s="15"/>
      <c r="V120" s="15"/>
      <c r="W120" s="15"/>
      <c r="X120" s="15"/>
      <c r="Y120" s="15"/>
      <c r="Z120" s="15"/>
    </row>
    <row r="121" spans="1:26" s="261" customFormat="1" x14ac:dyDescent="0.25">
      <c r="A121" s="281"/>
      <c r="B121" s="278" t="s">
        <v>135</v>
      </c>
      <c r="C121" s="278">
        <v>99302</v>
      </c>
      <c r="D121" s="278">
        <v>24280</v>
      </c>
      <c r="E121" s="278">
        <v>39964</v>
      </c>
      <c r="F121" s="278">
        <v>2752</v>
      </c>
      <c r="G121" s="278">
        <v>12099</v>
      </c>
      <c r="H121" s="278">
        <v>1704</v>
      </c>
      <c r="I121" s="278">
        <v>0</v>
      </c>
      <c r="J121" s="278">
        <v>0</v>
      </c>
      <c r="K121" s="289">
        <v>180101</v>
      </c>
      <c r="L121" s="278">
        <v>0</v>
      </c>
      <c r="M121" s="278">
        <v>524476</v>
      </c>
      <c r="N121" s="278">
        <v>378686</v>
      </c>
      <c r="O121" s="278">
        <v>94911</v>
      </c>
      <c r="P121" s="289">
        <v>998073</v>
      </c>
      <c r="Q121" s="278">
        <v>0</v>
      </c>
      <c r="R121" s="295">
        <v>0</v>
      </c>
      <c r="S121" s="279">
        <v>0</v>
      </c>
      <c r="T121" s="15"/>
      <c r="U121" s="15"/>
      <c r="V121" s="15"/>
      <c r="W121" s="15"/>
      <c r="X121" s="15"/>
      <c r="Y121" s="15"/>
      <c r="Z121" s="15"/>
    </row>
    <row r="122" spans="1:26" s="261" customFormat="1" x14ac:dyDescent="0.25">
      <c r="A122" s="281"/>
      <c r="B122" s="275" t="s">
        <v>132</v>
      </c>
      <c r="C122" s="275">
        <v>595754.89999999793</v>
      </c>
      <c r="D122" s="275">
        <v>200638.5</v>
      </c>
      <c r="E122" s="275">
        <v>45429</v>
      </c>
      <c r="F122" s="275">
        <v>37702</v>
      </c>
      <c r="G122" s="275">
        <v>15072</v>
      </c>
      <c r="H122" s="275">
        <v>0</v>
      </c>
      <c r="I122" s="275"/>
      <c r="J122" s="275"/>
      <c r="K122" s="288">
        <v>894596.39999999793</v>
      </c>
      <c r="L122" s="275"/>
      <c r="M122" s="275">
        <v>0</v>
      </c>
      <c r="N122" s="275">
        <v>0</v>
      </c>
      <c r="O122" s="275">
        <v>0</v>
      </c>
      <c r="P122" s="288">
        <v>0</v>
      </c>
      <c r="Q122" s="275"/>
      <c r="R122" s="294"/>
      <c r="S122" s="276"/>
      <c r="T122" s="15"/>
      <c r="U122" s="15"/>
      <c r="V122" s="15"/>
      <c r="W122" s="15"/>
      <c r="X122" s="15"/>
      <c r="Y122" s="15"/>
      <c r="Z122" s="15"/>
    </row>
    <row r="123" spans="1:26" s="261" customFormat="1" x14ac:dyDescent="0.25">
      <c r="A123" s="281"/>
      <c r="B123" s="278" t="s">
        <v>136</v>
      </c>
      <c r="C123" s="278">
        <v>603432.5</v>
      </c>
      <c r="D123" s="278">
        <v>195551.5</v>
      </c>
      <c r="E123" s="278">
        <v>47901</v>
      </c>
      <c r="F123" s="278">
        <v>34168</v>
      </c>
      <c r="G123" s="278">
        <v>17478</v>
      </c>
      <c r="H123" s="278">
        <v>0</v>
      </c>
      <c r="I123" s="278"/>
      <c r="J123" s="278"/>
      <c r="K123" s="289">
        <v>898531</v>
      </c>
      <c r="L123" s="278"/>
      <c r="M123" s="278">
        <v>0</v>
      </c>
      <c r="N123" s="278">
        <v>0</v>
      </c>
      <c r="O123" s="278">
        <v>0</v>
      </c>
      <c r="P123" s="289">
        <v>0</v>
      </c>
      <c r="Q123" s="278"/>
      <c r="R123" s="295"/>
      <c r="S123" s="279"/>
      <c r="T123" s="15"/>
      <c r="U123" s="15"/>
      <c r="V123" s="15"/>
      <c r="W123" s="15"/>
      <c r="X123" s="15"/>
      <c r="Y123" s="15"/>
      <c r="Z123" s="15"/>
    </row>
    <row r="124" spans="1:26" s="261" customFormat="1" x14ac:dyDescent="0.25">
      <c r="A124" s="281"/>
      <c r="B124" s="275" t="s">
        <v>133</v>
      </c>
      <c r="C124" s="275">
        <v>55509</v>
      </c>
      <c r="D124" s="275">
        <v>8050</v>
      </c>
      <c r="E124" s="275">
        <v>4189</v>
      </c>
      <c r="F124" s="275">
        <v>2398</v>
      </c>
      <c r="G124" s="275">
        <v>1687</v>
      </c>
      <c r="H124" s="275">
        <v>0</v>
      </c>
      <c r="I124" s="275">
        <v>0</v>
      </c>
      <c r="J124" s="275">
        <v>0</v>
      </c>
      <c r="K124" s="288">
        <v>71833</v>
      </c>
      <c r="L124" s="275">
        <v>0</v>
      </c>
      <c r="M124" s="275">
        <v>0</v>
      </c>
      <c r="N124" s="275">
        <v>0</v>
      </c>
      <c r="O124" s="275">
        <v>0</v>
      </c>
      <c r="P124" s="288">
        <v>0</v>
      </c>
      <c r="Q124" s="275">
        <v>0</v>
      </c>
      <c r="R124" s="294">
        <v>0</v>
      </c>
      <c r="S124" s="276">
        <v>0</v>
      </c>
      <c r="T124" s="15"/>
      <c r="U124" s="15"/>
      <c r="V124" s="15"/>
      <c r="W124" s="15"/>
      <c r="X124" s="15"/>
      <c r="Y124" s="15"/>
      <c r="Z124" s="15"/>
    </row>
    <row r="125" spans="1:26" s="261" customFormat="1" x14ac:dyDescent="0.25">
      <c r="A125" s="282"/>
      <c r="B125" s="278" t="s">
        <v>137</v>
      </c>
      <c r="C125" s="278">
        <v>52604.5</v>
      </c>
      <c r="D125" s="278">
        <v>9871</v>
      </c>
      <c r="E125" s="278">
        <v>5795</v>
      </c>
      <c r="F125" s="278">
        <v>1733</v>
      </c>
      <c r="G125" s="278">
        <v>3379</v>
      </c>
      <c r="H125" s="278">
        <v>0</v>
      </c>
      <c r="I125" s="278">
        <v>0</v>
      </c>
      <c r="J125" s="278">
        <v>0</v>
      </c>
      <c r="K125" s="289">
        <v>73382.5</v>
      </c>
      <c r="L125" s="278">
        <v>0</v>
      </c>
      <c r="M125" s="278">
        <v>0</v>
      </c>
      <c r="N125" s="278">
        <v>0</v>
      </c>
      <c r="O125" s="278">
        <v>0</v>
      </c>
      <c r="P125" s="289">
        <v>0</v>
      </c>
      <c r="Q125" s="278">
        <v>0</v>
      </c>
      <c r="R125" s="295">
        <v>0</v>
      </c>
      <c r="S125" s="279">
        <v>0</v>
      </c>
      <c r="T125" s="15"/>
      <c r="U125" s="15"/>
      <c r="V125" s="15"/>
      <c r="W125" s="15"/>
      <c r="X125" s="15"/>
      <c r="Y125" s="15"/>
      <c r="Z125" s="15"/>
    </row>
    <row r="126" spans="1:26" s="261" customFormat="1" x14ac:dyDescent="0.25">
      <c r="A126" s="280" t="s">
        <v>54</v>
      </c>
      <c r="B126" s="275" t="s">
        <v>130</v>
      </c>
      <c r="C126" s="275">
        <v>650374</v>
      </c>
      <c r="D126" s="275"/>
      <c r="E126" s="275">
        <v>268026</v>
      </c>
      <c r="F126" s="275"/>
      <c r="G126" s="275">
        <v>229207</v>
      </c>
      <c r="H126" s="275">
        <v>365992</v>
      </c>
      <c r="I126" s="275"/>
      <c r="J126" s="275"/>
      <c r="K126" s="288">
        <v>1513599</v>
      </c>
      <c r="L126" s="275">
        <v>149791</v>
      </c>
      <c r="M126" s="275"/>
      <c r="N126" s="275">
        <v>76666</v>
      </c>
      <c r="O126" s="275">
        <v>358666</v>
      </c>
      <c r="P126" s="288">
        <v>585123</v>
      </c>
      <c r="Q126" s="275"/>
      <c r="R126" s="294"/>
      <c r="S126" s="276"/>
      <c r="T126" s="15"/>
      <c r="U126" s="15"/>
      <c r="V126" s="15"/>
      <c r="W126" s="15"/>
      <c r="X126" s="15"/>
      <c r="Y126" s="15"/>
      <c r="Z126" s="15"/>
    </row>
    <row r="127" spans="1:26" s="261" customFormat="1" x14ac:dyDescent="0.25">
      <c r="A127" s="281"/>
      <c r="B127" s="278" t="s">
        <v>134</v>
      </c>
      <c r="C127" s="278">
        <v>662072</v>
      </c>
      <c r="D127" s="278"/>
      <c r="E127" s="278">
        <v>274112</v>
      </c>
      <c r="F127" s="278"/>
      <c r="G127" s="278">
        <v>231167</v>
      </c>
      <c r="H127" s="278">
        <v>359710</v>
      </c>
      <c r="I127" s="278"/>
      <c r="J127" s="278"/>
      <c r="K127" s="289">
        <v>1527061</v>
      </c>
      <c r="L127" s="278">
        <v>148566</v>
      </c>
      <c r="M127" s="278"/>
      <c r="N127" s="278">
        <v>71666</v>
      </c>
      <c r="O127" s="278">
        <v>365478</v>
      </c>
      <c r="P127" s="289">
        <v>585710</v>
      </c>
      <c r="Q127" s="278"/>
      <c r="R127" s="295"/>
      <c r="S127" s="279"/>
      <c r="T127" s="15"/>
      <c r="U127" s="15"/>
      <c r="V127" s="15"/>
      <c r="W127" s="15"/>
      <c r="X127" s="15"/>
      <c r="Y127" s="15"/>
      <c r="Z127" s="15"/>
    </row>
    <row r="128" spans="1:26" s="261" customFormat="1" x14ac:dyDescent="0.25">
      <c r="A128" s="281"/>
      <c r="B128" s="275" t="s">
        <v>131</v>
      </c>
      <c r="C128" s="275">
        <v>42506</v>
      </c>
      <c r="D128" s="275">
        <v>0</v>
      </c>
      <c r="E128" s="275">
        <v>34846</v>
      </c>
      <c r="F128" s="275">
        <v>0</v>
      </c>
      <c r="G128" s="275">
        <v>15796</v>
      </c>
      <c r="H128" s="275">
        <v>40016</v>
      </c>
      <c r="I128" s="275">
        <v>0</v>
      </c>
      <c r="J128" s="275">
        <v>0</v>
      </c>
      <c r="K128" s="288">
        <v>133164</v>
      </c>
      <c r="L128" s="275">
        <v>27169</v>
      </c>
      <c r="M128" s="275">
        <v>0</v>
      </c>
      <c r="N128" s="275">
        <v>12088</v>
      </c>
      <c r="O128" s="275">
        <v>62515</v>
      </c>
      <c r="P128" s="288">
        <v>101772</v>
      </c>
      <c r="Q128" s="275">
        <v>0</v>
      </c>
      <c r="R128" s="294">
        <v>0</v>
      </c>
      <c r="S128" s="276">
        <v>0</v>
      </c>
      <c r="T128" s="15"/>
      <c r="U128" s="15"/>
      <c r="V128" s="15"/>
      <c r="W128" s="15"/>
      <c r="X128" s="15"/>
      <c r="Y128" s="15"/>
      <c r="Z128" s="15"/>
    </row>
    <row r="129" spans="1:26" s="261" customFormat="1" x14ac:dyDescent="0.25">
      <c r="A129" s="281"/>
      <c r="B129" s="278" t="s">
        <v>135</v>
      </c>
      <c r="C129" s="278">
        <v>47582</v>
      </c>
      <c r="D129" s="278">
        <v>0</v>
      </c>
      <c r="E129" s="278">
        <v>38858</v>
      </c>
      <c r="F129" s="278">
        <v>0</v>
      </c>
      <c r="G129" s="278">
        <v>15838</v>
      </c>
      <c r="H129" s="278">
        <v>48676</v>
      </c>
      <c r="I129" s="278">
        <v>0</v>
      </c>
      <c r="J129" s="278">
        <v>0</v>
      </c>
      <c r="K129" s="289">
        <v>150954</v>
      </c>
      <c r="L129" s="278">
        <v>31389</v>
      </c>
      <c r="M129" s="278">
        <v>0</v>
      </c>
      <c r="N129" s="278">
        <v>17410</v>
      </c>
      <c r="O129" s="278">
        <v>68137</v>
      </c>
      <c r="P129" s="289">
        <v>116936</v>
      </c>
      <c r="Q129" s="278">
        <v>0</v>
      </c>
      <c r="R129" s="295">
        <v>0</v>
      </c>
      <c r="S129" s="279">
        <v>0</v>
      </c>
      <c r="T129" s="15"/>
      <c r="U129" s="15"/>
      <c r="V129" s="15"/>
      <c r="W129" s="15"/>
      <c r="X129" s="15"/>
      <c r="Y129" s="15"/>
      <c r="Z129" s="15"/>
    </row>
    <row r="130" spans="1:26" s="261" customFormat="1" x14ac:dyDescent="0.25">
      <c r="A130" s="281"/>
      <c r="B130" s="275" t="s">
        <v>132</v>
      </c>
      <c r="C130" s="275">
        <v>112337</v>
      </c>
      <c r="D130" s="275"/>
      <c r="E130" s="275">
        <v>55610</v>
      </c>
      <c r="F130" s="275"/>
      <c r="G130" s="275">
        <v>8573</v>
      </c>
      <c r="H130" s="275">
        <v>4777</v>
      </c>
      <c r="I130" s="275"/>
      <c r="J130" s="275"/>
      <c r="K130" s="288">
        <v>181297</v>
      </c>
      <c r="L130" s="275">
        <v>0</v>
      </c>
      <c r="M130" s="275"/>
      <c r="N130" s="275">
        <v>0</v>
      </c>
      <c r="O130" s="275">
        <v>0</v>
      </c>
      <c r="P130" s="288">
        <v>0</v>
      </c>
      <c r="Q130" s="275"/>
      <c r="R130" s="294"/>
      <c r="S130" s="276"/>
      <c r="T130" s="15"/>
      <c r="U130" s="15"/>
      <c r="V130" s="15"/>
      <c r="W130" s="15"/>
      <c r="X130" s="15"/>
      <c r="Y130" s="15"/>
      <c r="Z130" s="15"/>
    </row>
    <row r="131" spans="1:26" s="261" customFormat="1" x14ac:dyDescent="0.25">
      <c r="A131" s="281"/>
      <c r="B131" s="278" t="s">
        <v>136</v>
      </c>
      <c r="C131" s="278">
        <v>111929</v>
      </c>
      <c r="D131" s="278"/>
      <c r="E131" s="278">
        <v>55072</v>
      </c>
      <c r="F131" s="278"/>
      <c r="G131" s="278">
        <v>9085</v>
      </c>
      <c r="H131" s="278">
        <v>6056</v>
      </c>
      <c r="I131" s="278"/>
      <c r="J131" s="278"/>
      <c r="K131" s="289">
        <v>182142</v>
      </c>
      <c r="L131" s="278">
        <v>0</v>
      </c>
      <c r="M131" s="278"/>
      <c r="N131" s="278">
        <v>0</v>
      </c>
      <c r="O131" s="278">
        <v>0</v>
      </c>
      <c r="P131" s="289">
        <v>0</v>
      </c>
      <c r="Q131" s="278"/>
      <c r="R131" s="295"/>
      <c r="S131" s="279"/>
      <c r="T131" s="15"/>
      <c r="U131" s="15"/>
      <c r="V131" s="15"/>
      <c r="W131" s="15"/>
      <c r="X131" s="15"/>
      <c r="Y131" s="15"/>
      <c r="Z131" s="15"/>
    </row>
    <row r="132" spans="1:26" s="261" customFormat="1" x14ac:dyDescent="0.25">
      <c r="A132" s="281"/>
      <c r="B132" s="275" t="s">
        <v>133</v>
      </c>
      <c r="C132" s="275">
        <v>27334</v>
      </c>
      <c r="D132" s="275">
        <v>0</v>
      </c>
      <c r="E132" s="275">
        <v>12407</v>
      </c>
      <c r="F132" s="275">
        <v>0</v>
      </c>
      <c r="G132" s="275">
        <v>4160</v>
      </c>
      <c r="H132" s="275">
        <v>2391</v>
      </c>
      <c r="I132" s="275">
        <v>0</v>
      </c>
      <c r="J132" s="275">
        <v>0</v>
      </c>
      <c r="K132" s="288">
        <v>46292</v>
      </c>
      <c r="L132" s="275">
        <v>0</v>
      </c>
      <c r="M132" s="275">
        <v>0</v>
      </c>
      <c r="N132" s="275">
        <v>0</v>
      </c>
      <c r="O132" s="275">
        <v>0</v>
      </c>
      <c r="P132" s="288">
        <v>0</v>
      </c>
      <c r="Q132" s="275">
        <v>0</v>
      </c>
      <c r="R132" s="294">
        <v>0</v>
      </c>
      <c r="S132" s="276">
        <v>0</v>
      </c>
      <c r="T132" s="15"/>
      <c r="U132" s="15"/>
      <c r="V132" s="15"/>
      <c r="W132" s="15"/>
      <c r="X132" s="15"/>
      <c r="Y132" s="15"/>
      <c r="Z132" s="15"/>
    </row>
    <row r="133" spans="1:26" s="261" customFormat="1" x14ac:dyDescent="0.25">
      <c r="A133" s="282"/>
      <c r="B133" s="278" t="s">
        <v>137</v>
      </c>
      <c r="C133" s="278">
        <v>28493</v>
      </c>
      <c r="D133" s="278">
        <v>0</v>
      </c>
      <c r="E133" s="278">
        <v>11127</v>
      </c>
      <c r="F133" s="278">
        <v>0</v>
      </c>
      <c r="G133" s="278">
        <v>4348</v>
      </c>
      <c r="H133" s="278">
        <v>3345</v>
      </c>
      <c r="I133" s="278">
        <v>0</v>
      </c>
      <c r="J133" s="278">
        <v>0</v>
      </c>
      <c r="K133" s="289">
        <v>47313</v>
      </c>
      <c r="L133" s="278">
        <v>0</v>
      </c>
      <c r="M133" s="278">
        <v>0</v>
      </c>
      <c r="N133" s="278">
        <v>0</v>
      </c>
      <c r="O133" s="278">
        <v>0</v>
      </c>
      <c r="P133" s="289">
        <v>0</v>
      </c>
      <c r="Q133" s="278">
        <v>0</v>
      </c>
      <c r="R133" s="295">
        <v>0</v>
      </c>
      <c r="S133" s="279">
        <v>0</v>
      </c>
      <c r="T133" s="15"/>
      <c r="U133" s="15"/>
      <c r="V133" s="15"/>
      <c r="W133" s="15"/>
      <c r="X133" s="15"/>
      <c r="Y133" s="15"/>
      <c r="Z133" s="15"/>
    </row>
    <row r="134" spans="1:26" s="261" customFormat="1" x14ac:dyDescent="0.25">
      <c r="B134" s="263"/>
      <c r="P134" s="264"/>
      <c r="S134" s="262"/>
      <c r="T134" s="262"/>
      <c r="U134" s="262"/>
      <c r="V134" s="262"/>
    </row>
    <row r="135" spans="1:26" s="261" customFormat="1" x14ac:dyDescent="0.25">
      <c r="S135" s="262"/>
      <c r="T135" s="262"/>
      <c r="U135" s="262"/>
      <c r="V135" s="262"/>
    </row>
    <row r="136" spans="1:26" s="261" customFormat="1" x14ac:dyDescent="0.25">
      <c r="S136" s="262"/>
      <c r="T136" s="262"/>
      <c r="U136" s="262"/>
      <c r="V136" s="262"/>
    </row>
    <row r="137" spans="1:26" s="261" customFormat="1" x14ac:dyDescent="0.25">
      <c r="B137" s="263"/>
      <c r="P137" s="264"/>
      <c r="S137" s="262"/>
      <c r="T137" s="262"/>
      <c r="U137" s="262"/>
      <c r="V137" s="262"/>
    </row>
    <row r="138" spans="1:26" s="261" customFormat="1" x14ac:dyDescent="0.25">
      <c r="S138" s="262"/>
      <c r="T138" s="262"/>
      <c r="U138" s="262"/>
      <c r="V138" s="262"/>
    </row>
    <row r="139" spans="1:26" s="261" customFormat="1" x14ac:dyDescent="0.25">
      <c r="S139" s="262"/>
      <c r="T139" s="262"/>
      <c r="U139" s="262"/>
      <c r="V139" s="262"/>
    </row>
    <row r="140" spans="1:26" s="261" customFormat="1" x14ac:dyDescent="0.25">
      <c r="B140" s="263"/>
      <c r="P140" s="264"/>
      <c r="S140" s="262"/>
      <c r="T140" s="262"/>
      <c r="U140" s="262"/>
      <c r="V140" s="262"/>
    </row>
    <row r="141" spans="1:26" s="261" customFormat="1" x14ac:dyDescent="0.25">
      <c r="S141" s="262"/>
      <c r="T141" s="262"/>
      <c r="U141" s="262"/>
      <c r="V141" s="262"/>
    </row>
    <row r="142" spans="1:26" s="261" customFormat="1" x14ac:dyDescent="0.25">
      <c r="S142" s="262"/>
      <c r="T142" s="262"/>
      <c r="U142" s="262"/>
      <c r="V142" s="262"/>
    </row>
    <row r="143" spans="1:26" s="261" customFormat="1" x14ac:dyDescent="0.25">
      <c r="B143" s="263"/>
      <c r="P143" s="264"/>
      <c r="S143" s="262"/>
      <c r="T143" s="262"/>
      <c r="U143" s="262"/>
      <c r="V143" s="262"/>
    </row>
    <row r="144" spans="1:26" s="261" customFormat="1" x14ac:dyDescent="0.25">
      <c r="S144" s="262"/>
      <c r="T144" s="262"/>
      <c r="U144" s="262"/>
      <c r="V144" s="262"/>
    </row>
    <row r="145" spans="2:22" s="261" customFormat="1" x14ac:dyDescent="0.25">
      <c r="S145" s="262"/>
      <c r="T145" s="262"/>
      <c r="U145" s="262"/>
      <c r="V145" s="262"/>
    </row>
    <row r="146" spans="2:22" s="261" customFormat="1" x14ac:dyDescent="0.25">
      <c r="B146" s="263"/>
      <c r="P146" s="264"/>
      <c r="S146" s="262"/>
      <c r="T146" s="262"/>
      <c r="U146" s="262"/>
      <c r="V146" s="262"/>
    </row>
    <row r="147" spans="2:22" s="261" customFormat="1" x14ac:dyDescent="0.25">
      <c r="S147" s="262"/>
      <c r="T147" s="262"/>
      <c r="U147" s="262"/>
      <c r="V147" s="262"/>
    </row>
    <row r="148" spans="2:22" s="261" customFormat="1" x14ac:dyDescent="0.25">
      <c r="S148" s="262"/>
      <c r="T148" s="262"/>
      <c r="U148" s="262"/>
      <c r="V148" s="262"/>
    </row>
    <row r="149" spans="2:22" s="261" customFormat="1" x14ac:dyDescent="0.25">
      <c r="B149" s="263"/>
      <c r="P149" s="264"/>
      <c r="S149" s="262"/>
      <c r="T149" s="262"/>
      <c r="U149" s="262"/>
      <c r="V149" s="262"/>
    </row>
    <row r="150" spans="2:22" s="261" customFormat="1" x14ac:dyDescent="0.25">
      <c r="S150" s="262"/>
      <c r="T150" s="262"/>
      <c r="U150" s="262"/>
      <c r="V150" s="262"/>
    </row>
    <row r="151" spans="2:22" s="261" customFormat="1" x14ac:dyDescent="0.25">
      <c r="S151" s="262"/>
      <c r="T151" s="262"/>
      <c r="U151" s="262"/>
      <c r="V151" s="262"/>
    </row>
    <row r="152" spans="2:22" s="261" customFormat="1" x14ac:dyDescent="0.25">
      <c r="B152" s="263"/>
      <c r="P152" s="264"/>
      <c r="S152" s="262"/>
      <c r="T152" s="262"/>
      <c r="U152" s="262"/>
      <c r="V152" s="262"/>
    </row>
    <row r="153" spans="2:22" s="261" customFormat="1" x14ac:dyDescent="0.25">
      <c r="S153" s="262"/>
      <c r="T153" s="262"/>
      <c r="U153" s="262"/>
      <c r="V153" s="262"/>
    </row>
    <row r="154" spans="2:22" s="261" customFormat="1" x14ac:dyDescent="0.25">
      <c r="S154" s="262"/>
      <c r="T154" s="262"/>
      <c r="U154" s="262"/>
      <c r="V154" s="262"/>
    </row>
    <row r="155" spans="2:22" s="261" customFormat="1" x14ac:dyDescent="0.25">
      <c r="B155" s="263"/>
      <c r="P155" s="264"/>
      <c r="S155" s="262"/>
      <c r="T155" s="262"/>
      <c r="U155" s="262"/>
      <c r="V155" s="262"/>
    </row>
    <row r="156" spans="2:22" s="261" customFormat="1" x14ac:dyDescent="0.25">
      <c r="S156" s="262"/>
      <c r="T156" s="262"/>
      <c r="U156" s="262"/>
      <c r="V156" s="262"/>
    </row>
    <row r="157" spans="2:22" s="261" customFormat="1" x14ac:dyDescent="0.25">
      <c r="S157" s="262"/>
      <c r="T157" s="262"/>
      <c r="U157" s="262"/>
      <c r="V157" s="262"/>
    </row>
    <row r="158" spans="2:22" s="261" customFormat="1" x14ac:dyDescent="0.25">
      <c r="B158" s="263"/>
      <c r="P158" s="264"/>
      <c r="S158" s="262"/>
      <c r="T158" s="262"/>
      <c r="U158" s="262"/>
      <c r="V158" s="262"/>
    </row>
    <row r="159" spans="2:22" s="261" customFormat="1" x14ac:dyDescent="0.25">
      <c r="S159" s="262"/>
      <c r="T159" s="262"/>
      <c r="U159" s="262"/>
      <c r="V159" s="262"/>
    </row>
    <row r="160" spans="2:22" s="261" customFormat="1" x14ac:dyDescent="0.25">
      <c r="S160" s="262"/>
      <c r="T160" s="262"/>
      <c r="U160" s="262"/>
      <c r="V160" s="262"/>
    </row>
    <row r="161" spans="2:22" s="261" customFormat="1" x14ac:dyDescent="0.25">
      <c r="B161" s="263"/>
      <c r="P161" s="264"/>
      <c r="S161" s="262"/>
      <c r="T161" s="262"/>
      <c r="U161" s="262"/>
      <c r="V161" s="262"/>
    </row>
    <row r="162" spans="2:22" s="261" customFormat="1" x14ac:dyDescent="0.25">
      <c r="S162" s="262"/>
      <c r="T162" s="262"/>
      <c r="U162" s="262"/>
      <c r="V162" s="262"/>
    </row>
    <row r="163" spans="2:22" s="261" customFormat="1" x14ac:dyDescent="0.25">
      <c r="S163" s="262"/>
      <c r="T163" s="262"/>
      <c r="U163" s="262"/>
      <c r="V163" s="262"/>
    </row>
    <row r="164" spans="2:22" s="261" customFormat="1" x14ac:dyDescent="0.25">
      <c r="B164" s="263"/>
      <c r="P164" s="264"/>
      <c r="S164" s="262"/>
      <c r="T164" s="262"/>
      <c r="U164" s="262"/>
      <c r="V164" s="262"/>
    </row>
    <row r="165" spans="2:22" s="261" customFormat="1" x14ac:dyDescent="0.25">
      <c r="S165" s="262"/>
      <c r="T165" s="262"/>
      <c r="U165" s="262"/>
      <c r="V165" s="262"/>
    </row>
    <row r="166" spans="2:22" s="261" customFormat="1" x14ac:dyDescent="0.25">
      <c r="S166" s="262"/>
      <c r="T166" s="262"/>
      <c r="U166" s="262"/>
      <c r="V166" s="262"/>
    </row>
    <row r="167" spans="2:22" s="261" customFormat="1" x14ac:dyDescent="0.25">
      <c r="B167" s="263"/>
      <c r="P167" s="264"/>
      <c r="S167" s="262"/>
      <c r="T167" s="262"/>
      <c r="U167" s="262"/>
      <c r="V167" s="262"/>
    </row>
    <row r="168" spans="2:22" s="261" customFormat="1" x14ac:dyDescent="0.25">
      <c r="S168" s="262"/>
      <c r="T168" s="262"/>
      <c r="U168" s="262"/>
      <c r="V168" s="262"/>
    </row>
    <row r="169" spans="2:22" s="261" customFormat="1" x14ac:dyDescent="0.25">
      <c r="S169" s="262"/>
      <c r="T169" s="262"/>
      <c r="U169" s="262"/>
      <c r="V169" s="262"/>
    </row>
    <row r="170" spans="2:22" s="261" customFormat="1" x14ac:dyDescent="0.25">
      <c r="B170" s="263"/>
      <c r="P170" s="264"/>
      <c r="S170" s="262"/>
      <c r="T170" s="262"/>
      <c r="U170" s="262"/>
      <c r="V170" s="262"/>
    </row>
    <row r="171" spans="2:22" s="261" customFormat="1" x14ac:dyDescent="0.25">
      <c r="S171" s="262"/>
      <c r="T171" s="262"/>
      <c r="U171" s="262"/>
      <c r="V171" s="262"/>
    </row>
    <row r="172" spans="2:22" s="261" customFormat="1" x14ac:dyDescent="0.25">
      <c r="S172" s="262"/>
      <c r="T172" s="262"/>
      <c r="U172" s="262"/>
      <c r="V172" s="262"/>
    </row>
    <row r="173" spans="2:22" s="261" customFormat="1" x14ac:dyDescent="0.25">
      <c r="B173" s="263"/>
      <c r="P173" s="264"/>
      <c r="S173" s="262"/>
      <c r="T173" s="262"/>
      <c r="U173" s="262"/>
      <c r="V173" s="262"/>
    </row>
    <row r="174" spans="2:22" s="261" customFormat="1" x14ac:dyDescent="0.25">
      <c r="S174" s="262"/>
      <c r="T174" s="262"/>
      <c r="U174" s="262"/>
      <c r="V174" s="262"/>
    </row>
    <row r="175" spans="2:22" s="261" customFormat="1" x14ac:dyDescent="0.25">
      <c r="S175" s="262"/>
      <c r="T175" s="262"/>
      <c r="U175" s="262"/>
      <c r="V175" s="262"/>
    </row>
    <row r="176" spans="2:22" s="261" customFormat="1" x14ac:dyDescent="0.25">
      <c r="B176" s="263"/>
      <c r="P176" s="264"/>
      <c r="S176" s="262"/>
      <c r="T176" s="262"/>
      <c r="U176" s="262"/>
      <c r="V176" s="262"/>
    </row>
    <row r="177" spans="2:22" s="261" customFormat="1" x14ac:dyDescent="0.25">
      <c r="S177" s="262"/>
      <c r="T177" s="262"/>
      <c r="U177" s="262"/>
      <c r="V177" s="262"/>
    </row>
    <row r="178" spans="2:22" s="261" customFormat="1" x14ac:dyDescent="0.25">
      <c r="S178" s="262"/>
      <c r="T178" s="262"/>
      <c r="U178" s="262"/>
      <c r="V178" s="262"/>
    </row>
    <row r="179" spans="2:22" s="261" customFormat="1" x14ac:dyDescent="0.25">
      <c r="B179" s="263"/>
      <c r="P179" s="264"/>
      <c r="S179" s="262"/>
      <c r="T179" s="262"/>
      <c r="U179" s="262"/>
      <c r="V179" s="262"/>
    </row>
    <row r="180" spans="2:22" s="261" customFormat="1" x14ac:dyDescent="0.25">
      <c r="S180" s="262"/>
      <c r="T180" s="262"/>
      <c r="U180" s="262"/>
      <c r="V180" s="262"/>
    </row>
    <row r="181" spans="2:22" s="261" customFormat="1" x14ac:dyDescent="0.25">
      <c r="S181" s="262"/>
      <c r="T181" s="262"/>
      <c r="U181" s="262"/>
      <c r="V181" s="262"/>
    </row>
    <row r="182" spans="2:22" s="261" customFormat="1" x14ac:dyDescent="0.25">
      <c r="B182" s="263"/>
      <c r="P182" s="264"/>
      <c r="S182" s="262"/>
      <c r="T182" s="262"/>
      <c r="U182" s="262"/>
      <c r="V182" s="262"/>
    </row>
    <row r="183" spans="2:22" s="261" customFormat="1" x14ac:dyDescent="0.25">
      <c r="S183" s="262"/>
      <c r="T183" s="262"/>
      <c r="U183" s="262"/>
      <c r="V183" s="262"/>
    </row>
    <row r="184" spans="2:22" s="261" customFormat="1" x14ac:dyDescent="0.25">
      <c r="S184" s="262"/>
      <c r="T184" s="262"/>
      <c r="U184" s="262"/>
      <c r="V184" s="262"/>
    </row>
    <row r="185" spans="2:22" s="261" customFormat="1" x14ac:dyDescent="0.25">
      <c r="B185" s="263"/>
      <c r="P185" s="264"/>
      <c r="S185" s="262"/>
      <c r="T185" s="262"/>
      <c r="U185" s="262"/>
      <c r="V185" s="262"/>
    </row>
    <row r="186" spans="2:22" s="261" customFormat="1" x14ac:dyDescent="0.25">
      <c r="S186" s="262"/>
      <c r="T186" s="262"/>
      <c r="U186" s="262"/>
      <c r="V186" s="262"/>
    </row>
    <row r="187" spans="2:22" s="261" customFormat="1" x14ac:dyDescent="0.25">
      <c r="S187" s="262"/>
      <c r="T187" s="262"/>
      <c r="U187" s="262"/>
      <c r="V187" s="262"/>
    </row>
    <row r="188" spans="2:22" s="261" customFormat="1" x14ac:dyDescent="0.25">
      <c r="B188" s="263"/>
      <c r="P188" s="264"/>
      <c r="S188" s="262"/>
      <c r="T188" s="262"/>
      <c r="U188" s="262"/>
      <c r="V188" s="262"/>
    </row>
    <row r="189" spans="2:22" s="261" customFormat="1" x14ac:dyDescent="0.25">
      <c r="S189" s="262"/>
      <c r="T189" s="262"/>
      <c r="U189" s="262"/>
      <c r="V189" s="262"/>
    </row>
    <row r="190" spans="2:22" s="261" customFormat="1" x14ac:dyDescent="0.25">
      <c r="S190" s="262"/>
      <c r="T190" s="262"/>
      <c r="U190" s="262"/>
      <c r="V190" s="262"/>
    </row>
    <row r="191" spans="2:22" s="261" customFormat="1" x14ac:dyDescent="0.25">
      <c r="B191" s="263"/>
      <c r="P191" s="264"/>
      <c r="S191" s="262"/>
      <c r="T191" s="262"/>
      <c r="U191" s="262"/>
      <c r="V191" s="262"/>
    </row>
    <row r="192" spans="2:22" s="261" customFormat="1" x14ac:dyDescent="0.25">
      <c r="S192" s="262"/>
      <c r="T192" s="262"/>
      <c r="U192" s="262"/>
      <c r="V192" s="262"/>
    </row>
    <row r="193" spans="2:22" s="261" customFormat="1" x14ac:dyDescent="0.25">
      <c r="S193" s="262"/>
      <c r="T193" s="262"/>
      <c r="U193" s="262"/>
      <c r="V193" s="262"/>
    </row>
    <row r="194" spans="2:22" s="261" customFormat="1" x14ac:dyDescent="0.25">
      <c r="B194" s="263"/>
      <c r="P194" s="264"/>
      <c r="S194" s="262"/>
      <c r="T194" s="262"/>
      <c r="U194" s="262"/>
      <c r="V194" s="262"/>
    </row>
    <row r="195" spans="2:22" s="261" customFormat="1" x14ac:dyDescent="0.25">
      <c r="S195" s="262"/>
      <c r="T195" s="262"/>
      <c r="U195" s="262"/>
      <c r="V195" s="262"/>
    </row>
    <row r="196" spans="2:22" s="261" customFormat="1" x14ac:dyDescent="0.25">
      <c r="S196" s="262"/>
      <c r="T196" s="262"/>
      <c r="U196" s="262"/>
      <c r="V196" s="262"/>
    </row>
    <row r="197" spans="2:22" s="261" customFormat="1" x14ac:dyDescent="0.25">
      <c r="B197" s="263"/>
      <c r="P197" s="264"/>
      <c r="S197" s="262"/>
      <c r="T197" s="262"/>
      <c r="U197" s="262"/>
      <c r="V197" s="262"/>
    </row>
    <row r="198" spans="2:22" s="261" customFormat="1" x14ac:dyDescent="0.25">
      <c r="S198" s="262"/>
      <c r="T198" s="262"/>
      <c r="U198" s="262"/>
      <c r="V198" s="262"/>
    </row>
    <row r="199" spans="2:22" s="261" customFormat="1" x14ac:dyDescent="0.25">
      <c r="S199" s="262"/>
      <c r="T199" s="262"/>
      <c r="U199" s="262"/>
      <c r="V199" s="262"/>
    </row>
    <row r="200" spans="2:22" s="261" customFormat="1" x14ac:dyDescent="0.25">
      <c r="B200" s="263"/>
      <c r="P200" s="264"/>
      <c r="S200" s="262"/>
      <c r="T200" s="262"/>
      <c r="U200" s="262"/>
      <c r="V200" s="262"/>
    </row>
    <row r="201" spans="2:22" s="261" customFormat="1" x14ac:dyDescent="0.25">
      <c r="S201" s="262"/>
      <c r="T201" s="262"/>
      <c r="U201" s="262"/>
      <c r="V201" s="262"/>
    </row>
    <row r="202" spans="2:22" s="261" customFormat="1" x14ac:dyDescent="0.25">
      <c r="S202" s="262"/>
      <c r="T202" s="262"/>
      <c r="U202" s="262"/>
      <c r="V202" s="262"/>
    </row>
    <row r="203" spans="2:22" s="261" customFormat="1" x14ac:dyDescent="0.25">
      <c r="B203" s="263"/>
      <c r="P203" s="264"/>
      <c r="S203" s="262"/>
      <c r="T203" s="262"/>
      <c r="U203" s="262"/>
      <c r="V203" s="262"/>
    </row>
    <row r="204" spans="2:22" s="261" customFormat="1" x14ac:dyDescent="0.25">
      <c r="S204" s="262"/>
      <c r="T204" s="262"/>
      <c r="U204" s="262"/>
      <c r="V204" s="262"/>
    </row>
    <row r="205" spans="2:22" s="261" customFormat="1" x14ac:dyDescent="0.25">
      <c r="S205" s="262"/>
      <c r="T205" s="262"/>
      <c r="U205" s="262"/>
      <c r="V205" s="262"/>
    </row>
    <row r="206" spans="2:22" s="261" customFormat="1" x14ac:dyDescent="0.25">
      <c r="B206" s="263"/>
      <c r="P206" s="264"/>
      <c r="S206" s="262"/>
      <c r="T206" s="262"/>
      <c r="U206" s="262"/>
      <c r="V206" s="262"/>
    </row>
    <row r="207" spans="2:22" s="261" customFormat="1" x14ac:dyDescent="0.25">
      <c r="S207" s="262"/>
      <c r="T207" s="262"/>
      <c r="U207" s="262"/>
      <c r="V207" s="262"/>
    </row>
    <row r="208" spans="2:22" s="261" customFormat="1" x14ac:dyDescent="0.25">
      <c r="S208" s="262"/>
      <c r="T208" s="262"/>
      <c r="U208" s="262"/>
      <c r="V208" s="262"/>
    </row>
    <row r="209" spans="2:22" s="261" customFormat="1" x14ac:dyDescent="0.25">
      <c r="B209" s="263"/>
      <c r="P209" s="264"/>
      <c r="S209" s="262"/>
      <c r="T209" s="262"/>
      <c r="U209" s="262"/>
      <c r="V209" s="262"/>
    </row>
    <row r="210" spans="2:22" s="261" customFormat="1" x14ac:dyDescent="0.25">
      <c r="S210" s="262"/>
      <c r="T210" s="262"/>
      <c r="U210" s="262"/>
      <c r="V210" s="262"/>
    </row>
    <row r="211" spans="2:22" s="261" customFormat="1" x14ac:dyDescent="0.25">
      <c r="S211" s="262"/>
      <c r="T211" s="262"/>
      <c r="U211" s="262"/>
      <c r="V211" s="262"/>
    </row>
    <row r="212" spans="2:22" s="261" customFormat="1" x14ac:dyDescent="0.25">
      <c r="B212" s="263"/>
      <c r="P212" s="264"/>
      <c r="S212" s="262"/>
      <c r="T212" s="262"/>
      <c r="U212" s="262"/>
      <c r="V212" s="262"/>
    </row>
    <row r="213" spans="2:22" s="261" customFormat="1" x14ac:dyDescent="0.25">
      <c r="S213" s="262"/>
      <c r="T213" s="262"/>
      <c r="U213" s="262"/>
      <c r="V213" s="262"/>
    </row>
    <row r="214" spans="2:22" s="261" customFormat="1" x14ac:dyDescent="0.25">
      <c r="S214" s="262"/>
      <c r="T214" s="262"/>
      <c r="U214" s="262"/>
      <c r="V214" s="262"/>
    </row>
    <row r="215" spans="2:22" s="261" customFormat="1" x14ac:dyDescent="0.25">
      <c r="B215" s="263"/>
      <c r="P215" s="264"/>
      <c r="S215" s="262"/>
      <c r="T215" s="262"/>
      <c r="U215" s="262"/>
      <c r="V215" s="262"/>
    </row>
    <row r="216" spans="2:22" s="261" customFormat="1" x14ac:dyDescent="0.25">
      <c r="S216" s="262"/>
      <c r="T216" s="262"/>
      <c r="U216" s="262"/>
      <c r="V216" s="262"/>
    </row>
    <row r="217" spans="2:22" s="261" customFormat="1" x14ac:dyDescent="0.25">
      <c r="S217" s="262"/>
      <c r="T217" s="262"/>
      <c r="U217" s="262"/>
      <c r="V217" s="262"/>
    </row>
    <row r="218" spans="2:22" s="261" customFormat="1" x14ac:dyDescent="0.25">
      <c r="B218" s="263"/>
      <c r="P218" s="264"/>
      <c r="S218" s="262"/>
      <c r="T218" s="262"/>
      <c r="U218" s="262"/>
      <c r="V218" s="262"/>
    </row>
    <row r="219" spans="2:22" s="261" customFormat="1" x14ac:dyDescent="0.25">
      <c r="S219" s="262"/>
      <c r="T219" s="262"/>
      <c r="U219" s="262"/>
      <c r="V219" s="262"/>
    </row>
    <row r="220" spans="2:22" s="261" customFormat="1" x14ac:dyDescent="0.25">
      <c r="S220" s="262"/>
      <c r="T220" s="262"/>
      <c r="U220" s="262"/>
      <c r="V220" s="262"/>
    </row>
    <row r="221" spans="2:22" s="261" customFormat="1" x14ac:dyDescent="0.25">
      <c r="B221" s="263"/>
      <c r="P221" s="264"/>
      <c r="S221" s="262"/>
      <c r="T221" s="262"/>
      <c r="U221" s="262"/>
      <c r="V221" s="262"/>
    </row>
    <row r="222" spans="2:22" s="261" customFormat="1" x14ac:dyDescent="0.25">
      <c r="S222" s="262"/>
      <c r="T222" s="262"/>
      <c r="U222" s="262"/>
      <c r="V222" s="262"/>
    </row>
    <row r="223" spans="2:22" s="261" customFormat="1" x14ac:dyDescent="0.25">
      <c r="S223" s="262"/>
      <c r="T223" s="262"/>
      <c r="U223" s="262"/>
      <c r="V223" s="262"/>
    </row>
    <row r="224" spans="2:22" s="261" customFormat="1" x14ac:dyDescent="0.25">
      <c r="B224" s="263"/>
      <c r="P224" s="264"/>
      <c r="S224" s="262"/>
      <c r="T224" s="262"/>
      <c r="U224" s="262"/>
      <c r="V224" s="262"/>
    </row>
    <row r="225" spans="2:22" s="261" customFormat="1" x14ac:dyDescent="0.25">
      <c r="S225" s="262"/>
      <c r="T225" s="262"/>
      <c r="U225" s="262"/>
      <c r="V225" s="262"/>
    </row>
    <row r="226" spans="2:22" s="261" customFormat="1" x14ac:dyDescent="0.25">
      <c r="S226" s="262"/>
      <c r="T226" s="262"/>
      <c r="U226" s="262"/>
      <c r="V226" s="262"/>
    </row>
    <row r="227" spans="2:22" s="261" customFormat="1" x14ac:dyDescent="0.25">
      <c r="B227" s="263"/>
      <c r="P227" s="264"/>
      <c r="S227" s="262"/>
      <c r="T227" s="262"/>
      <c r="U227" s="262"/>
      <c r="V227" s="262"/>
    </row>
    <row r="228" spans="2:22" s="261" customFormat="1" x14ac:dyDescent="0.25">
      <c r="S228" s="262"/>
      <c r="T228" s="262"/>
      <c r="U228" s="262"/>
      <c r="V228" s="262"/>
    </row>
    <row r="229" spans="2:22" s="261" customFormat="1" x14ac:dyDescent="0.25">
      <c r="S229" s="262"/>
      <c r="T229" s="262"/>
      <c r="U229" s="262"/>
      <c r="V229" s="262"/>
    </row>
    <row r="230" spans="2:22" s="261" customFormat="1" x14ac:dyDescent="0.25">
      <c r="B230" s="263"/>
      <c r="P230" s="264"/>
      <c r="S230" s="262"/>
      <c r="T230" s="262"/>
      <c r="U230" s="262"/>
      <c r="V230" s="262"/>
    </row>
    <row r="231" spans="2:22" s="261" customFormat="1" x14ac:dyDescent="0.25">
      <c r="S231" s="262"/>
      <c r="T231" s="262"/>
      <c r="U231" s="262"/>
      <c r="V231" s="262"/>
    </row>
    <row r="232" spans="2:22" s="261" customFormat="1" x14ac:dyDescent="0.25">
      <c r="S232" s="262"/>
      <c r="T232" s="262"/>
      <c r="U232" s="262"/>
      <c r="V232" s="262"/>
    </row>
    <row r="233" spans="2:22" s="261" customFormat="1" x14ac:dyDescent="0.25">
      <c r="B233" s="263"/>
      <c r="P233" s="264"/>
      <c r="S233" s="262"/>
      <c r="T233" s="262"/>
      <c r="U233" s="262"/>
      <c r="V233" s="262"/>
    </row>
    <row r="234" spans="2:22" s="261" customFormat="1" x14ac:dyDescent="0.25">
      <c r="S234" s="262"/>
      <c r="T234" s="262"/>
      <c r="U234" s="262"/>
      <c r="V234" s="262"/>
    </row>
    <row r="235" spans="2:22" s="261" customFormat="1" x14ac:dyDescent="0.25">
      <c r="S235" s="262"/>
      <c r="T235" s="262"/>
      <c r="U235" s="262"/>
      <c r="V235" s="262"/>
    </row>
    <row r="236" spans="2:22" s="261" customFormat="1" x14ac:dyDescent="0.25">
      <c r="B236" s="263"/>
      <c r="P236" s="264"/>
      <c r="S236" s="262"/>
      <c r="T236" s="262"/>
      <c r="U236" s="262"/>
      <c r="V236" s="262"/>
    </row>
    <row r="237" spans="2:22" s="261" customFormat="1" x14ac:dyDescent="0.25">
      <c r="S237" s="262"/>
      <c r="T237" s="262"/>
      <c r="U237" s="262"/>
      <c r="V237" s="262"/>
    </row>
    <row r="238" spans="2:22" s="261" customFormat="1" x14ac:dyDescent="0.25">
      <c r="S238" s="262"/>
      <c r="T238" s="262"/>
      <c r="U238" s="262"/>
      <c r="V238" s="262"/>
    </row>
    <row r="239" spans="2:22" s="261" customFormat="1" x14ac:dyDescent="0.25">
      <c r="B239" s="263"/>
      <c r="P239" s="264"/>
      <c r="S239" s="262"/>
      <c r="T239" s="262"/>
      <c r="U239" s="262"/>
      <c r="V239" s="262"/>
    </row>
    <row r="240" spans="2:22" s="261" customFormat="1" x14ac:dyDescent="0.25">
      <c r="S240" s="262"/>
      <c r="T240" s="262"/>
      <c r="U240" s="262"/>
      <c r="V240" s="262"/>
    </row>
    <row r="241" spans="2:22" s="261" customFormat="1" x14ac:dyDescent="0.25">
      <c r="S241" s="262"/>
      <c r="T241" s="262"/>
      <c r="U241" s="262"/>
      <c r="V241" s="262"/>
    </row>
    <row r="242" spans="2:22" s="261" customFormat="1" x14ac:dyDescent="0.25">
      <c r="B242" s="263"/>
      <c r="P242" s="264"/>
      <c r="S242" s="262"/>
      <c r="T242" s="262"/>
      <c r="U242" s="262"/>
      <c r="V242" s="262"/>
    </row>
    <row r="243" spans="2:22" s="261" customFormat="1" x14ac:dyDescent="0.25">
      <c r="S243" s="262"/>
      <c r="T243" s="262"/>
      <c r="U243" s="262"/>
      <c r="V243" s="262"/>
    </row>
    <row r="244" spans="2:22" s="261" customFormat="1" x14ac:dyDescent="0.25">
      <c r="S244" s="262"/>
      <c r="T244" s="262"/>
      <c r="U244" s="262"/>
      <c r="V244" s="262"/>
    </row>
    <row r="245" spans="2:22" s="261" customFormat="1" x14ac:dyDescent="0.25">
      <c r="B245" s="263"/>
      <c r="P245" s="264"/>
      <c r="S245" s="262"/>
      <c r="T245" s="262"/>
      <c r="U245" s="262"/>
      <c r="V245" s="262"/>
    </row>
    <row r="246" spans="2:22" s="261" customFormat="1" x14ac:dyDescent="0.25">
      <c r="S246" s="262"/>
      <c r="T246" s="262"/>
      <c r="U246" s="262"/>
      <c r="V246" s="262"/>
    </row>
    <row r="247" spans="2:22" s="261" customFormat="1" x14ac:dyDescent="0.25">
      <c r="S247" s="262"/>
      <c r="T247" s="262"/>
      <c r="U247" s="262"/>
      <c r="V247" s="262"/>
    </row>
    <row r="248" spans="2:22" s="261" customFormat="1" x14ac:dyDescent="0.25">
      <c r="B248" s="263"/>
      <c r="P248" s="264"/>
      <c r="S248" s="262"/>
      <c r="T248" s="262"/>
      <c r="U248" s="262"/>
      <c r="V248" s="262"/>
    </row>
    <row r="249" spans="2:22" s="261" customFormat="1" x14ac:dyDescent="0.25">
      <c r="S249" s="262"/>
      <c r="T249" s="262"/>
      <c r="U249" s="262"/>
      <c r="V249" s="262"/>
    </row>
    <row r="250" spans="2:22" s="261" customFormat="1" x14ac:dyDescent="0.25">
      <c r="S250" s="262"/>
      <c r="T250" s="262"/>
      <c r="U250" s="262"/>
      <c r="V250" s="262"/>
    </row>
    <row r="251" spans="2:22" s="261" customFormat="1" x14ac:dyDescent="0.25">
      <c r="B251" s="263"/>
      <c r="P251" s="264"/>
      <c r="S251" s="262"/>
      <c r="T251" s="262"/>
      <c r="U251" s="262"/>
      <c r="V251" s="262"/>
    </row>
    <row r="252" spans="2:22" s="261" customFormat="1" x14ac:dyDescent="0.25">
      <c r="S252" s="262"/>
      <c r="T252" s="262"/>
      <c r="U252" s="262"/>
      <c r="V252" s="262"/>
    </row>
    <row r="253" spans="2:22" s="261" customFormat="1" x14ac:dyDescent="0.25">
      <c r="S253" s="262"/>
      <c r="T253" s="262"/>
      <c r="U253" s="262"/>
      <c r="V253" s="262"/>
    </row>
    <row r="254" spans="2:22" s="261" customFormat="1" x14ac:dyDescent="0.25">
      <c r="B254" s="263"/>
      <c r="P254" s="264"/>
      <c r="S254" s="262"/>
      <c r="T254" s="262"/>
      <c r="U254" s="262"/>
      <c r="V254" s="262"/>
    </row>
    <row r="255" spans="2:22" s="261" customFormat="1" x14ac:dyDescent="0.25">
      <c r="S255" s="262"/>
      <c r="T255" s="262"/>
      <c r="U255" s="262"/>
      <c r="V255" s="262"/>
    </row>
    <row r="256" spans="2:22" s="261" customFormat="1" x14ac:dyDescent="0.25">
      <c r="S256" s="262"/>
      <c r="T256" s="262"/>
      <c r="U256" s="262"/>
      <c r="V256" s="262"/>
    </row>
    <row r="257" spans="2:22" s="261" customFormat="1" x14ac:dyDescent="0.25">
      <c r="B257" s="263"/>
      <c r="P257" s="264"/>
      <c r="S257" s="262"/>
      <c r="T257" s="262"/>
      <c r="U257" s="262"/>
      <c r="V257" s="262"/>
    </row>
    <row r="258" spans="2:22" s="261" customFormat="1" x14ac:dyDescent="0.25">
      <c r="S258" s="262"/>
      <c r="T258" s="262"/>
      <c r="U258" s="262"/>
      <c r="V258" s="262"/>
    </row>
    <row r="259" spans="2:22" s="261" customFormat="1" x14ac:dyDescent="0.25">
      <c r="S259" s="262"/>
      <c r="T259" s="262"/>
      <c r="U259" s="262"/>
      <c r="V259" s="262"/>
    </row>
    <row r="260" spans="2:22" s="261" customFormat="1" x14ac:dyDescent="0.25">
      <c r="B260" s="263"/>
      <c r="P260" s="264"/>
      <c r="S260" s="262"/>
      <c r="T260" s="262"/>
      <c r="U260" s="262"/>
      <c r="V260" s="262"/>
    </row>
    <row r="261" spans="2:22" s="261" customFormat="1" x14ac:dyDescent="0.25">
      <c r="S261" s="262"/>
      <c r="T261" s="262"/>
      <c r="U261" s="262"/>
      <c r="V261" s="262"/>
    </row>
    <row r="262" spans="2:22" s="261" customFormat="1" x14ac:dyDescent="0.25">
      <c r="S262" s="262"/>
      <c r="T262" s="262"/>
      <c r="U262" s="262"/>
      <c r="V262" s="262"/>
    </row>
    <row r="263" spans="2:22" s="261" customFormat="1" x14ac:dyDescent="0.25">
      <c r="B263" s="263"/>
      <c r="P263" s="264"/>
      <c r="S263" s="262"/>
      <c r="T263" s="262"/>
      <c r="U263" s="262"/>
      <c r="V263" s="262"/>
    </row>
    <row r="264" spans="2:22" s="261" customFormat="1" x14ac:dyDescent="0.25">
      <c r="S264" s="262"/>
      <c r="T264" s="262"/>
      <c r="U264" s="262"/>
      <c r="V264" s="262"/>
    </row>
    <row r="265" spans="2:22" s="261" customFormat="1" x14ac:dyDescent="0.25">
      <c r="S265" s="262"/>
      <c r="T265" s="262"/>
      <c r="U265" s="262"/>
      <c r="V265" s="262"/>
    </row>
    <row r="266" spans="2:22" s="261" customFormat="1" x14ac:dyDescent="0.25">
      <c r="B266" s="263"/>
      <c r="P266" s="264"/>
      <c r="S266" s="262"/>
      <c r="T266" s="262"/>
      <c r="U266" s="262"/>
      <c r="V266" s="262"/>
    </row>
    <row r="267" spans="2:22" s="261" customFormat="1" x14ac:dyDescent="0.25">
      <c r="S267" s="262"/>
      <c r="T267" s="262"/>
      <c r="U267" s="262"/>
      <c r="V267" s="262"/>
    </row>
    <row r="268" spans="2:22" s="261" customFormat="1" x14ac:dyDescent="0.25">
      <c r="S268" s="262"/>
      <c r="T268" s="262"/>
      <c r="U268" s="262"/>
      <c r="V268" s="262"/>
    </row>
    <row r="269" spans="2:22" s="261" customFormat="1" x14ac:dyDescent="0.25">
      <c r="B269" s="263"/>
      <c r="P269" s="264"/>
      <c r="S269" s="262"/>
      <c r="T269" s="262"/>
      <c r="U269" s="262"/>
      <c r="V269" s="262"/>
    </row>
    <row r="270" spans="2:22" s="261" customFormat="1" x14ac:dyDescent="0.25">
      <c r="S270" s="262"/>
      <c r="T270" s="262"/>
      <c r="U270" s="262"/>
      <c r="V270" s="262"/>
    </row>
    <row r="271" spans="2:22" s="261" customFormat="1" x14ac:dyDescent="0.25">
      <c r="S271" s="262"/>
      <c r="T271" s="262"/>
      <c r="U271" s="262"/>
      <c r="V271" s="262"/>
    </row>
    <row r="272" spans="2:22" s="261" customFormat="1" x14ac:dyDescent="0.25">
      <c r="B272" s="263"/>
      <c r="P272" s="264"/>
      <c r="S272" s="262"/>
      <c r="T272" s="262"/>
      <c r="U272" s="262"/>
      <c r="V272" s="262"/>
    </row>
    <row r="273" spans="2:22" s="261" customFormat="1" x14ac:dyDescent="0.25">
      <c r="S273" s="262"/>
      <c r="T273" s="262"/>
      <c r="U273" s="262"/>
      <c r="V273" s="262"/>
    </row>
    <row r="274" spans="2:22" s="261" customFormat="1" x14ac:dyDescent="0.25">
      <c r="S274" s="262"/>
      <c r="T274" s="262"/>
      <c r="U274" s="262"/>
      <c r="V274" s="262"/>
    </row>
    <row r="275" spans="2:22" s="261" customFormat="1" x14ac:dyDescent="0.25">
      <c r="B275" s="263"/>
      <c r="P275" s="264"/>
      <c r="S275" s="262"/>
      <c r="T275" s="262"/>
      <c r="U275" s="262"/>
      <c r="V275" s="262"/>
    </row>
    <row r="276" spans="2:22" s="261" customFormat="1" x14ac:dyDescent="0.25">
      <c r="S276" s="262"/>
      <c r="T276" s="262"/>
      <c r="U276" s="262"/>
      <c r="V276" s="262"/>
    </row>
    <row r="277" spans="2:22" s="261" customFormat="1" x14ac:dyDescent="0.25">
      <c r="S277" s="262"/>
      <c r="T277" s="262"/>
      <c r="U277" s="262"/>
      <c r="V277" s="262"/>
    </row>
    <row r="278" spans="2:22" s="261" customFormat="1" x14ac:dyDescent="0.25">
      <c r="B278" s="263"/>
      <c r="P278" s="264"/>
      <c r="S278" s="265"/>
      <c r="T278" s="262"/>
      <c r="U278" s="262"/>
      <c r="V278" s="262"/>
    </row>
    <row r="279" spans="2:22" s="261" customFormat="1" x14ac:dyDescent="0.25">
      <c r="S279" s="262"/>
      <c r="T279" s="262"/>
      <c r="U279" s="262"/>
      <c r="V279" s="262"/>
    </row>
    <row r="280" spans="2:22" s="261" customFormat="1" x14ac:dyDescent="0.25">
      <c r="S280" s="262"/>
      <c r="T280" s="262"/>
      <c r="U280" s="262"/>
      <c r="V280" s="262"/>
    </row>
    <row r="281" spans="2:22" s="261" customFormat="1" x14ac:dyDescent="0.25">
      <c r="B281" s="263"/>
      <c r="P281" s="264"/>
      <c r="S281" s="262"/>
      <c r="T281" s="262"/>
      <c r="U281" s="262"/>
      <c r="V281" s="262"/>
    </row>
    <row r="282" spans="2:22" s="261" customFormat="1" x14ac:dyDescent="0.25">
      <c r="S282" s="262"/>
      <c r="T282" s="262"/>
      <c r="U282" s="262"/>
      <c r="V282" s="262"/>
    </row>
    <row r="283" spans="2:22" s="261" customFormat="1" x14ac:dyDescent="0.25">
      <c r="S283" s="262"/>
      <c r="T283" s="262"/>
      <c r="U283" s="262"/>
      <c r="V283" s="262"/>
    </row>
    <row r="284" spans="2:22" s="261" customFormat="1" x14ac:dyDescent="0.25">
      <c r="B284" s="263"/>
      <c r="P284" s="264"/>
      <c r="S284" s="262"/>
      <c r="T284" s="262"/>
      <c r="U284" s="262"/>
      <c r="V284" s="262"/>
    </row>
    <row r="285" spans="2:22" s="261" customFormat="1" x14ac:dyDescent="0.25">
      <c r="S285" s="262"/>
      <c r="T285" s="262"/>
      <c r="U285" s="262"/>
      <c r="V285" s="262"/>
    </row>
    <row r="286" spans="2:22" s="261" customFormat="1" x14ac:dyDescent="0.25">
      <c r="S286" s="262"/>
      <c r="T286" s="262"/>
      <c r="U286" s="262"/>
      <c r="V286" s="262"/>
    </row>
    <row r="287" spans="2:22" s="261" customFormat="1" x14ac:dyDescent="0.25">
      <c r="B287" s="263"/>
      <c r="P287" s="264"/>
      <c r="S287" s="262"/>
      <c r="T287" s="262"/>
      <c r="U287" s="262"/>
      <c r="V287" s="262"/>
    </row>
    <row r="288" spans="2:22" s="261" customFormat="1" x14ac:dyDescent="0.25">
      <c r="S288" s="262"/>
      <c r="T288" s="262"/>
      <c r="U288" s="262"/>
      <c r="V288" s="262"/>
    </row>
    <row r="289" spans="2:22" s="261" customFormat="1" x14ac:dyDescent="0.25">
      <c r="S289" s="262"/>
      <c r="T289" s="262"/>
      <c r="U289" s="262"/>
      <c r="V289" s="262"/>
    </row>
    <row r="290" spans="2:22" s="261" customFormat="1" x14ac:dyDescent="0.25">
      <c r="B290" s="263"/>
      <c r="P290" s="264"/>
      <c r="S290" s="262"/>
      <c r="T290" s="262"/>
      <c r="U290" s="262"/>
      <c r="V290" s="262"/>
    </row>
    <row r="291" spans="2:22" s="261" customFormat="1" x14ac:dyDescent="0.25">
      <c r="S291" s="262"/>
      <c r="T291" s="262"/>
      <c r="U291" s="262"/>
      <c r="V291" s="262"/>
    </row>
    <row r="292" spans="2:22" s="261" customFormat="1" x14ac:dyDescent="0.25">
      <c r="S292" s="262"/>
      <c r="T292" s="262"/>
      <c r="U292" s="262"/>
      <c r="V292" s="262"/>
    </row>
    <row r="293" spans="2:22" s="261" customFormat="1" x14ac:dyDescent="0.25">
      <c r="B293" s="263"/>
      <c r="P293" s="264"/>
      <c r="S293" s="262"/>
      <c r="T293" s="262"/>
      <c r="U293" s="262"/>
      <c r="V293" s="262"/>
    </row>
    <row r="294" spans="2:22" s="261" customFormat="1" x14ac:dyDescent="0.25">
      <c r="S294" s="262"/>
      <c r="T294" s="262"/>
      <c r="U294" s="262"/>
      <c r="V294" s="262"/>
    </row>
    <row r="295" spans="2:22" s="261" customFormat="1" x14ac:dyDescent="0.25">
      <c r="S295" s="262"/>
      <c r="T295" s="262"/>
      <c r="U295" s="262"/>
      <c r="V295" s="262"/>
    </row>
    <row r="296" spans="2:22" s="261" customFormat="1" x14ac:dyDescent="0.25">
      <c r="B296" s="263"/>
      <c r="P296" s="264"/>
      <c r="S296" s="265"/>
      <c r="T296" s="262"/>
      <c r="U296" s="262"/>
      <c r="V296" s="262"/>
    </row>
    <row r="297" spans="2:22" s="261" customFormat="1" x14ac:dyDescent="0.25">
      <c r="S297" s="262"/>
      <c r="T297" s="262"/>
      <c r="U297" s="262"/>
      <c r="V297" s="262"/>
    </row>
    <row r="298" spans="2:22" s="261" customFormat="1" x14ac:dyDescent="0.25">
      <c r="S298" s="262"/>
      <c r="T298" s="262"/>
      <c r="U298" s="262"/>
      <c r="V298" s="262"/>
    </row>
    <row r="299" spans="2:22" s="261" customFormat="1" x14ac:dyDescent="0.25">
      <c r="B299" s="263"/>
      <c r="P299" s="264"/>
      <c r="S299" s="262"/>
      <c r="T299" s="262"/>
      <c r="U299" s="262"/>
      <c r="V299" s="262"/>
    </row>
    <row r="300" spans="2:22" s="261" customFormat="1" x14ac:dyDescent="0.25">
      <c r="S300" s="262"/>
      <c r="T300" s="262"/>
      <c r="U300" s="262"/>
      <c r="V300" s="262"/>
    </row>
    <row r="301" spans="2:22" s="261" customFormat="1" x14ac:dyDescent="0.25">
      <c r="S301" s="262"/>
      <c r="T301" s="262"/>
      <c r="U301" s="262"/>
      <c r="V301" s="262"/>
    </row>
    <row r="302" spans="2:22" s="261" customFormat="1" x14ac:dyDescent="0.25">
      <c r="B302" s="263"/>
      <c r="P302" s="264"/>
      <c r="S302" s="262"/>
      <c r="T302" s="262"/>
      <c r="U302" s="262"/>
      <c r="V302" s="262"/>
    </row>
    <row r="303" spans="2:22" s="261" customFormat="1" x14ac:dyDescent="0.25">
      <c r="S303" s="262"/>
      <c r="T303" s="262"/>
      <c r="U303" s="262"/>
      <c r="V303" s="262"/>
    </row>
    <row r="304" spans="2:22" s="261" customFormat="1" x14ac:dyDescent="0.25">
      <c r="S304" s="262"/>
      <c r="T304" s="262"/>
      <c r="U304" s="262"/>
      <c r="V304" s="262"/>
    </row>
    <row r="305" spans="2:22" s="261" customFormat="1" x14ac:dyDescent="0.25">
      <c r="B305" s="263"/>
      <c r="P305" s="264"/>
      <c r="S305" s="262"/>
      <c r="T305" s="262"/>
      <c r="U305" s="262"/>
      <c r="V305" s="262"/>
    </row>
    <row r="306" spans="2:22" s="261" customFormat="1" x14ac:dyDescent="0.25">
      <c r="S306" s="262"/>
      <c r="T306" s="262"/>
      <c r="U306" s="262"/>
      <c r="V306" s="262"/>
    </row>
    <row r="307" spans="2:22" s="261" customFormat="1" x14ac:dyDescent="0.25">
      <c r="S307" s="262"/>
      <c r="T307" s="262"/>
      <c r="U307" s="262"/>
      <c r="V307" s="262"/>
    </row>
    <row r="308" spans="2:22" s="261" customFormat="1" x14ac:dyDescent="0.25">
      <c r="B308" s="263"/>
      <c r="P308" s="264"/>
      <c r="S308" s="262"/>
      <c r="T308" s="262"/>
      <c r="U308" s="262"/>
      <c r="V308" s="262"/>
    </row>
    <row r="309" spans="2:22" s="261" customFormat="1" x14ac:dyDescent="0.25">
      <c r="S309" s="262"/>
      <c r="T309" s="262"/>
      <c r="U309" s="262"/>
      <c r="V309" s="262"/>
    </row>
    <row r="310" spans="2:22" s="261" customFormat="1" x14ac:dyDescent="0.25">
      <c r="S310" s="262"/>
      <c r="T310" s="262"/>
      <c r="U310" s="262"/>
      <c r="V310" s="262"/>
    </row>
    <row r="311" spans="2:22" s="261" customFormat="1" x14ac:dyDescent="0.25">
      <c r="B311" s="263"/>
      <c r="P311" s="264"/>
      <c r="S311" s="262"/>
      <c r="T311" s="262"/>
      <c r="U311" s="262"/>
      <c r="V311" s="262"/>
    </row>
    <row r="312" spans="2:22" s="261" customFormat="1" x14ac:dyDescent="0.25">
      <c r="S312" s="262"/>
      <c r="T312" s="262"/>
      <c r="U312" s="262"/>
      <c r="V312" s="262"/>
    </row>
    <row r="313" spans="2:22" s="261" customFormat="1" x14ac:dyDescent="0.25">
      <c r="S313" s="262"/>
      <c r="T313" s="262"/>
      <c r="U313" s="262"/>
      <c r="V313" s="262"/>
    </row>
    <row r="314" spans="2:22" s="261" customFormat="1" x14ac:dyDescent="0.25">
      <c r="B314" s="263"/>
      <c r="P314" s="264"/>
      <c r="S314" s="262"/>
      <c r="T314" s="262"/>
      <c r="U314" s="262"/>
      <c r="V314" s="262"/>
    </row>
    <row r="315" spans="2:22" s="261" customFormat="1" x14ac:dyDescent="0.25">
      <c r="S315" s="262"/>
      <c r="T315" s="262"/>
      <c r="U315" s="262"/>
      <c r="V315" s="262"/>
    </row>
    <row r="316" spans="2:22" s="261" customFormat="1" x14ac:dyDescent="0.25">
      <c r="S316" s="262"/>
      <c r="T316" s="262"/>
      <c r="U316" s="262"/>
      <c r="V316" s="262"/>
    </row>
    <row r="317" spans="2:22" s="261" customFormat="1" x14ac:dyDescent="0.25">
      <c r="B317" s="263"/>
      <c r="P317" s="264"/>
      <c r="S317" s="262"/>
      <c r="T317" s="262"/>
      <c r="U317" s="262"/>
      <c r="V317" s="262"/>
    </row>
    <row r="318" spans="2:22" s="261" customFormat="1" x14ac:dyDescent="0.25">
      <c r="S318" s="262"/>
      <c r="T318" s="262"/>
      <c r="U318" s="262"/>
      <c r="V318" s="262"/>
    </row>
    <row r="319" spans="2:22" s="261" customFormat="1" x14ac:dyDescent="0.25">
      <c r="S319" s="262"/>
      <c r="T319" s="262"/>
      <c r="U319" s="262"/>
      <c r="V319" s="262"/>
    </row>
    <row r="320" spans="2:22" s="261" customFormat="1" x14ac:dyDescent="0.25">
      <c r="B320" s="263"/>
      <c r="P320" s="264"/>
      <c r="S320" s="262"/>
      <c r="T320" s="262"/>
      <c r="U320" s="262"/>
      <c r="V320" s="262"/>
    </row>
    <row r="321" spans="2:22" s="261" customFormat="1" x14ac:dyDescent="0.25">
      <c r="S321" s="262"/>
      <c r="T321" s="262"/>
      <c r="U321" s="262"/>
      <c r="V321" s="262"/>
    </row>
    <row r="322" spans="2:22" s="261" customFormat="1" x14ac:dyDescent="0.25">
      <c r="S322" s="262"/>
      <c r="T322" s="262"/>
      <c r="U322" s="262"/>
      <c r="V322" s="262"/>
    </row>
    <row r="323" spans="2:22" s="261" customFormat="1" x14ac:dyDescent="0.25">
      <c r="B323" s="263"/>
      <c r="P323" s="264"/>
      <c r="S323" s="262"/>
      <c r="T323" s="262"/>
      <c r="U323" s="262"/>
      <c r="V323" s="262"/>
    </row>
    <row r="324" spans="2:22" s="261" customFormat="1" x14ac:dyDescent="0.25">
      <c r="S324" s="262"/>
      <c r="T324" s="262"/>
      <c r="U324" s="262"/>
      <c r="V324" s="262"/>
    </row>
    <row r="325" spans="2:22" s="261" customFormat="1" x14ac:dyDescent="0.25">
      <c r="S325" s="262"/>
      <c r="T325" s="262"/>
      <c r="U325" s="262"/>
      <c r="V325" s="262"/>
    </row>
    <row r="326" spans="2:22" s="261" customFormat="1" x14ac:dyDescent="0.25">
      <c r="B326" s="263"/>
      <c r="P326" s="264"/>
      <c r="S326" s="262"/>
      <c r="T326" s="262"/>
      <c r="U326" s="262"/>
      <c r="V326" s="262"/>
    </row>
    <row r="327" spans="2:22" s="261" customFormat="1" x14ac:dyDescent="0.25">
      <c r="S327" s="262"/>
      <c r="T327" s="262"/>
      <c r="U327" s="262"/>
      <c r="V327" s="262"/>
    </row>
    <row r="328" spans="2:22" s="261" customFormat="1" x14ac:dyDescent="0.25">
      <c r="S328" s="262"/>
      <c r="T328" s="262"/>
      <c r="U328" s="262"/>
      <c r="V328" s="262"/>
    </row>
    <row r="329" spans="2:22" s="261" customFormat="1" x14ac:dyDescent="0.25">
      <c r="B329" s="263"/>
      <c r="P329" s="264"/>
      <c r="S329" s="262"/>
      <c r="T329" s="262"/>
      <c r="U329" s="262"/>
      <c r="V329" s="262"/>
    </row>
    <row r="330" spans="2:22" s="261" customFormat="1" x14ac:dyDescent="0.25">
      <c r="S330" s="262"/>
      <c r="T330" s="262"/>
      <c r="U330" s="262"/>
      <c r="V330" s="262"/>
    </row>
    <row r="331" spans="2:22" s="261" customFormat="1" x14ac:dyDescent="0.25">
      <c r="S331" s="262"/>
      <c r="T331" s="262"/>
      <c r="U331" s="262"/>
      <c r="V331" s="262"/>
    </row>
    <row r="332" spans="2:22" s="261" customFormat="1" x14ac:dyDescent="0.25">
      <c r="B332" s="263"/>
      <c r="P332" s="264"/>
      <c r="S332" s="262"/>
      <c r="T332" s="262"/>
      <c r="U332" s="262"/>
      <c r="V332" s="262"/>
    </row>
    <row r="333" spans="2:22" s="261" customFormat="1" x14ac:dyDescent="0.25">
      <c r="S333" s="262"/>
      <c r="T333" s="262"/>
      <c r="U333" s="262"/>
      <c r="V333" s="262"/>
    </row>
    <row r="334" spans="2:22" s="261" customFormat="1" x14ac:dyDescent="0.25">
      <c r="S334" s="262"/>
      <c r="T334" s="262"/>
      <c r="U334" s="262"/>
      <c r="V334" s="262"/>
    </row>
    <row r="335" spans="2:22" s="261" customFormat="1" x14ac:dyDescent="0.25">
      <c r="B335" s="263"/>
      <c r="P335" s="264"/>
      <c r="S335" s="262"/>
      <c r="T335" s="262"/>
      <c r="U335" s="262"/>
      <c r="V335" s="262"/>
    </row>
    <row r="336" spans="2:22" s="261" customFormat="1" x14ac:dyDescent="0.25">
      <c r="S336" s="262"/>
      <c r="T336" s="262"/>
      <c r="U336" s="262"/>
      <c r="V336" s="262"/>
    </row>
    <row r="337" spans="2:22" s="261" customFormat="1" x14ac:dyDescent="0.25">
      <c r="S337" s="262"/>
      <c r="T337" s="262"/>
      <c r="U337" s="262"/>
      <c r="V337" s="262"/>
    </row>
    <row r="338" spans="2:22" s="261" customFormat="1" x14ac:dyDescent="0.25">
      <c r="B338" s="263"/>
      <c r="P338" s="264"/>
      <c r="S338" s="262"/>
      <c r="T338" s="262"/>
      <c r="U338" s="262"/>
      <c r="V338" s="262"/>
    </row>
    <row r="339" spans="2:22" s="261" customFormat="1" x14ac:dyDescent="0.25">
      <c r="S339" s="262"/>
      <c r="T339" s="262"/>
      <c r="U339" s="262"/>
      <c r="V339" s="262"/>
    </row>
    <row r="340" spans="2:22" s="261" customFormat="1" x14ac:dyDescent="0.25">
      <c r="S340" s="262"/>
      <c r="T340" s="262"/>
      <c r="U340" s="262"/>
      <c r="V340" s="262"/>
    </row>
    <row r="341" spans="2:22" s="261" customFormat="1" x14ac:dyDescent="0.25">
      <c r="B341" s="263"/>
      <c r="P341" s="264"/>
      <c r="S341" s="262"/>
      <c r="T341" s="262"/>
      <c r="U341" s="262"/>
      <c r="V341" s="262"/>
    </row>
    <row r="342" spans="2:22" s="261" customFormat="1" x14ac:dyDescent="0.25">
      <c r="S342" s="262"/>
      <c r="T342" s="262"/>
      <c r="U342" s="262"/>
      <c r="V342" s="262"/>
    </row>
    <row r="343" spans="2:22" s="261" customFormat="1" x14ac:dyDescent="0.25">
      <c r="S343" s="262"/>
      <c r="T343" s="262"/>
      <c r="U343" s="262"/>
      <c r="V343" s="262"/>
    </row>
    <row r="344" spans="2:22" s="261" customFormat="1" x14ac:dyDescent="0.25">
      <c r="B344" s="263"/>
      <c r="P344" s="264"/>
      <c r="S344" s="262"/>
      <c r="T344" s="262"/>
      <c r="U344" s="262"/>
      <c r="V344" s="262"/>
    </row>
    <row r="345" spans="2:22" s="261" customFormat="1" x14ac:dyDescent="0.25">
      <c r="S345" s="262"/>
      <c r="T345" s="262"/>
      <c r="U345" s="262"/>
      <c r="V345" s="262"/>
    </row>
    <row r="346" spans="2:22" s="261" customFormat="1" x14ac:dyDescent="0.25">
      <c r="S346" s="262"/>
      <c r="T346" s="262"/>
      <c r="U346" s="262"/>
      <c r="V346" s="262"/>
    </row>
    <row r="347" spans="2:22" s="261" customFormat="1" x14ac:dyDescent="0.25">
      <c r="B347" s="263"/>
      <c r="P347" s="264"/>
      <c r="S347" s="262"/>
      <c r="T347" s="262"/>
      <c r="U347" s="262"/>
      <c r="V347" s="262"/>
    </row>
    <row r="348" spans="2:22" s="261" customFormat="1" x14ac:dyDescent="0.25">
      <c r="S348" s="262"/>
      <c r="T348" s="262"/>
      <c r="U348" s="262"/>
      <c r="V348" s="262"/>
    </row>
    <row r="349" spans="2:22" s="261" customFormat="1" x14ac:dyDescent="0.25">
      <c r="S349" s="262"/>
      <c r="T349" s="262"/>
      <c r="U349" s="262"/>
      <c r="V349" s="262"/>
    </row>
    <row r="350" spans="2:22" s="261" customFormat="1" x14ac:dyDescent="0.25">
      <c r="B350" s="263"/>
      <c r="P350" s="264"/>
      <c r="S350" s="262"/>
      <c r="T350" s="262"/>
      <c r="U350" s="262"/>
      <c r="V350" s="262"/>
    </row>
    <row r="351" spans="2:22" s="261" customFormat="1" x14ac:dyDescent="0.25">
      <c r="S351" s="262"/>
      <c r="T351" s="262"/>
      <c r="U351" s="262"/>
      <c r="V351" s="262"/>
    </row>
    <row r="352" spans="2:22" s="261" customFormat="1" x14ac:dyDescent="0.25">
      <c r="S352" s="262"/>
      <c r="T352" s="262"/>
      <c r="U352" s="262"/>
      <c r="V352" s="262"/>
    </row>
    <row r="353" spans="2:22" s="261" customFormat="1" x14ac:dyDescent="0.25">
      <c r="B353" s="263"/>
      <c r="P353" s="264"/>
      <c r="S353" s="262"/>
      <c r="T353" s="262"/>
      <c r="U353" s="262"/>
      <c r="V353" s="262"/>
    </row>
    <row r="354" spans="2:22" s="261" customFormat="1" x14ac:dyDescent="0.25">
      <c r="S354" s="262"/>
      <c r="T354" s="262"/>
      <c r="U354" s="262"/>
      <c r="V354" s="262"/>
    </row>
    <row r="355" spans="2:22" s="261" customFormat="1" x14ac:dyDescent="0.25">
      <c r="S355" s="262"/>
      <c r="T355" s="262"/>
      <c r="U355" s="262"/>
      <c r="V355" s="262"/>
    </row>
    <row r="356" spans="2:22" s="261" customFormat="1" x14ac:dyDescent="0.25">
      <c r="B356" s="263"/>
      <c r="P356" s="264"/>
      <c r="S356" s="262"/>
      <c r="T356" s="262"/>
      <c r="U356" s="262"/>
      <c r="V356" s="262"/>
    </row>
    <row r="357" spans="2:22" s="261" customFormat="1" x14ac:dyDescent="0.25">
      <c r="S357" s="262"/>
      <c r="T357" s="262"/>
      <c r="U357" s="262"/>
      <c r="V357" s="262"/>
    </row>
    <row r="358" spans="2:22" s="261" customFormat="1" x14ac:dyDescent="0.25">
      <c r="S358" s="262"/>
      <c r="T358" s="262"/>
      <c r="U358" s="262"/>
      <c r="V358" s="262"/>
    </row>
    <row r="359" spans="2:22" s="261" customFormat="1" x14ac:dyDescent="0.25">
      <c r="B359" s="263"/>
      <c r="P359" s="264"/>
      <c r="S359" s="262"/>
      <c r="T359" s="262"/>
      <c r="U359" s="262"/>
      <c r="V359" s="262"/>
    </row>
    <row r="360" spans="2:22" s="261" customFormat="1" x14ac:dyDescent="0.25">
      <c r="S360" s="262"/>
      <c r="T360" s="262"/>
      <c r="U360" s="262"/>
      <c r="V360" s="262"/>
    </row>
    <row r="361" spans="2:22" s="261" customFormat="1" x14ac:dyDescent="0.25">
      <c r="S361" s="262"/>
      <c r="T361" s="262"/>
      <c r="U361" s="262"/>
      <c r="V361" s="262"/>
    </row>
    <row r="362" spans="2:22" s="261" customFormat="1" x14ac:dyDescent="0.25">
      <c r="B362" s="263"/>
      <c r="P362" s="264"/>
      <c r="S362" s="262"/>
      <c r="T362" s="262"/>
      <c r="U362" s="262"/>
      <c r="V362" s="262"/>
    </row>
    <row r="363" spans="2:22" s="261" customFormat="1" x14ac:dyDescent="0.25">
      <c r="S363" s="262"/>
      <c r="T363" s="262"/>
      <c r="U363" s="262"/>
      <c r="V363" s="262"/>
    </row>
    <row r="364" spans="2:22" s="261" customFormat="1" x14ac:dyDescent="0.25">
      <c r="S364" s="262"/>
      <c r="T364" s="262"/>
      <c r="U364" s="262"/>
      <c r="V364" s="262"/>
    </row>
    <row r="365" spans="2:22" s="261" customFormat="1" x14ac:dyDescent="0.25">
      <c r="B365" s="263"/>
      <c r="P365" s="264"/>
      <c r="S365" s="262"/>
      <c r="T365" s="262"/>
      <c r="U365" s="262"/>
      <c r="V365" s="262"/>
    </row>
    <row r="366" spans="2:22" s="261" customFormat="1" x14ac:dyDescent="0.25">
      <c r="S366" s="262"/>
      <c r="T366" s="262"/>
      <c r="U366" s="262"/>
      <c r="V366" s="262"/>
    </row>
    <row r="367" spans="2:22" s="261" customFormat="1" x14ac:dyDescent="0.25">
      <c r="S367" s="262"/>
      <c r="T367" s="262"/>
      <c r="U367" s="262"/>
      <c r="V367" s="262"/>
    </row>
    <row r="368" spans="2:22" s="261" customFormat="1" x14ac:dyDescent="0.25">
      <c r="B368" s="263"/>
      <c r="P368" s="264"/>
      <c r="S368" s="262"/>
      <c r="T368" s="262"/>
      <c r="U368" s="262"/>
      <c r="V368" s="262"/>
    </row>
    <row r="369" spans="2:22" s="261" customFormat="1" x14ac:dyDescent="0.25">
      <c r="S369" s="262"/>
      <c r="T369" s="262"/>
      <c r="U369" s="262"/>
      <c r="V369" s="262"/>
    </row>
    <row r="370" spans="2:22" s="261" customFormat="1" x14ac:dyDescent="0.25">
      <c r="S370" s="262"/>
      <c r="T370" s="262"/>
      <c r="U370" s="262"/>
      <c r="V370" s="262"/>
    </row>
    <row r="371" spans="2:22" s="261" customFormat="1" x14ac:dyDescent="0.25">
      <c r="B371" s="263"/>
      <c r="P371" s="264"/>
      <c r="S371" s="262"/>
      <c r="T371" s="262"/>
      <c r="U371" s="262"/>
      <c r="V371" s="262"/>
    </row>
    <row r="372" spans="2:22" s="261" customFormat="1" x14ac:dyDescent="0.25">
      <c r="S372" s="262"/>
      <c r="T372" s="262"/>
      <c r="U372" s="262"/>
      <c r="V372" s="262"/>
    </row>
    <row r="373" spans="2:22" s="261" customFormat="1" x14ac:dyDescent="0.25">
      <c r="S373" s="262"/>
      <c r="T373" s="262"/>
      <c r="U373" s="262"/>
      <c r="V373" s="262"/>
    </row>
    <row r="374" spans="2:22" s="261" customFormat="1" x14ac:dyDescent="0.25">
      <c r="B374" s="263"/>
      <c r="P374" s="264"/>
      <c r="S374" s="262"/>
      <c r="T374" s="262"/>
      <c r="U374" s="262"/>
      <c r="V374" s="262"/>
    </row>
    <row r="375" spans="2:22" s="261" customFormat="1" x14ac:dyDescent="0.25">
      <c r="S375" s="262"/>
      <c r="T375" s="262"/>
      <c r="U375" s="262"/>
      <c r="V375" s="262"/>
    </row>
    <row r="376" spans="2:22" s="261" customFormat="1" x14ac:dyDescent="0.25">
      <c r="S376" s="262"/>
      <c r="T376" s="262"/>
      <c r="U376" s="262"/>
      <c r="V376" s="262"/>
    </row>
    <row r="377" spans="2:22" s="261" customFormat="1" x14ac:dyDescent="0.25">
      <c r="B377" s="263"/>
      <c r="P377" s="264"/>
      <c r="S377" s="262"/>
      <c r="T377" s="262"/>
      <c r="U377" s="262"/>
      <c r="V377" s="262"/>
    </row>
    <row r="378" spans="2:22" s="261" customFormat="1" x14ac:dyDescent="0.25">
      <c r="S378" s="262"/>
      <c r="T378" s="262"/>
      <c r="U378" s="262"/>
      <c r="V378" s="262"/>
    </row>
    <row r="379" spans="2:22" s="261" customFormat="1" x14ac:dyDescent="0.25">
      <c r="S379" s="262"/>
      <c r="T379" s="262"/>
      <c r="U379" s="262"/>
      <c r="V379" s="262"/>
    </row>
    <row r="380" spans="2:22" s="261" customFormat="1" x14ac:dyDescent="0.25">
      <c r="B380" s="263"/>
      <c r="P380" s="264"/>
      <c r="S380" s="262"/>
      <c r="T380" s="262"/>
      <c r="U380" s="262"/>
      <c r="V380" s="262"/>
    </row>
    <row r="381" spans="2:22" s="261" customFormat="1" x14ac:dyDescent="0.25">
      <c r="S381" s="262"/>
      <c r="T381" s="262"/>
      <c r="U381" s="262"/>
      <c r="V381" s="262"/>
    </row>
    <row r="382" spans="2:22" s="261" customFormat="1" x14ac:dyDescent="0.25">
      <c r="S382" s="262"/>
      <c r="T382" s="262"/>
      <c r="U382" s="262"/>
      <c r="V382" s="262"/>
    </row>
    <row r="383" spans="2:22" s="261" customFormat="1" x14ac:dyDescent="0.25">
      <c r="B383" s="263"/>
      <c r="P383" s="264"/>
      <c r="S383" s="262"/>
      <c r="T383" s="262"/>
      <c r="U383" s="262"/>
      <c r="V383" s="262"/>
    </row>
    <row r="384" spans="2:22" s="261" customFormat="1" x14ac:dyDescent="0.25">
      <c r="S384" s="262"/>
      <c r="T384" s="262"/>
      <c r="U384" s="262"/>
      <c r="V384" s="262"/>
    </row>
    <row r="385" spans="2:22" s="261" customFormat="1" x14ac:dyDescent="0.25">
      <c r="S385" s="262"/>
      <c r="T385" s="262"/>
      <c r="U385" s="262"/>
      <c r="V385" s="262"/>
    </row>
    <row r="386" spans="2:22" s="261" customFormat="1" x14ac:dyDescent="0.25">
      <c r="B386" s="263"/>
      <c r="P386" s="264"/>
      <c r="S386" s="262"/>
      <c r="T386" s="262"/>
      <c r="U386" s="262"/>
      <c r="V386" s="262"/>
    </row>
    <row r="387" spans="2:22" s="261" customFormat="1" x14ac:dyDescent="0.25">
      <c r="S387" s="262"/>
      <c r="T387" s="262"/>
      <c r="U387" s="262"/>
      <c r="V387" s="262"/>
    </row>
    <row r="388" spans="2:22" s="261" customFormat="1" x14ac:dyDescent="0.25">
      <c r="S388" s="262"/>
      <c r="T388" s="262"/>
      <c r="U388" s="262"/>
      <c r="V388" s="262"/>
    </row>
    <row r="389" spans="2:22" s="261" customFormat="1" x14ac:dyDescent="0.25">
      <c r="B389" s="263"/>
      <c r="P389" s="264"/>
      <c r="S389" s="262"/>
      <c r="T389" s="262"/>
      <c r="U389" s="262"/>
      <c r="V389" s="262"/>
    </row>
    <row r="390" spans="2:22" s="261" customFormat="1" x14ac:dyDescent="0.25">
      <c r="S390" s="262"/>
      <c r="T390" s="262"/>
      <c r="U390" s="262"/>
      <c r="V390" s="262"/>
    </row>
    <row r="391" spans="2:22" s="261" customFormat="1" x14ac:dyDescent="0.25">
      <c r="S391" s="262"/>
      <c r="T391" s="262"/>
      <c r="U391" s="262"/>
      <c r="V391" s="262"/>
    </row>
    <row r="392" spans="2:22" s="261" customFormat="1" x14ac:dyDescent="0.25">
      <c r="B392" s="263"/>
      <c r="P392" s="264"/>
      <c r="S392" s="262"/>
      <c r="T392" s="262"/>
      <c r="U392" s="262"/>
      <c r="V392" s="262"/>
    </row>
    <row r="393" spans="2:22" s="261" customFormat="1" x14ac:dyDescent="0.25">
      <c r="S393" s="262"/>
      <c r="T393" s="262"/>
      <c r="U393" s="262"/>
      <c r="V393" s="262"/>
    </row>
    <row r="394" spans="2:22" s="261" customFormat="1" x14ac:dyDescent="0.25">
      <c r="S394" s="262"/>
      <c r="T394" s="262"/>
      <c r="U394" s="262"/>
      <c r="V394" s="262"/>
    </row>
    <row r="395" spans="2:22" s="261" customFormat="1" x14ac:dyDescent="0.25">
      <c r="B395" s="263"/>
      <c r="P395" s="264"/>
      <c r="S395" s="262"/>
      <c r="T395" s="262"/>
      <c r="U395" s="262"/>
      <c r="V395" s="262"/>
    </row>
    <row r="396" spans="2:22" s="261" customFormat="1" x14ac:dyDescent="0.25">
      <c r="S396" s="262"/>
      <c r="T396" s="262"/>
      <c r="U396" s="262"/>
      <c r="V396" s="262"/>
    </row>
    <row r="397" spans="2:22" s="261" customFormat="1" x14ac:dyDescent="0.25">
      <c r="S397" s="262"/>
      <c r="T397" s="262"/>
      <c r="U397" s="262"/>
      <c r="V397" s="262"/>
    </row>
    <row r="398" spans="2:22" s="261" customFormat="1" x14ac:dyDescent="0.25">
      <c r="B398" s="263"/>
      <c r="P398" s="264"/>
      <c r="S398" s="262"/>
      <c r="T398" s="262"/>
      <c r="U398" s="262"/>
      <c r="V398" s="262"/>
    </row>
    <row r="399" spans="2:22" s="261" customFormat="1" x14ac:dyDescent="0.25">
      <c r="S399" s="262"/>
      <c r="T399" s="262"/>
      <c r="U399" s="262"/>
      <c r="V399" s="262"/>
    </row>
    <row r="400" spans="2:22" s="261" customFormat="1" x14ac:dyDescent="0.25">
      <c r="S400" s="262"/>
      <c r="T400" s="262"/>
      <c r="U400" s="262"/>
      <c r="V400" s="262"/>
    </row>
    <row r="401" spans="2:22" s="261" customFormat="1" x14ac:dyDescent="0.25">
      <c r="B401" s="263"/>
      <c r="P401" s="264"/>
      <c r="S401" s="262"/>
      <c r="T401" s="262"/>
      <c r="U401" s="262"/>
      <c r="V401" s="262"/>
    </row>
    <row r="402" spans="2:22" s="261" customFormat="1" x14ac:dyDescent="0.25">
      <c r="S402" s="262"/>
      <c r="T402" s="262"/>
      <c r="U402" s="262"/>
      <c r="V402" s="262"/>
    </row>
    <row r="403" spans="2:22" s="261" customFormat="1" x14ac:dyDescent="0.25">
      <c r="S403" s="262"/>
      <c r="T403" s="262"/>
      <c r="U403" s="262"/>
      <c r="V403" s="262"/>
    </row>
    <row r="404" spans="2:22" s="261" customFormat="1" x14ac:dyDescent="0.25">
      <c r="B404" s="263"/>
      <c r="P404" s="264"/>
      <c r="S404" s="262"/>
      <c r="T404" s="262"/>
      <c r="U404" s="262"/>
      <c r="V404" s="262"/>
    </row>
    <row r="405" spans="2:22" s="261" customFormat="1" x14ac:dyDescent="0.25">
      <c r="S405" s="262"/>
      <c r="T405" s="262"/>
      <c r="U405" s="262"/>
      <c r="V405" s="262"/>
    </row>
    <row r="406" spans="2:22" s="261" customFormat="1" x14ac:dyDescent="0.25">
      <c r="S406" s="262"/>
      <c r="T406" s="262"/>
      <c r="U406" s="262"/>
      <c r="V406" s="262"/>
    </row>
    <row r="407" spans="2:22" s="261" customFormat="1" x14ac:dyDescent="0.25">
      <c r="B407" s="263"/>
      <c r="P407" s="264"/>
      <c r="S407" s="262"/>
      <c r="T407" s="262"/>
      <c r="U407" s="262"/>
      <c r="V407" s="262"/>
    </row>
    <row r="408" spans="2:22" s="261" customFormat="1" x14ac:dyDescent="0.25">
      <c r="S408" s="262"/>
      <c r="T408" s="262"/>
      <c r="U408" s="262"/>
      <c r="V408" s="262"/>
    </row>
    <row r="409" spans="2:22" s="261" customFormat="1" x14ac:dyDescent="0.25">
      <c r="S409" s="262"/>
      <c r="T409" s="262"/>
      <c r="U409" s="262"/>
      <c r="V409" s="262"/>
    </row>
    <row r="410" spans="2:22" s="261" customFormat="1" x14ac:dyDescent="0.25">
      <c r="B410" s="263"/>
      <c r="P410" s="264"/>
      <c r="S410" s="262"/>
      <c r="T410" s="262"/>
      <c r="U410" s="262"/>
      <c r="V410" s="262"/>
    </row>
    <row r="411" spans="2:22" s="261" customFormat="1" x14ac:dyDescent="0.25">
      <c r="S411" s="262"/>
      <c r="T411" s="262"/>
      <c r="U411" s="262"/>
      <c r="V411" s="262"/>
    </row>
    <row r="412" spans="2:22" s="261" customFormat="1" x14ac:dyDescent="0.25">
      <c r="S412" s="262"/>
      <c r="T412" s="262"/>
      <c r="U412" s="262"/>
      <c r="V412" s="262"/>
    </row>
    <row r="413" spans="2:22" s="261" customFormat="1" x14ac:dyDescent="0.25">
      <c r="B413" s="263"/>
      <c r="P413" s="264"/>
      <c r="S413" s="262"/>
      <c r="T413" s="262"/>
      <c r="U413" s="262"/>
      <c r="V413" s="262"/>
    </row>
    <row r="414" spans="2:22" s="261" customFormat="1" x14ac:dyDescent="0.25">
      <c r="S414" s="262"/>
      <c r="T414" s="262"/>
      <c r="U414" s="262"/>
      <c r="V414" s="262"/>
    </row>
    <row r="415" spans="2:22" s="261" customFormat="1" x14ac:dyDescent="0.25">
      <c r="S415" s="262"/>
      <c r="T415" s="262"/>
      <c r="U415" s="262"/>
      <c r="V415" s="262"/>
    </row>
    <row r="416" spans="2:22" s="261" customFormat="1" x14ac:dyDescent="0.25">
      <c r="B416" s="263"/>
      <c r="P416" s="264"/>
      <c r="S416" s="262"/>
      <c r="T416" s="262"/>
      <c r="U416" s="262"/>
      <c r="V416" s="262"/>
    </row>
    <row r="417" spans="2:22" s="261" customFormat="1" x14ac:dyDescent="0.25">
      <c r="S417" s="262"/>
      <c r="T417" s="262"/>
      <c r="U417" s="262"/>
      <c r="V417" s="262"/>
    </row>
    <row r="418" spans="2:22" s="261" customFormat="1" x14ac:dyDescent="0.25">
      <c r="S418" s="262"/>
      <c r="T418" s="262"/>
      <c r="U418" s="262"/>
      <c r="V418" s="262"/>
    </row>
    <row r="419" spans="2:22" s="261" customFormat="1" x14ac:dyDescent="0.25">
      <c r="B419" s="263"/>
      <c r="P419" s="264"/>
      <c r="S419" s="262"/>
      <c r="T419" s="262"/>
      <c r="U419" s="262"/>
      <c r="V419" s="262"/>
    </row>
    <row r="420" spans="2:22" s="261" customFormat="1" x14ac:dyDescent="0.25">
      <c r="S420" s="262"/>
      <c r="T420" s="262"/>
      <c r="U420" s="262"/>
      <c r="V420" s="262"/>
    </row>
    <row r="421" spans="2:22" s="261" customFormat="1" x14ac:dyDescent="0.25">
      <c r="S421" s="262"/>
      <c r="T421" s="262"/>
      <c r="U421" s="262"/>
      <c r="V421" s="262"/>
    </row>
    <row r="422" spans="2:22" s="261" customFormat="1" x14ac:dyDescent="0.25">
      <c r="B422" s="263"/>
      <c r="P422" s="264"/>
      <c r="S422" s="262"/>
      <c r="T422" s="262"/>
      <c r="U422" s="262"/>
      <c r="V422" s="262"/>
    </row>
    <row r="423" spans="2:22" s="261" customFormat="1" x14ac:dyDescent="0.25">
      <c r="S423" s="262"/>
      <c r="T423" s="262"/>
      <c r="U423" s="262"/>
      <c r="V423" s="262"/>
    </row>
    <row r="424" spans="2:22" s="261" customFormat="1" x14ac:dyDescent="0.25">
      <c r="S424" s="262"/>
      <c r="T424" s="262"/>
      <c r="U424" s="262"/>
      <c r="V424" s="262"/>
    </row>
    <row r="425" spans="2:22" s="261" customFormat="1" x14ac:dyDescent="0.25">
      <c r="B425" s="263"/>
      <c r="P425" s="264"/>
      <c r="S425" s="262"/>
      <c r="T425" s="262"/>
      <c r="U425" s="262"/>
      <c r="V425" s="262"/>
    </row>
    <row r="426" spans="2:22" s="261" customFormat="1" x14ac:dyDescent="0.25">
      <c r="S426" s="262"/>
      <c r="T426" s="262"/>
      <c r="U426" s="262"/>
      <c r="V426" s="262"/>
    </row>
    <row r="427" spans="2:22" s="261" customFormat="1" x14ac:dyDescent="0.25">
      <c r="S427" s="262"/>
      <c r="T427" s="262"/>
      <c r="U427" s="262"/>
      <c r="V427" s="262"/>
    </row>
    <row r="428" spans="2:22" s="261" customFormat="1" x14ac:dyDescent="0.25">
      <c r="B428" s="263"/>
      <c r="P428" s="264"/>
      <c r="S428" s="262"/>
      <c r="T428" s="262"/>
      <c r="U428" s="262"/>
      <c r="V428" s="262"/>
    </row>
    <row r="429" spans="2:22" s="261" customFormat="1" x14ac:dyDescent="0.25">
      <c r="S429" s="262"/>
      <c r="T429" s="262"/>
      <c r="U429" s="262"/>
      <c r="V429" s="262"/>
    </row>
    <row r="430" spans="2:22" s="261" customFormat="1" x14ac:dyDescent="0.25">
      <c r="S430" s="262"/>
      <c r="T430" s="262"/>
      <c r="U430" s="262"/>
      <c r="V430" s="262"/>
    </row>
    <row r="431" spans="2:22" s="261" customFormat="1" x14ac:dyDescent="0.25">
      <c r="B431" s="263"/>
      <c r="P431" s="264"/>
      <c r="S431" s="262"/>
      <c r="T431" s="262"/>
      <c r="U431" s="262"/>
      <c r="V431" s="262"/>
    </row>
    <row r="432" spans="2:22" s="261" customFormat="1" x14ac:dyDescent="0.25">
      <c r="S432" s="262"/>
      <c r="T432" s="262"/>
      <c r="U432" s="262"/>
      <c r="V432" s="262"/>
    </row>
    <row r="433" spans="2:22" s="261" customFormat="1" x14ac:dyDescent="0.25">
      <c r="S433" s="262"/>
      <c r="T433" s="262"/>
      <c r="U433" s="262"/>
      <c r="V433" s="262"/>
    </row>
    <row r="434" spans="2:22" s="261" customFormat="1" x14ac:dyDescent="0.25">
      <c r="B434" s="263"/>
      <c r="P434" s="264"/>
      <c r="S434" s="262"/>
      <c r="T434" s="262"/>
      <c r="U434" s="262"/>
      <c r="V434" s="262"/>
    </row>
    <row r="435" spans="2:22" s="261" customFormat="1" x14ac:dyDescent="0.25">
      <c r="S435" s="262"/>
      <c r="T435" s="262"/>
      <c r="U435" s="262"/>
      <c r="V435" s="262"/>
    </row>
    <row r="436" spans="2:22" s="261" customFormat="1" x14ac:dyDescent="0.25">
      <c r="S436" s="262"/>
      <c r="T436" s="262"/>
      <c r="U436" s="262"/>
      <c r="V436" s="262"/>
    </row>
    <row r="437" spans="2:22" s="261" customFormat="1" x14ac:dyDescent="0.25">
      <c r="B437" s="263"/>
      <c r="P437" s="264"/>
      <c r="S437" s="262"/>
      <c r="T437" s="262"/>
      <c r="U437" s="262"/>
      <c r="V437" s="262"/>
    </row>
    <row r="438" spans="2:22" s="261" customFormat="1" x14ac:dyDescent="0.25">
      <c r="S438" s="262"/>
      <c r="T438" s="262"/>
      <c r="U438" s="262"/>
      <c r="V438" s="262"/>
    </row>
    <row r="439" spans="2:22" s="261" customFormat="1" x14ac:dyDescent="0.25">
      <c r="S439" s="262"/>
      <c r="T439" s="262"/>
      <c r="U439" s="262"/>
      <c r="V439" s="262"/>
    </row>
    <row r="440" spans="2:22" s="261" customFormat="1" x14ac:dyDescent="0.25">
      <c r="B440" s="263"/>
      <c r="P440" s="264"/>
      <c r="S440" s="262"/>
      <c r="T440" s="262"/>
      <c r="U440" s="262"/>
      <c r="V440" s="262"/>
    </row>
    <row r="441" spans="2:22" s="261" customFormat="1" x14ac:dyDescent="0.25">
      <c r="S441" s="262"/>
      <c r="T441" s="262"/>
      <c r="U441" s="262"/>
      <c r="V441" s="262"/>
    </row>
    <row r="442" spans="2:22" s="261" customFormat="1" x14ac:dyDescent="0.25">
      <c r="S442" s="262"/>
      <c r="T442" s="262"/>
      <c r="U442" s="262"/>
      <c r="V442" s="262"/>
    </row>
    <row r="443" spans="2:22" s="261" customFormat="1" x14ac:dyDescent="0.25">
      <c r="B443" s="263"/>
      <c r="P443" s="264"/>
      <c r="S443" s="262"/>
      <c r="T443" s="262"/>
      <c r="U443" s="262"/>
      <c r="V443" s="262"/>
    </row>
    <row r="444" spans="2:22" s="261" customFormat="1" x14ac:dyDescent="0.25">
      <c r="S444" s="262"/>
      <c r="T444" s="262"/>
      <c r="U444" s="262"/>
      <c r="V444" s="262"/>
    </row>
    <row r="445" spans="2:22" s="261" customFormat="1" x14ac:dyDescent="0.25">
      <c r="S445" s="262"/>
      <c r="T445" s="262"/>
      <c r="U445" s="262"/>
      <c r="V445" s="262"/>
    </row>
    <row r="446" spans="2:22" s="261" customFormat="1" x14ac:dyDescent="0.25">
      <c r="B446" s="263"/>
      <c r="P446" s="264"/>
      <c r="S446" s="262"/>
      <c r="T446" s="262"/>
      <c r="U446" s="262"/>
      <c r="V446" s="262"/>
    </row>
    <row r="447" spans="2:22" s="261" customFormat="1" x14ac:dyDescent="0.25">
      <c r="S447" s="262"/>
      <c r="T447" s="262"/>
      <c r="U447" s="262"/>
      <c r="V447" s="262"/>
    </row>
    <row r="448" spans="2:22" s="261" customFormat="1" x14ac:dyDescent="0.25">
      <c r="S448" s="262"/>
      <c r="T448" s="262"/>
      <c r="U448" s="262"/>
      <c r="V448" s="262"/>
    </row>
    <row r="449" spans="2:22" s="261" customFormat="1" x14ac:dyDescent="0.25">
      <c r="B449" s="263"/>
      <c r="P449" s="264"/>
      <c r="S449" s="262"/>
      <c r="T449" s="262"/>
      <c r="U449" s="262"/>
      <c r="V449" s="262"/>
    </row>
    <row r="450" spans="2:22" s="261" customFormat="1" x14ac:dyDescent="0.25">
      <c r="S450" s="262"/>
      <c r="T450" s="262"/>
      <c r="U450" s="262"/>
      <c r="V450" s="262"/>
    </row>
    <row r="451" spans="2:22" s="261" customFormat="1" x14ac:dyDescent="0.25">
      <c r="S451" s="262"/>
      <c r="T451" s="262"/>
      <c r="U451" s="262"/>
      <c r="V451" s="262"/>
    </row>
    <row r="452" spans="2:22" s="261" customFormat="1" x14ac:dyDescent="0.25">
      <c r="B452" s="263"/>
      <c r="P452" s="264"/>
      <c r="S452" s="262"/>
      <c r="T452" s="262"/>
      <c r="U452" s="262"/>
      <c r="V452" s="262"/>
    </row>
    <row r="453" spans="2:22" s="261" customFormat="1" x14ac:dyDescent="0.25">
      <c r="S453" s="262"/>
      <c r="T453" s="262"/>
      <c r="U453" s="262"/>
      <c r="V453" s="262"/>
    </row>
    <row r="454" spans="2:22" s="261" customFormat="1" x14ac:dyDescent="0.25">
      <c r="S454" s="262"/>
      <c r="T454" s="262"/>
      <c r="U454" s="262"/>
      <c r="V454" s="262"/>
    </row>
    <row r="455" spans="2:22" s="261" customFormat="1" x14ac:dyDescent="0.25">
      <c r="B455" s="263"/>
      <c r="P455" s="264"/>
      <c r="S455" s="262"/>
      <c r="T455" s="262"/>
      <c r="U455" s="262"/>
      <c r="V455" s="262"/>
    </row>
    <row r="456" spans="2:22" s="261" customFormat="1" x14ac:dyDescent="0.25">
      <c r="S456" s="262"/>
      <c r="T456" s="262"/>
      <c r="U456" s="262"/>
      <c r="V456" s="262"/>
    </row>
    <row r="457" spans="2:22" s="261" customFormat="1" x14ac:dyDescent="0.25">
      <c r="S457" s="262"/>
      <c r="T457" s="262"/>
      <c r="U457" s="262"/>
      <c r="V457" s="262"/>
    </row>
    <row r="458" spans="2:22" s="261" customFormat="1" x14ac:dyDescent="0.25">
      <c r="B458" s="263"/>
      <c r="P458" s="264"/>
      <c r="S458" s="262"/>
      <c r="T458" s="262"/>
      <c r="U458" s="262"/>
      <c r="V458" s="262"/>
    </row>
    <row r="459" spans="2:22" s="261" customFormat="1" x14ac:dyDescent="0.25">
      <c r="S459" s="262"/>
      <c r="T459" s="262"/>
      <c r="U459" s="262"/>
      <c r="V459" s="262"/>
    </row>
    <row r="460" spans="2:22" s="261" customFormat="1" x14ac:dyDescent="0.25">
      <c r="S460" s="262"/>
      <c r="T460" s="262"/>
      <c r="U460" s="262"/>
      <c r="V460" s="262"/>
    </row>
    <row r="461" spans="2:22" s="261" customFormat="1" x14ac:dyDescent="0.25">
      <c r="B461" s="263"/>
      <c r="P461" s="264"/>
      <c r="S461" s="262"/>
      <c r="T461" s="262"/>
      <c r="U461" s="262"/>
      <c r="V461" s="262"/>
    </row>
    <row r="462" spans="2:22" s="261" customFormat="1" x14ac:dyDescent="0.25">
      <c r="S462" s="262"/>
      <c r="T462" s="262"/>
      <c r="U462" s="262"/>
      <c r="V462" s="262"/>
    </row>
    <row r="463" spans="2:22" s="261" customFormat="1" x14ac:dyDescent="0.25">
      <c r="S463" s="262"/>
      <c r="T463" s="262"/>
      <c r="U463" s="262"/>
      <c r="V463" s="262"/>
    </row>
    <row r="464" spans="2:22" s="261" customFormat="1" x14ac:dyDescent="0.25">
      <c r="B464" s="263"/>
      <c r="P464" s="264"/>
      <c r="S464" s="262"/>
      <c r="T464" s="262"/>
      <c r="U464" s="262"/>
      <c r="V464" s="262"/>
    </row>
    <row r="465" spans="2:22" s="261" customFormat="1" x14ac:dyDescent="0.25">
      <c r="S465" s="262"/>
      <c r="T465" s="262"/>
      <c r="U465" s="262"/>
      <c r="V465" s="262"/>
    </row>
    <row r="466" spans="2:22" s="261" customFormat="1" x14ac:dyDescent="0.25">
      <c r="S466" s="262"/>
      <c r="T466" s="262"/>
      <c r="U466" s="262"/>
      <c r="V466" s="262"/>
    </row>
    <row r="467" spans="2:22" s="261" customFormat="1" x14ac:dyDescent="0.25">
      <c r="B467" s="263"/>
      <c r="P467" s="264"/>
      <c r="S467" s="262"/>
      <c r="T467" s="262"/>
      <c r="U467" s="262"/>
      <c r="V467" s="262"/>
    </row>
    <row r="468" spans="2:22" s="261" customFormat="1" x14ac:dyDescent="0.25">
      <c r="S468" s="262"/>
      <c r="T468" s="262"/>
      <c r="U468" s="262"/>
      <c r="V468" s="262"/>
    </row>
    <row r="469" spans="2:22" s="261" customFormat="1" x14ac:dyDescent="0.25">
      <c r="S469" s="262"/>
      <c r="T469" s="262"/>
      <c r="U469" s="262"/>
      <c r="V469" s="262"/>
    </row>
    <row r="470" spans="2:22" s="261" customFormat="1" x14ac:dyDescent="0.25">
      <c r="B470" s="263"/>
      <c r="P470" s="264"/>
      <c r="S470" s="262"/>
      <c r="T470" s="262"/>
      <c r="U470" s="262"/>
      <c r="V470" s="262"/>
    </row>
    <row r="471" spans="2:22" s="261" customFormat="1" x14ac:dyDescent="0.25">
      <c r="S471" s="262"/>
      <c r="T471" s="262"/>
      <c r="U471" s="262"/>
      <c r="V471" s="262"/>
    </row>
    <row r="472" spans="2:22" s="261" customFormat="1" x14ac:dyDescent="0.25">
      <c r="S472" s="262"/>
      <c r="T472" s="262"/>
      <c r="U472" s="262"/>
      <c r="V472" s="262"/>
    </row>
    <row r="473" spans="2:22" s="261" customFormat="1" x14ac:dyDescent="0.25">
      <c r="B473" s="263"/>
      <c r="P473" s="264"/>
      <c r="S473" s="262"/>
      <c r="T473" s="262"/>
      <c r="U473" s="262"/>
      <c r="V473" s="262"/>
    </row>
    <row r="474" spans="2:22" s="261" customFormat="1" x14ac:dyDescent="0.25">
      <c r="S474" s="262"/>
      <c r="T474" s="262"/>
      <c r="U474" s="262"/>
      <c r="V474" s="262"/>
    </row>
    <row r="475" spans="2:22" s="261" customFormat="1" x14ac:dyDescent="0.25">
      <c r="S475" s="262"/>
      <c r="T475" s="262"/>
      <c r="U475" s="262"/>
      <c r="V475" s="262"/>
    </row>
    <row r="476" spans="2:22" s="261" customFormat="1" x14ac:dyDescent="0.25">
      <c r="B476" s="263"/>
      <c r="P476" s="264"/>
      <c r="S476" s="262"/>
      <c r="T476" s="262"/>
      <c r="U476" s="262"/>
      <c r="V476" s="262"/>
    </row>
    <row r="477" spans="2:22" s="261" customFormat="1" x14ac:dyDescent="0.25">
      <c r="S477" s="262"/>
      <c r="T477" s="262"/>
      <c r="U477" s="262"/>
      <c r="V477" s="262"/>
    </row>
    <row r="478" spans="2:22" s="261" customFormat="1" x14ac:dyDescent="0.25">
      <c r="S478" s="262"/>
      <c r="T478" s="262"/>
      <c r="U478" s="262"/>
      <c r="V478" s="262"/>
    </row>
    <row r="479" spans="2:22" s="261" customFormat="1" x14ac:dyDescent="0.25">
      <c r="B479" s="263"/>
      <c r="P479" s="264"/>
      <c r="S479" s="262"/>
      <c r="T479" s="262"/>
      <c r="U479" s="262"/>
      <c r="V479" s="262"/>
    </row>
    <row r="480" spans="2:22" s="261" customFormat="1" x14ac:dyDescent="0.25">
      <c r="S480" s="262"/>
      <c r="T480" s="262"/>
      <c r="U480" s="262"/>
      <c r="V480" s="262"/>
    </row>
    <row r="481" spans="2:22" s="261" customFormat="1" x14ac:dyDescent="0.25">
      <c r="S481" s="262"/>
      <c r="T481" s="262"/>
      <c r="U481" s="262"/>
      <c r="V481" s="262"/>
    </row>
    <row r="482" spans="2:22" s="261" customFormat="1" x14ac:dyDescent="0.25">
      <c r="B482" s="263"/>
      <c r="P482" s="264"/>
      <c r="S482" s="262"/>
      <c r="T482" s="262"/>
      <c r="U482" s="262"/>
      <c r="V482" s="262"/>
    </row>
    <row r="483" spans="2:22" s="261" customFormat="1" x14ac:dyDescent="0.25">
      <c r="S483" s="262"/>
      <c r="T483" s="262"/>
      <c r="U483" s="262"/>
      <c r="V483" s="262"/>
    </row>
    <row r="484" spans="2:22" s="261" customFormat="1" x14ac:dyDescent="0.25">
      <c r="S484" s="262"/>
      <c r="T484" s="262"/>
      <c r="U484" s="262"/>
      <c r="V484" s="262"/>
    </row>
    <row r="485" spans="2:22" s="261" customFormat="1" x14ac:dyDescent="0.25">
      <c r="B485" s="263"/>
      <c r="P485" s="264"/>
      <c r="S485" s="262"/>
      <c r="T485" s="262"/>
      <c r="U485" s="262"/>
      <c r="V485" s="262"/>
    </row>
    <row r="486" spans="2:22" s="261" customFormat="1" x14ac:dyDescent="0.25">
      <c r="S486" s="262"/>
      <c r="T486" s="262"/>
      <c r="U486" s="262"/>
      <c r="V486" s="262"/>
    </row>
    <row r="487" spans="2:22" s="261" customFormat="1" x14ac:dyDescent="0.25">
      <c r="S487" s="262"/>
      <c r="T487" s="262"/>
      <c r="U487" s="262"/>
      <c r="V487" s="262"/>
    </row>
    <row r="488" spans="2:22" s="261" customFormat="1" x14ac:dyDescent="0.25">
      <c r="B488" s="263"/>
      <c r="P488" s="264"/>
      <c r="S488" s="262"/>
      <c r="T488" s="262"/>
      <c r="U488" s="262"/>
      <c r="V488" s="262"/>
    </row>
    <row r="489" spans="2:22" s="261" customFormat="1" x14ac:dyDescent="0.25">
      <c r="S489" s="262"/>
      <c r="T489" s="262"/>
      <c r="U489" s="262"/>
      <c r="V489" s="262"/>
    </row>
    <row r="490" spans="2:22" s="261" customFormat="1" x14ac:dyDescent="0.25">
      <c r="S490" s="262"/>
      <c r="T490" s="262"/>
      <c r="U490" s="262"/>
      <c r="V490" s="262"/>
    </row>
    <row r="491" spans="2:22" s="261" customFormat="1" x14ac:dyDescent="0.25">
      <c r="B491" s="263"/>
      <c r="P491" s="264"/>
      <c r="S491" s="262"/>
      <c r="T491" s="262"/>
      <c r="U491" s="262"/>
      <c r="V491" s="262"/>
    </row>
    <row r="492" spans="2:22" s="261" customFormat="1" x14ac:dyDescent="0.25">
      <c r="S492" s="262"/>
      <c r="T492" s="262"/>
      <c r="U492" s="262"/>
      <c r="V492" s="262"/>
    </row>
    <row r="493" spans="2:22" s="261" customFormat="1" x14ac:dyDescent="0.25">
      <c r="S493" s="262"/>
      <c r="T493" s="262"/>
      <c r="U493" s="262"/>
      <c r="V493" s="262"/>
    </row>
    <row r="494" spans="2:22" s="261" customFormat="1" x14ac:dyDescent="0.25">
      <c r="B494" s="263"/>
      <c r="P494" s="264"/>
      <c r="S494" s="262"/>
      <c r="T494" s="262"/>
      <c r="U494" s="262"/>
      <c r="V494" s="262"/>
    </row>
    <row r="495" spans="2:22" s="261" customFormat="1" x14ac:dyDescent="0.25">
      <c r="S495" s="262"/>
      <c r="T495" s="262"/>
      <c r="U495" s="262"/>
      <c r="V495" s="262"/>
    </row>
    <row r="496" spans="2:22" s="261" customFormat="1" x14ac:dyDescent="0.25">
      <c r="S496" s="262"/>
      <c r="T496" s="262"/>
      <c r="U496" s="262"/>
      <c r="V496" s="262"/>
    </row>
    <row r="497" spans="2:22" s="261" customFormat="1" x14ac:dyDescent="0.25">
      <c r="B497" s="263"/>
      <c r="P497" s="264"/>
      <c r="S497" s="262"/>
      <c r="T497" s="262"/>
      <c r="U497" s="262"/>
      <c r="V497" s="262"/>
    </row>
    <row r="498" spans="2:22" s="261" customFormat="1" x14ac:dyDescent="0.25">
      <c r="S498" s="262"/>
      <c r="T498" s="262"/>
      <c r="U498" s="262"/>
      <c r="V498" s="262"/>
    </row>
    <row r="499" spans="2:22" s="261" customFormat="1" x14ac:dyDescent="0.25">
      <c r="S499" s="262"/>
      <c r="T499" s="262"/>
      <c r="U499" s="262"/>
      <c r="V499" s="262"/>
    </row>
    <row r="500" spans="2:22" s="261" customFormat="1" x14ac:dyDescent="0.25">
      <c r="B500" s="263"/>
      <c r="P500" s="264"/>
      <c r="S500" s="262"/>
      <c r="T500" s="262"/>
      <c r="U500" s="262"/>
      <c r="V500" s="262"/>
    </row>
    <row r="501" spans="2:22" s="261" customFormat="1" x14ac:dyDescent="0.25">
      <c r="S501" s="262"/>
      <c r="T501" s="262"/>
      <c r="U501" s="262"/>
      <c r="V501" s="262"/>
    </row>
    <row r="502" spans="2:22" s="261" customFormat="1" x14ac:dyDescent="0.25">
      <c r="S502" s="262"/>
      <c r="T502" s="262"/>
      <c r="U502" s="262"/>
      <c r="V502" s="262"/>
    </row>
    <row r="503" spans="2:22" s="261" customFormat="1" x14ac:dyDescent="0.25">
      <c r="B503" s="263"/>
      <c r="P503" s="264"/>
      <c r="S503" s="262"/>
      <c r="T503" s="262"/>
      <c r="U503" s="262"/>
      <c r="V503" s="262"/>
    </row>
    <row r="504" spans="2:22" s="261" customFormat="1" x14ac:dyDescent="0.25">
      <c r="S504" s="262"/>
      <c r="T504" s="262"/>
      <c r="U504" s="262"/>
      <c r="V504" s="262"/>
    </row>
    <row r="505" spans="2:22" s="261" customFormat="1" x14ac:dyDescent="0.25">
      <c r="S505" s="262"/>
      <c r="T505" s="262"/>
      <c r="U505" s="262"/>
      <c r="V505" s="262"/>
    </row>
    <row r="506" spans="2:22" s="261" customFormat="1" x14ac:dyDescent="0.25">
      <c r="B506" s="263"/>
      <c r="P506" s="264"/>
      <c r="S506" s="262"/>
      <c r="T506" s="262"/>
      <c r="U506" s="262"/>
      <c r="V506" s="262"/>
    </row>
    <row r="507" spans="2:22" s="261" customFormat="1" x14ac:dyDescent="0.25">
      <c r="S507" s="262"/>
      <c r="T507" s="262"/>
      <c r="U507" s="262"/>
      <c r="V507" s="262"/>
    </row>
    <row r="508" spans="2:22" s="261" customFormat="1" x14ac:dyDescent="0.25">
      <c r="S508" s="262"/>
      <c r="T508" s="262"/>
      <c r="U508" s="262"/>
      <c r="V508" s="262"/>
    </row>
    <row r="509" spans="2:22" s="261" customFormat="1" x14ac:dyDescent="0.25">
      <c r="B509" s="263"/>
      <c r="P509" s="264"/>
      <c r="S509" s="262"/>
      <c r="T509" s="262"/>
      <c r="U509" s="262"/>
      <c r="V509" s="262"/>
    </row>
    <row r="510" spans="2:22" s="261" customFormat="1" x14ac:dyDescent="0.25">
      <c r="S510" s="262"/>
      <c r="T510" s="262"/>
      <c r="U510" s="262"/>
      <c r="V510" s="262"/>
    </row>
    <row r="511" spans="2:22" s="261" customFormat="1" x14ac:dyDescent="0.25">
      <c r="S511" s="262"/>
      <c r="T511" s="262"/>
      <c r="U511" s="262"/>
      <c r="V511" s="262"/>
    </row>
    <row r="512" spans="2:22" s="261" customFormat="1" x14ac:dyDescent="0.25">
      <c r="B512" s="263"/>
      <c r="P512" s="264"/>
      <c r="S512" s="262"/>
      <c r="T512" s="262"/>
      <c r="U512" s="262"/>
      <c r="V512" s="262"/>
    </row>
    <row r="513" spans="2:22" s="261" customFormat="1" x14ac:dyDescent="0.25">
      <c r="S513" s="262"/>
      <c r="T513" s="262"/>
      <c r="U513" s="262"/>
      <c r="V513" s="262"/>
    </row>
    <row r="514" spans="2:22" s="261" customFormat="1" x14ac:dyDescent="0.25">
      <c r="S514" s="262"/>
      <c r="T514" s="262"/>
      <c r="U514" s="262"/>
      <c r="V514" s="262"/>
    </row>
    <row r="515" spans="2:22" s="261" customFormat="1" x14ac:dyDescent="0.25">
      <c r="B515" s="263"/>
      <c r="P515" s="264"/>
      <c r="S515" s="262"/>
      <c r="T515" s="262"/>
      <c r="U515" s="262"/>
      <c r="V515" s="262"/>
    </row>
    <row r="516" spans="2:22" s="261" customFormat="1" x14ac:dyDescent="0.25">
      <c r="S516" s="262"/>
      <c r="T516" s="262"/>
      <c r="U516" s="262"/>
      <c r="V516" s="262"/>
    </row>
    <row r="517" spans="2:22" s="261" customFormat="1" x14ac:dyDescent="0.25">
      <c r="S517" s="262"/>
      <c r="T517" s="262"/>
      <c r="U517" s="262"/>
      <c r="V517" s="262"/>
    </row>
    <row r="518" spans="2:22" s="261" customFormat="1" x14ac:dyDescent="0.25">
      <c r="B518" s="263"/>
      <c r="P518" s="264"/>
      <c r="S518" s="262"/>
      <c r="T518" s="262"/>
      <c r="U518" s="262"/>
      <c r="V518" s="262"/>
    </row>
    <row r="519" spans="2:22" s="261" customFormat="1" x14ac:dyDescent="0.25">
      <c r="S519" s="262"/>
      <c r="T519" s="262"/>
      <c r="U519" s="262"/>
      <c r="V519" s="262"/>
    </row>
    <row r="520" spans="2:22" s="261" customFormat="1" x14ac:dyDescent="0.25">
      <c r="S520" s="262"/>
      <c r="T520" s="262"/>
      <c r="U520" s="262"/>
      <c r="V520" s="262"/>
    </row>
    <row r="521" spans="2:22" s="261" customFormat="1" x14ac:dyDescent="0.25">
      <c r="B521" s="263"/>
      <c r="P521" s="264"/>
      <c r="S521" s="262"/>
      <c r="T521" s="262"/>
      <c r="U521" s="262"/>
      <c r="V521" s="262"/>
    </row>
    <row r="522" spans="2:22" s="261" customFormat="1" x14ac:dyDescent="0.25">
      <c r="S522" s="262"/>
      <c r="T522" s="262"/>
      <c r="U522" s="262"/>
      <c r="V522" s="262"/>
    </row>
    <row r="523" spans="2:22" s="261" customFormat="1" x14ac:dyDescent="0.25">
      <c r="S523" s="262"/>
      <c r="T523" s="262"/>
      <c r="U523" s="262"/>
      <c r="V523" s="262"/>
    </row>
    <row r="524" spans="2:22" s="261" customFormat="1" x14ac:dyDescent="0.25">
      <c r="B524" s="263"/>
      <c r="P524" s="264"/>
      <c r="S524" s="262"/>
      <c r="T524" s="262"/>
      <c r="U524" s="262"/>
      <c r="V524" s="262"/>
    </row>
    <row r="525" spans="2:22" s="261" customFormat="1" x14ac:dyDescent="0.25">
      <c r="S525" s="262"/>
      <c r="T525" s="262"/>
      <c r="U525" s="262"/>
      <c r="V525" s="262"/>
    </row>
    <row r="526" spans="2:22" s="261" customFormat="1" x14ac:dyDescent="0.25">
      <c r="S526" s="262"/>
      <c r="T526" s="262"/>
      <c r="U526" s="262"/>
      <c r="V526" s="262"/>
    </row>
    <row r="527" spans="2:22" s="261" customFormat="1" x14ac:dyDescent="0.25">
      <c r="B527" s="263"/>
      <c r="P527" s="264"/>
      <c r="S527" s="262"/>
      <c r="T527" s="262"/>
      <c r="U527" s="262"/>
      <c r="V527" s="262"/>
    </row>
    <row r="528" spans="2:22" s="261" customFormat="1" x14ac:dyDescent="0.25">
      <c r="S528" s="262"/>
      <c r="T528" s="262"/>
      <c r="U528" s="262"/>
      <c r="V528" s="262"/>
    </row>
    <row r="529" spans="2:22" s="261" customFormat="1" x14ac:dyDescent="0.25">
      <c r="S529" s="262"/>
      <c r="T529" s="262"/>
      <c r="U529" s="262"/>
      <c r="V529" s="262"/>
    </row>
    <row r="530" spans="2:22" s="261" customFormat="1" x14ac:dyDescent="0.25">
      <c r="B530" s="263"/>
      <c r="P530" s="264"/>
      <c r="S530" s="262"/>
      <c r="T530" s="262"/>
      <c r="U530" s="262"/>
      <c r="V530" s="262"/>
    </row>
    <row r="531" spans="2:22" s="261" customFormat="1" x14ac:dyDescent="0.25">
      <c r="S531" s="262"/>
      <c r="T531" s="262"/>
      <c r="U531" s="262"/>
      <c r="V531" s="262"/>
    </row>
    <row r="532" spans="2:22" s="261" customFormat="1" x14ac:dyDescent="0.25">
      <c r="S532" s="262"/>
      <c r="T532" s="262"/>
      <c r="U532" s="262"/>
      <c r="V532" s="262"/>
    </row>
    <row r="533" spans="2:22" s="261" customFormat="1" x14ac:dyDescent="0.25">
      <c r="B533" s="263"/>
      <c r="P533" s="264"/>
      <c r="S533" s="262"/>
      <c r="T533" s="262"/>
      <c r="U533" s="262"/>
      <c r="V533" s="262"/>
    </row>
    <row r="534" spans="2:22" s="261" customFormat="1" x14ac:dyDescent="0.25">
      <c r="S534" s="262"/>
      <c r="T534" s="262"/>
      <c r="U534" s="262"/>
      <c r="V534" s="262"/>
    </row>
    <row r="535" spans="2:22" s="261" customFormat="1" x14ac:dyDescent="0.25">
      <c r="S535" s="262"/>
      <c r="T535" s="262"/>
      <c r="U535" s="262"/>
      <c r="V535" s="262"/>
    </row>
    <row r="536" spans="2:22" s="261" customFormat="1" x14ac:dyDescent="0.25">
      <c r="B536" s="263"/>
      <c r="P536" s="264"/>
      <c r="S536" s="262"/>
      <c r="T536" s="262"/>
      <c r="U536" s="262"/>
      <c r="V536" s="262"/>
    </row>
    <row r="537" spans="2:22" s="261" customFormat="1" x14ac:dyDescent="0.25">
      <c r="S537" s="262"/>
      <c r="T537" s="262"/>
      <c r="U537" s="262"/>
      <c r="V537" s="262"/>
    </row>
    <row r="538" spans="2:22" s="261" customFormat="1" x14ac:dyDescent="0.25">
      <c r="S538" s="262"/>
      <c r="T538" s="262"/>
      <c r="U538" s="262"/>
      <c r="V538" s="262"/>
    </row>
    <row r="539" spans="2:22" s="261" customFormat="1" x14ac:dyDescent="0.25">
      <c r="B539" s="263"/>
      <c r="P539" s="264"/>
      <c r="S539" s="262"/>
      <c r="T539" s="262"/>
      <c r="U539" s="262"/>
      <c r="V539" s="262"/>
    </row>
    <row r="540" spans="2:22" s="261" customFormat="1" x14ac:dyDescent="0.25">
      <c r="S540" s="262"/>
      <c r="T540" s="262"/>
      <c r="U540" s="262"/>
      <c r="V540" s="262"/>
    </row>
    <row r="541" spans="2:22" s="261" customFormat="1" x14ac:dyDescent="0.25">
      <c r="S541" s="262"/>
      <c r="T541" s="262"/>
      <c r="U541" s="262"/>
      <c r="V541" s="262"/>
    </row>
    <row r="542" spans="2:22" s="261" customFormat="1" x14ac:dyDescent="0.25">
      <c r="B542" s="263"/>
      <c r="P542" s="264"/>
      <c r="S542" s="262"/>
      <c r="T542" s="262"/>
      <c r="U542" s="262"/>
      <c r="V542" s="262"/>
    </row>
    <row r="543" spans="2:22" s="261" customFormat="1" x14ac:dyDescent="0.25">
      <c r="S543" s="262"/>
      <c r="T543" s="262"/>
      <c r="U543" s="262"/>
      <c r="V543" s="262"/>
    </row>
    <row r="544" spans="2:22" s="261" customFormat="1" x14ac:dyDescent="0.25">
      <c r="S544" s="262"/>
      <c r="T544" s="262"/>
      <c r="U544" s="262"/>
      <c r="V544" s="262"/>
    </row>
    <row r="545" spans="2:22" s="261" customFormat="1" x14ac:dyDescent="0.25">
      <c r="B545" s="263"/>
      <c r="P545" s="264"/>
      <c r="S545" s="262"/>
      <c r="T545" s="262"/>
      <c r="U545" s="262"/>
      <c r="V545" s="262"/>
    </row>
    <row r="546" spans="2:22" s="261" customFormat="1" x14ac:dyDescent="0.25">
      <c r="S546" s="262"/>
      <c r="T546" s="262"/>
      <c r="U546" s="262"/>
      <c r="V546" s="262"/>
    </row>
    <row r="547" spans="2:22" s="261" customFormat="1" x14ac:dyDescent="0.25">
      <c r="S547" s="262"/>
      <c r="T547" s="262"/>
      <c r="U547" s="262"/>
      <c r="V547" s="262"/>
    </row>
    <row r="548" spans="2:22" s="261" customFormat="1" x14ac:dyDescent="0.25">
      <c r="B548" s="263"/>
      <c r="P548" s="264"/>
      <c r="S548" s="262"/>
      <c r="T548" s="262"/>
      <c r="U548" s="262"/>
      <c r="V548" s="262"/>
    </row>
    <row r="549" spans="2:22" s="261" customFormat="1" x14ac:dyDescent="0.25">
      <c r="S549" s="262"/>
      <c r="T549" s="262"/>
      <c r="U549" s="262"/>
      <c r="V549" s="262"/>
    </row>
    <row r="550" spans="2:22" s="261" customFormat="1" x14ac:dyDescent="0.25">
      <c r="S550" s="262"/>
      <c r="T550" s="262"/>
      <c r="U550" s="262"/>
      <c r="V550" s="262"/>
    </row>
    <row r="551" spans="2:22" s="261" customFormat="1" x14ac:dyDescent="0.25">
      <c r="B551" s="263"/>
      <c r="P551" s="264"/>
      <c r="S551" s="262"/>
      <c r="T551" s="262"/>
      <c r="U551" s="262"/>
      <c r="V551" s="262"/>
    </row>
    <row r="552" spans="2:22" s="261" customFormat="1" x14ac:dyDescent="0.25">
      <c r="S552" s="262"/>
      <c r="T552" s="262"/>
      <c r="U552" s="262"/>
      <c r="V552" s="262"/>
    </row>
    <row r="553" spans="2:22" s="261" customFormat="1" x14ac:dyDescent="0.25">
      <c r="S553" s="262"/>
      <c r="T553" s="262"/>
      <c r="U553" s="262"/>
      <c r="V553" s="262"/>
    </row>
    <row r="554" spans="2:22" s="261" customFormat="1" x14ac:dyDescent="0.25">
      <c r="B554" s="263"/>
      <c r="P554" s="264"/>
      <c r="S554" s="262"/>
      <c r="T554" s="262"/>
      <c r="U554" s="262"/>
      <c r="V554" s="262"/>
    </row>
    <row r="555" spans="2:22" s="261" customFormat="1" x14ac:dyDescent="0.25">
      <c r="S555" s="262"/>
      <c r="T555" s="262"/>
      <c r="U555" s="262"/>
      <c r="V555" s="262"/>
    </row>
    <row r="556" spans="2:22" s="261" customFormat="1" x14ac:dyDescent="0.25">
      <c r="S556" s="262"/>
      <c r="T556" s="262"/>
      <c r="U556" s="262"/>
      <c r="V556" s="262"/>
    </row>
    <row r="557" spans="2:22" s="261" customFormat="1" x14ac:dyDescent="0.25">
      <c r="B557" s="263"/>
      <c r="P557" s="264"/>
      <c r="S557" s="262"/>
      <c r="T557" s="262"/>
      <c r="U557" s="262"/>
      <c r="V557" s="262"/>
    </row>
    <row r="558" spans="2:22" s="261" customFormat="1" x14ac:dyDescent="0.25">
      <c r="S558" s="262"/>
      <c r="T558" s="262"/>
      <c r="U558" s="262"/>
      <c r="V558" s="262"/>
    </row>
    <row r="559" spans="2:22" s="261" customFormat="1" x14ac:dyDescent="0.25">
      <c r="S559" s="262"/>
      <c r="T559" s="262"/>
      <c r="U559" s="262"/>
      <c r="V559" s="262"/>
    </row>
    <row r="560" spans="2:22" s="261" customFormat="1" x14ac:dyDescent="0.25">
      <c r="B560" s="263"/>
      <c r="P560" s="264"/>
      <c r="S560" s="262"/>
      <c r="T560" s="262"/>
      <c r="U560" s="262"/>
      <c r="V560" s="262"/>
    </row>
    <row r="561" spans="2:22" s="261" customFormat="1" x14ac:dyDescent="0.25">
      <c r="S561" s="262"/>
      <c r="T561" s="262"/>
      <c r="U561" s="262"/>
      <c r="V561" s="262"/>
    </row>
    <row r="562" spans="2:22" s="261" customFormat="1" x14ac:dyDescent="0.25">
      <c r="S562" s="262"/>
      <c r="T562" s="262"/>
      <c r="U562" s="262"/>
      <c r="V562" s="262"/>
    </row>
    <row r="563" spans="2:22" s="261" customFormat="1" x14ac:dyDescent="0.25">
      <c r="B563" s="263"/>
      <c r="P563" s="264"/>
      <c r="S563" s="262"/>
      <c r="T563" s="262"/>
      <c r="U563" s="262"/>
      <c r="V563" s="262"/>
    </row>
    <row r="564" spans="2:22" s="261" customFormat="1" x14ac:dyDescent="0.25">
      <c r="S564" s="262"/>
      <c r="T564" s="262"/>
      <c r="U564" s="262"/>
      <c r="V564" s="262"/>
    </row>
    <row r="565" spans="2:22" s="261" customFormat="1" x14ac:dyDescent="0.25">
      <c r="S565" s="262"/>
      <c r="T565" s="262"/>
      <c r="U565" s="262"/>
      <c r="V565" s="262"/>
    </row>
    <row r="566" spans="2:22" s="261" customFormat="1" x14ac:dyDescent="0.25">
      <c r="B566" s="263"/>
      <c r="P566" s="264"/>
      <c r="S566" s="262"/>
      <c r="T566" s="262"/>
      <c r="U566" s="262"/>
      <c r="V566" s="262"/>
    </row>
    <row r="567" spans="2:22" s="261" customFormat="1" x14ac:dyDescent="0.25">
      <c r="S567" s="262"/>
      <c r="T567" s="262"/>
      <c r="U567" s="262"/>
      <c r="V567" s="262"/>
    </row>
    <row r="568" spans="2:22" s="261" customFormat="1" x14ac:dyDescent="0.25">
      <c r="S568" s="262"/>
      <c r="T568" s="262"/>
      <c r="U568" s="262"/>
      <c r="V568" s="262"/>
    </row>
    <row r="569" spans="2:22" s="261" customFormat="1" x14ac:dyDescent="0.25">
      <c r="B569" s="263"/>
      <c r="P569" s="264"/>
      <c r="S569" s="262"/>
      <c r="T569" s="262"/>
      <c r="U569" s="262"/>
      <c r="V569" s="262"/>
    </row>
    <row r="570" spans="2:22" s="261" customFormat="1" x14ac:dyDescent="0.25">
      <c r="S570" s="262"/>
      <c r="T570" s="262"/>
      <c r="U570" s="262"/>
      <c r="V570" s="262"/>
    </row>
    <row r="571" spans="2:22" s="261" customFormat="1" x14ac:dyDescent="0.25">
      <c r="S571" s="262"/>
      <c r="T571" s="262"/>
      <c r="U571" s="262"/>
      <c r="V571" s="262"/>
    </row>
    <row r="572" spans="2:22" s="261" customFormat="1" x14ac:dyDescent="0.25">
      <c r="B572" s="263"/>
      <c r="P572" s="264"/>
      <c r="S572" s="262"/>
      <c r="T572" s="262"/>
      <c r="U572" s="262"/>
      <c r="V572" s="262"/>
    </row>
    <row r="573" spans="2:22" s="261" customFormat="1" x14ac:dyDescent="0.25">
      <c r="S573" s="262"/>
      <c r="T573" s="262"/>
      <c r="U573" s="262"/>
      <c r="V573" s="262"/>
    </row>
    <row r="574" spans="2:22" s="261" customFormat="1" x14ac:dyDescent="0.25">
      <c r="S574" s="262"/>
      <c r="T574" s="262"/>
      <c r="U574" s="262"/>
      <c r="V574" s="262"/>
    </row>
    <row r="575" spans="2:22" s="261" customFormat="1" x14ac:dyDescent="0.25">
      <c r="B575" s="263"/>
      <c r="P575" s="264"/>
      <c r="S575" s="262"/>
      <c r="T575" s="262"/>
      <c r="U575" s="262"/>
      <c r="V575" s="262"/>
    </row>
    <row r="576" spans="2:22" s="261" customFormat="1" x14ac:dyDescent="0.25">
      <c r="S576" s="262"/>
      <c r="T576" s="262"/>
      <c r="U576" s="262"/>
      <c r="V576" s="262"/>
    </row>
    <row r="577" spans="2:22" s="261" customFormat="1" x14ac:dyDescent="0.25">
      <c r="S577" s="262"/>
      <c r="T577" s="262"/>
      <c r="U577" s="262"/>
      <c r="V577" s="262"/>
    </row>
    <row r="578" spans="2:22" s="261" customFormat="1" x14ac:dyDescent="0.25">
      <c r="B578" s="263"/>
      <c r="P578" s="264"/>
      <c r="S578" s="262"/>
      <c r="T578" s="262"/>
      <c r="U578" s="262"/>
      <c r="V578" s="262"/>
    </row>
    <row r="579" spans="2:22" s="261" customFormat="1" x14ac:dyDescent="0.25">
      <c r="S579" s="262"/>
      <c r="T579" s="262"/>
      <c r="U579" s="262"/>
      <c r="V579" s="262"/>
    </row>
    <row r="580" spans="2:22" s="261" customFormat="1" x14ac:dyDescent="0.25">
      <c r="S580" s="262"/>
      <c r="T580" s="262"/>
      <c r="U580" s="262"/>
      <c r="V580" s="262"/>
    </row>
    <row r="581" spans="2:22" s="261" customFormat="1" x14ac:dyDescent="0.25">
      <c r="B581" s="263"/>
      <c r="P581" s="264"/>
      <c r="S581" s="262"/>
      <c r="T581" s="262"/>
      <c r="U581" s="262"/>
      <c r="V581" s="262"/>
    </row>
    <row r="582" spans="2:22" s="261" customFormat="1" x14ac:dyDescent="0.25">
      <c r="S582" s="262"/>
      <c r="T582" s="262"/>
      <c r="U582" s="262"/>
      <c r="V582" s="262"/>
    </row>
    <row r="583" spans="2:22" s="261" customFormat="1" x14ac:dyDescent="0.25">
      <c r="S583" s="262"/>
      <c r="T583" s="262"/>
      <c r="U583" s="262"/>
      <c r="V583" s="262"/>
    </row>
    <row r="584" spans="2:22" s="261" customFormat="1" x14ac:dyDescent="0.25">
      <c r="B584" s="263"/>
      <c r="P584" s="264"/>
      <c r="S584" s="262"/>
      <c r="T584" s="262"/>
      <c r="U584" s="262"/>
      <c r="V584" s="262"/>
    </row>
    <row r="585" spans="2:22" s="261" customFormat="1" x14ac:dyDescent="0.25">
      <c r="S585" s="262"/>
      <c r="T585" s="262"/>
      <c r="U585" s="262"/>
      <c r="V585" s="262"/>
    </row>
    <row r="586" spans="2:22" s="261" customFormat="1" x14ac:dyDescent="0.25">
      <c r="S586" s="262"/>
      <c r="T586" s="262"/>
      <c r="U586" s="262"/>
      <c r="V586" s="262"/>
    </row>
    <row r="587" spans="2:22" s="261" customFormat="1" x14ac:dyDescent="0.25">
      <c r="B587" s="263"/>
      <c r="P587" s="264"/>
      <c r="S587" s="262"/>
      <c r="T587" s="262"/>
      <c r="U587" s="262"/>
      <c r="V587" s="262"/>
    </row>
    <row r="588" spans="2:22" s="261" customFormat="1" x14ac:dyDescent="0.25">
      <c r="S588" s="262"/>
      <c r="T588" s="262"/>
      <c r="U588" s="262"/>
      <c r="V588" s="262"/>
    </row>
    <row r="589" spans="2:22" s="261" customFormat="1" x14ac:dyDescent="0.25">
      <c r="S589" s="262"/>
      <c r="T589" s="262"/>
      <c r="U589" s="262"/>
      <c r="V589" s="262"/>
    </row>
    <row r="590" spans="2:22" s="261" customFormat="1" x14ac:dyDescent="0.25">
      <c r="B590" s="263"/>
      <c r="P590" s="264"/>
      <c r="S590" s="262"/>
      <c r="T590" s="262"/>
      <c r="U590" s="262"/>
      <c r="V590" s="262"/>
    </row>
    <row r="591" spans="2:22" s="261" customFormat="1" x14ac:dyDescent="0.25">
      <c r="S591" s="262"/>
      <c r="T591" s="262"/>
      <c r="U591" s="262"/>
      <c r="V591" s="262"/>
    </row>
    <row r="592" spans="2:22" s="261" customFormat="1" x14ac:dyDescent="0.25">
      <c r="S592" s="262"/>
      <c r="T592" s="262"/>
      <c r="U592" s="262"/>
      <c r="V592" s="262"/>
    </row>
    <row r="593" spans="2:22" s="261" customFormat="1" x14ac:dyDescent="0.25">
      <c r="B593" s="263"/>
      <c r="P593" s="264"/>
      <c r="S593" s="262"/>
      <c r="T593" s="262"/>
      <c r="U593" s="262"/>
      <c r="V593" s="262"/>
    </row>
    <row r="594" spans="2:22" s="261" customFormat="1" x14ac:dyDescent="0.25">
      <c r="S594" s="262"/>
      <c r="T594" s="262"/>
      <c r="U594" s="262"/>
      <c r="V594" s="262"/>
    </row>
    <row r="595" spans="2:22" s="261" customFormat="1" x14ac:dyDescent="0.25">
      <c r="S595" s="262"/>
      <c r="T595" s="262"/>
      <c r="U595" s="262"/>
      <c r="V595" s="262"/>
    </row>
    <row r="596" spans="2:22" s="261" customFormat="1" x14ac:dyDescent="0.25">
      <c r="B596" s="263"/>
      <c r="P596" s="264"/>
      <c r="S596" s="262"/>
      <c r="T596" s="262"/>
      <c r="U596" s="262"/>
      <c r="V596" s="262"/>
    </row>
    <row r="597" spans="2:22" s="261" customFormat="1" x14ac:dyDescent="0.25">
      <c r="S597" s="262"/>
      <c r="T597" s="262"/>
      <c r="U597" s="262"/>
      <c r="V597" s="262"/>
    </row>
    <row r="598" spans="2:22" s="261" customFormat="1" x14ac:dyDescent="0.25">
      <c r="S598" s="262"/>
      <c r="T598" s="262"/>
      <c r="U598" s="262"/>
      <c r="V598" s="262"/>
    </row>
    <row r="599" spans="2:22" s="261" customFormat="1" x14ac:dyDescent="0.25">
      <c r="B599" s="263"/>
      <c r="P599" s="264"/>
      <c r="S599" s="262"/>
      <c r="T599" s="262"/>
      <c r="U599" s="262"/>
      <c r="V599" s="262"/>
    </row>
    <row r="600" spans="2:22" s="261" customFormat="1" x14ac:dyDescent="0.25">
      <c r="S600" s="262"/>
      <c r="T600" s="262"/>
      <c r="U600" s="262"/>
      <c r="V600" s="262"/>
    </row>
    <row r="601" spans="2:22" s="261" customFormat="1" x14ac:dyDescent="0.25">
      <c r="S601" s="262"/>
      <c r="T601" s="262"/>
      <c r="U601" s="262"/>
      <c r="V601" s="262"/>
    </row>
    <row r="602" spans="2:22" s="261" customFormat="1" x14ac:dyDescent="0.25">
      <c r="B602" s="263"/>
      <c r="P602" s="264"/>
      <c r="S602" s="262"/>
      <c r="T602" s="262"/>
      <c r="U602" s="262"/>
      <c r="V602" s="262"/>
    </row>
    <row r="603" spans="2:22" s="261" customFormat="1" x14ac:dyDescent="0.25">
      <c r="S603" s="262"/>
      <c r="T603" s="262"/>
      <c r="U603" s="262"/>
      <c r="V603" s="262"/>
    </row>
    <row r="604" spans="2:22" s="261" customFormat="1" x14ac:dyDescent="0.25">
      <c r="S604" s="262"/>
      <c r="T604" s="262"/>
      <c r="U604" s="262"/>
      <c r="V604" s="262"/>
    </row>
    <row r="605" spans="2:22" s="261" customFormat="1" x14ac:dyDescent="0.25">
      <c r="B605" s="263"/>
      <c r="P605" s="264"/>
      <c r="S605" s="262"/>
      <c r="T605" s="262"/>
      <c r="U605" s="262"/>
      <c r="V605" s="262"/>
    </row>
    <row r="606" spans="2:22" s="261" customFormat="1" x14ac:dyDescent="0.25">
      <c r="S606" s="262"/>
      <c r="T606" s="262"/>
      <c r="U606" s="262"/>
      <c r="V606" s="262"/>
    </row>
    <row r="607" spans="2:22" s="261" customFormat="1" x14ac:dyDescent="0.25">
      <c r="S607" s="262"/>
      <c r="T607" s="262"/>
      <c r="U607" s="262"/>
      <c r="V607" s="262"/>
    </row>
    <row r="608" spans="2:22" s="261" customFormat="1" x14ac:dyDescent="0.25">
      <c r="B608" s="263"/>
      <c r="P608" s="264"/>
      <c r="S608" s="262"/>
      <c r="T608" s="262"/>
      <c r="U608" s="262"/>
      <c r="V608" s="262"/>
    </row>
    <row r="609" spans="2:22" s="261" customFormat="1" x14ac:dyDescent="0.25">
      <c r="S609" s="262"/>
      <c r="T609" s="262"/>
      <c r="U609" s="262"/>
      <c r="V609" s="262"/>
    </row>
    <row r="610" spans="2:22" s="261" customFormat="1" x14ac:dyDescent="0.25">
      <c r="S610" s="262"/>
      <c r="T610" s="262"/>
      <c r="U610" s="262"/>
      <c r="V610" s="262"/>
    </row>
    <row r="611" spans="2:22" s="261" customFormat="1" x14ac:dyDescent="0.25">
      <c r="B611" s="263"/>
      <c r="P611" s="264"/>
      <c r="S611" s="262"/>
      <c r="T611" s="262"/>
      <c r="U611" s="262"/>
      <c r="V611" s="262"/>
    </row>
    <row r="612" spans="2:22" s="261" customFormat="1" x14ac:dyDescent="0.25">
      <c r="S612" s="262"/>
      <c r="T612" s="262"/>
      <c r="U612" s="262"/>
      <c r="V612" s="262"/>
    </row>
    <row r="613" spans="2:22" s="261" customFormat="1" x14ac:dyDescent="0.25">
      <c r="S613" s="262"/>
      <c r="T613" s="262"/>
      <c r="U613" s="262"/>
      <c r="V613" s="262"/>
    </row>
    <row r="614" spans="2:22" s="261" customFormat="1" x14ac:dyDescent="0.25">
      <c r="B614" s="263"/>
      <c r="P614" s="264"/>
      <c r="S614" s="262"/>
      <c r="T614" s="262"/>
      <c r="U614" s="262"/>
      <c r="V614" s="262"/>
    </row>
    <row r="615" spans="2:22" s="261" customFormat="1" x14ac:dyDescent="0.25">
      <c r="S615" s="262"/>
      <c r="T615" s="262"/>
      <c r="U615" s="262"/>
      <c r="V615" s="262"/>
    </row>
    <row r="616" spans="2:22" s="261" customFormat="1" x14ac:dyDescent="0.25">
      <c r="S616" s="262"/>
      <c r="T616" s="262"/>
      <c r="U616" s="262"/>
      <c r="V616" s="262"/>
    </row>
    <row r="617" spans="2:22" s="261" customFormat="1" x14ac:dyDescent="0.25">
      <c r="B617" s="263"/>
      <c r="P617" s="264"/>
      <c r="S617" s="262"/>
      <c r="T617" s="262"/>
      <c r="U617" s="262"/>
      <c r="V617" s="262"/>
    </row>
    <row r="618" spans="2:22" s="261" customFormat="1" x14ac:dyDescent="0.25"/>
    <row r="619" spans="2:22" s="261" customFormat="1" x14ac:dyDescent="0.25"/>
    <row r="620" spans="2:22" s="261" customFormat="1" x14ac:dyDescent="0.25"/>
    <row r="621" spans="2:22" s="261" customFormat="1" x14ac:dyDescent="0.25"/>
    <row r="622" spans="2:22" s="261" customFormat="1" x14ac:dyDescent="0.25"/>
    <row r="623" spans="2:22" s="261" customFormat="1" x14ac:dyDescent="0.25"/>
    <row r="624" spans="2:22" s="261" customFormat="1" x14ac:dyDescent="0.25"/>
    <row r="625" s="261" customFormat="1" x14ac:dyDescent="0.25"/>
    <row r="626" s="261" customFormat="1" x14ac:dyDescent="0.25"/>
    <row r="627" s="261" customFormat="1" x14ac:dyDescent="0.25"/>
    <row r="628" s="261" customFormat="1" x14ac:dyDescent="0.25"/>
    <row r="629" s="261" customFormat="1" x14ac:dyDescent="0.25"/>
    <row r="630" s="261" customFormat="1" x14ac:dyDescent="0.25"/>
    <row r="631" s="261" customFormat="1" x14ac:dyDescent="0.25"/>
    <row r="632" s="261" customFormat="1" x14ac:dyDescent="0.25"/>
    <row r="633" s="261" customFormat="1" x14ac:dyDescent="0.25"/>
    <row r="634" s="261" customFormat="1" x14ac:dyDescent="0.25"/>
    <row r="635" s="261" customFormat="1" x14ac:dyDescent="0.25"/>
    <row r="636" s="261" customFormat="1" x14ac:dyDescent="0.25"/>
    <row r="637" s="261" customFormat="1" x14ac:dyDescent="0.25"/>
    <row r="638" s="261" customFormat="1" x14ac:dyDescent="0.25"/>
    <row r="639" s="261" customFormat="1" x14ac:dyDescent="0.25"/>
    <row r="640" s="261" customFormat="1" x14ac:dyDescent="0.25"/>
    <row r="641" s="261" customFormat="1" x14ac:dyDescent="0.25"/>
    <row r="642" s="261" customFormat="1" x14ac:dyDescent="0.25"/>
    <row r="643" s="261" customFormat="1" x14ac:dyDescent="0.25"/>
    <row r="644" s="261" customFormat="1" x14ac:dyDescent="0.25"/>
    <row r="645" s="261" customFormat="1" x14ac:dyDescent="0.25"/>
    <row r="646" s="261" customFormat="1" x14ac:dyDescent="0.25"/>
    <row r="647" s="261" customFormat="1" x14ac:dyDescent="0.25"/>
    <row r="648" s="261" customFormat="1" x14ac:dyDescent="0.25"/>
    <row r="649" s="261" customFormat="1" x14ac:dyDescent="0.25"/>
    <row r="650" s="261" customFormat="1" x14ac:dyDescent="0.25"/>
    <row r="651" s="261" customFormat="1" x14ac:dyDescent="0.25"/>
    <row r="652" s="261" customFormat="1" x14ac:dyDescent="0.25"/>
    <row r="653" s="261" customFormat="1" x14ac:dyDescent="0.25"/>
    <row r="654" s="261" customFormat="1" x14ac:dyDescent="0.25"/>
    <row r="655" s="261" customFormat="1" x14ac:dyDescent="0.25"/>
    <row r="656" s="261" customFormat="1" x14ac:dyDescent="0.25"/>
    <row r="657" s="261" customFormat="1" x14ac:dyDescent="0.25"/>
    <row r="658" s="261" customFormat="1" x14ac:dyDescent="0.25"/>
    <row r="659" s="261" customFormat="1" x14ac:dyDescent="0.25"/>
    <row r="660" s="261" customFormat="1" x14ac:dyDescent="0.25"/>
    <row r="661" s="261" customFormat="1" x14ac:dyDescent="0.25"/>
    <row r="662" s="261" customFormat="1" x14ac:dyDescent="0.25"/>
    <row r="663" s="261" customFormat="1" x14ac:dyDescent="0.25"/>
    <row r="664" s="261" customFormat="1" x14ac:dyDescent="0.25"/>
    <row r="665" s="261" customFormat="1" x14ac:dyDescent="0.25"/>
    <row r="666" s="261" customFormat="1" x14ac:dyDescent="0.25"/>
    <row r="667" s="261" customFormat="1" x14ac:dyDescent="0.25"/>
    <row r="668" s="261" customFormat="1" x14ac:dyDescent="0.25"/>
    <row r="669" s="261" customFormat="1" x14ac:dyDescent="0.25"/>
    <row r="670" s="261" customFormat="1" x14ac:dyDescent="0.25"/>
    <row r="671" s="261" customFormat="1" x14ac:dyDescent="0.25"/>
    <row r="672" s="261" customFormat="1" x14ac:dyDescent="0.25"/>
    <row r="673" s="261" customFormat="1" x14ac:dyDescent="0.25"/>
    <row r="674" s="261" customFormat="1" x14ac:dyDescent="0.25"/>
    <row r="675" s="261" customFormat="1" x14ac:dyDescent="0.25"/>
    <row r="676" s="261" customFormat="1" x14ac:dyDescent="0.25"/>
    <row r="677" s="261" customFormat="1" x14ac:dyDescent="0.25"/>
    <row r="678" s="261" customFormat="1" x14ac:dyDescent="0.25"/>
    <row r="679" s="261" customFormat="1" x14ac:dyDescent="0.25"/>
    <row r="680" s="261" customFormat="1" x14ac:dyDescent="0.25"/>
    <row r="681" s="261" customFormat="1" x14ac:dyDescent="0.25"/>
    <row r="682" s="261" customFormat="1" x14ac:dyDescent="0.25"/>
    <row r="683" s="261" customFormat="1" x14ac:dyDescent="0.25"/>
    <row r="684" s="261" customFormat="1" x14ac:dyDescent="0.25"/>
    <row r="685" s="261" customFormat="1" x14ac:dyDescent="0.25"/>
    <row r="686" s="261" customFormat="1" x14ac:dyDescent="0.25"/>
    <row r="687" s="261" customFormat="1" x14ac:dyDescent="0.25"/>
    <row r="688" s="261" customFormat="1" x14ac:dyDescent="0.25"/>
    <row r="689" s="261" customFormat="1" x14ac:dyDescent="0.25"/>
    <row r="690" s="261" customFormat="1" x14ac:dyDescent="0.25"/>
    <row r="691" s="261" customFormat="1" x14ac:dyDescent="0.25"/>
    <row r="692" s="261" customFormat="1" x14ac:dyDescent="0.25"/>
    <row r="693" s="261" customFormat="1" x14ac:dyDescent="0.25"/>
    <row r="694" s="261" customFormat="1" x14ac:dyDescent="0.25"/>
    <row r="695" s="261" customFormat="1" x14ac:dyDescent="0.25"/>
    <row r="696" s="261" customFormat="1" x14ac:dyDescent="0.25"/>
    <row r="697" s="261" customFormat="1" x14ac:dyDescent="0.25"/>
    <row r="698" s="261" customFormat="1" x14ac:dyDescent="0.25"/>
    <row r="699" s="261" customFormat="1" x14ac:dyDescent="0.25"/>
    <row r="700" s="261" customFormat="1" x14ac:dyDescent="0.25"/>
    <row r="701" s="261" customFormat="1" x14ac:dyDescent="0.25"/>
    <row r="702" s="261" customFormat="1" x14ac:dyDescent="0.25"/>
    <row r="703" s="261" customFormat="1" x14ac:dyDescent="0.25"/>
    <row r="704" s="261" customFormat="1" x14ac:dyDescent="0.25"/>
    <row r="705" s="261" customFormat="1" x14ac:dyDescent="0.25"/>
    <row r="706" s="261" customFormat="1" x14ac:dyDescent="0.25"/>
    <row r="707" s="261" customFormat="1" x14ac:dyDescent="0.25"/>
    <row r="708" s="261" customFormat="1" x14ac:dyDescent="0.25"/>
    <row r="709" s="261" customFormat="1" x14ac:dyDescent="0.25"/>
    <row r="710" s="261" customFormat="1" x14ac:dyDescent="0.25"/>
    <row r="711" s="261" customFormat="1" x14ac:dyDescent="0.25"/>
    <row r="712" s="261" customFormat="1" x14ac:dyDescent="0.25"/>
    <row r="713" s="261" customFormat="1" x14ac:dyDescent="0.25"/>
    <row r="714" s="261" customFormat="1" x14ac:dyDescent="0.25"/>
    <row r="715" s="261" customFormat="1" x14ac:dyDescent="0.25"/>
    <row r="716" s="261" customFormat="1" x14ac:dyDescent="0.25"/>
    <row r="717" s="261" customFormat="1" x14ac:dyDescent="0.25"/>
    <row r="718" s="261" customFormat="1" x14ac:dyDescent="0.25"/>
    <row r="719" s="261" customFormat="1" x14ac:dyDescent="0.25"/>
    <row r="720" s="261" customFormat="1" x14ac:dyDescent="0.25"/>
    <row r="721" s="261" customFormat="1" x14ac:dyDescent="0.25"/>
    <row r="722" s="261" customFormat="1" x14ac:dyDescent="0.25"/>
    <row r="723" s="261" customFormat="1" x14ac:dyDescent="0.25"/>
    <row r="724" s="261" customFormat="1" x14ac:dyDescent="0.25"/>
    <row r="725" s="261" customFormat="1" x14ac:dyDescent="0.25"/>
    <row r="726" s="261" customFormat="1" x14ac:dyDescent="0.25"/>
    <row r="727" s="261" customFormat="1" x14ac:dyDescent="0.25"/>
    <row r="728" s="261" customFormat="1" x14ac:dyDescent="0.25"/>
    <row r="729" s="261" customFormat="1" x14ac:dyDescent="0.25"/>
    <row r="730" s="261" customFormat="1" x14ac:dyDescent="0.25"/>
    <row r="731" s="261" customFormat="1" x14ac:dyDescent="0.25"/>
    <row r="732" s="261" customFormat="1" x14ac:dyDescent="0.25"/>
    <row r="733" s="261" customFormat="1" x14ac:dyDescent="0.25"/>
    <row r="734" s="261" customFormat="1" x14ac:dyDescent="0.25"/>
    <row r="735" s="261" customFormat="1" x14ac:dyDescent="0.25"/>
    <row r="736" s="261" customFormat="1" x14ac:dyDescent="0.25"/>
    <row r="737" s="261" customFormat="1" x14ac:dyDescent="0.25"/>
    <row r="738" s="261" customFormat="1" x14ac:dyDescent="0.25"/>
    <row r="739" s="261" customFormat="1" x14ac:dyDescent="0.25"/>
    <row r="740" s="261" customFormat="1" x14ac:dyDescent="0.25"/>
    <row r="741" s="261" customFormat="1" x14ac:dyDescent="0.25"/>
    <row r="742" s="261" customFormat="1" x14ac:dyDescent="0.25"/>
    <row r="743" s="261" customFormat="1" x14ac:dyDescent="0.25"/>
    <row r="744" s="261" customFormat="1" x14ac:dyDescent="0.25"/>
    <row r="745" s="261" customFormat="1" x14ac:dyDescent="0.25"/>
    <row r="746" s="261" customFormat="1" x14ac:dyDescent="0.25"/>
    <row r="747" s="261" customFormat="1" x14ac:dyDescent="0.25"/>
    <row r="748" s="261" customFormat="1" x14ac:dyDescent="0.25"/>
    <row r="749" s="261" customFormat="1" x14ac:dyDescent="0.25"/>
    <row r="750" s="261" customFormat="1" x14ac:dyDescent="0.25"/>
    <row r="751" s="261" customFormat="1" x14ac:dyDescent="0.25"/>
    <row r="752" s="261" customFormat="1" x14ac:dyDescent="0.25"/>
    <row r="753" s="261" customFormat="1" x14ac:dyDescent="0.25"/>
    <row r="754" s="261" customFormat="1" x14ac:dyDescent="0.25"/>
    <row r="755" s="261" customFormat="1" x14ac:dyDescent="0.25"/>
    <row r="756" s="261" customFormat="1" x14ac:dyDescent="0.25"/>
    <row r="757" s="261" customFormat="1" x14ac:dyDescent="0.25"/>
    <row r="758" s="261" customFormat="1" x14ac:dyDescent="0.25"/>
    <row r="759" s="261" customFormat="1" x14ac:dyDescent="0.25"/>
    <row r="760" s="261" customFormat="1" x14ac:dyDescent="0.25"/>
    <row r="761" s="261" customFormat="1" x14ac:dyDescent="0.25"/>
    <row r="762" s="261" customFormat="1" x14ac:dyDescent="0.25"/>
    <row r="763" s="261" customFormat="1" x14ac:dyDescent="0.25"/>
    <row r="764" s="261" customFormat="1" x14ac:dyDescent="0.25"/>
    <row r="765" s="261" customFormat="1" x14ac:dyDescent="0.25"/>
    <row r="766" s="261" customFormat="1" x14ac:dyDescent="0.25"/>
    <row r="767" s="261" customFormat="1" x14ac:dyDescent="0.25"/>
    <row r="768" s="261" customFormat="1" x14ac:dyDescent="0.25"/>
    <row r="769" s="261" customFormat="1" x14ac:dyDescent="0.25"/>
    <row r="770" s="261" customFormat="1" x14ac:dyDescent="0.25"/>
    <row r="771" s="261" customFormat="1" x14ac:dyDescent="0.25"/>
    <row r="772" s="261" customFormat="1" x14ac:dyDescent="0.25"/>
    <row r="773" s="261" customFormat="1" x14ac:dyDescent="0.25"/>
    <row r="774" s="261" customFormat="1" x14ac:dyDescent="0.25"/>
    <row r="775" s="261" customFormat="1" x14ac:dyDescent="0.25"/>
    <row r="776" s="261" customFormat="1" x14ac:dyDescent="0.25"/>
    <row r="777" s="261" customFormat="1" x14ac:dyDescent="0.25"/>
    <row r="778" s="261" customFormat="1" x14ac:dyDescent="0.25"/>
    <row r="779" s="261" customFormat="1" x14ac:dyDescent="0.25"/>
    <row r="780" s="261" customFormat="1" x14ac:dyDescent="0.25"/>
    <row r="781" s="261" customFormat="1" x14ac:dyDescent="0.25"/>
    <row r="782" s="261" customFormat="1" x14ac:dyDescent="0.25"/>
    <row r="783" s="261" customFormat="1" x14ac:dyDescent="0.25"/>
    <row r="784" s="261" customFormat="1" x14ac:dyDescent="0.25"/>
    <row r="785" s="261" customFormat="1" x14ac:dyDescent="0.25"/>
    <row r="786" s="261" customFormat="1" x14ac:dyDescent="0.25"/>
    <row r="787" s="261" customFormat="1" x14ac:dyDescent="0.25"/>
    <row r="788" s="261" customFormat="1" x14ac:dyDescent="0.25"/>
    <row r="789" s="261" customFormat="1" x14ac:dyDescent="0.25"/>
    <row r="790" s="261" customFormat="1" x14ac:dyDescent="0.25"/>
    <row r="791" s="261" customFormat="1" x14ac:dyDescent="0.25"/>
    <row r="792" s="261" customFormat="1" x14ac:dyDescent="0.25"/>
    <row r="793" s="261" customFormat="1" x14ac:dyDescent="0.25"/>
    <row r="794" s="261" customFormat="1" x14ac:dyDescent="0.25"/>
    <row r="795" s="261" customFormat="1" x14ac:dyDescent="0.25"/>
    <row r="796" s="261" customFormat="1" x14ac:dyDescent="0.25"/>
    <row r="797" s="261" customFormat="1" x14ac:dyDescent="0.25"/>
    <row r="798" s="261" customFormat="1" x14ac:dyDescent="0.25"/>
    <row r="799" s="261" customFormat="1" x14ac:dyDescent="0.25"/>
    <row r="800" s="261" customFormat="1" x14ac:dyDescent="0.25"/>
    <row r="801" s="261" customFormat="1" x14ac:dyDescent="0.25"/>
    <row r="802" s="261" customFormat="1" x14ac:dyDescent="0.25"/>
    <row r="803" s="261" customFormat="1" x14ac:dyDescent="0.25"/>
    <row r="804" s="261" customFormat="1" x14ac:dyDescent="0.25"/>
    <row r="805" s="261" customFormat="1" x14ac:dyDescent="0.25"/>
    <row r="806" s="261" customFormat="1" x14ac:dyDescent="0.25"/>
    <row r="807" s="261" customFormat="1" x14ac:dyDescent="0.25"/>
    <row r="808" s="261" customFormat="1" x14ac:dyDescent="0.25"/>
    <row r="809" s="261" customFormat="1" x14ac:dyDescent="0.25"/>
    <row r="810" s="261" customFormat="1" x14ac:dyDescent="0.25"/>
    <row r="811" s="261" customFormat="1" x14ac:dyDescent="0.25"/>
    <row r="812" s="261" customFormat="1" x14ac:dyDescent="0.25"/>
    <row r="813" s="261" customFormat="1" x14ac:dyDescent="0.25"/>
    <row r="814" s="261" customFormat="1" x14ac:dyDescent="0.25"/>
    <row r="815" s="261" customFormat="1" x14ac:dyDescent="0.25"/>
    <row r="816" s="261" customFormat="1" x14ac:dyDescent="0.25"/>
    <row r="817" s="261" customFormat="1" x14ac:dyDescent="0.25"/>
    <row r="818" s="261" customFormat="1" x14ac:dyDescent="0.25"/>
    <row r="819" s="261" customFormat="1" x14ac:dyDescent="0.25"/>
    <row r="820" s="261" customFormat="1" x14ac:dyDescent="0.25"/>
    <row r="821" s="261" customFormat="1" x14ac:dyDescent="0.25"/>
    <row r="822" s="261" customFormat="1" x14ac:dyDescent="0.25"/>
    <row r="823" s="261" customFormat="1" x14ac:dyDescent="0.25"/>
    <row r="824" s="261" customFormat="1" x14ac:dyDescent="0.25"/>
    <row r="825" s="261" customFormat="1" x14ac:dyDescent="0.25"/>
    <row r="826" s="261" customFormat="1" x14ac:dyDescent="0.25"/>
    <row r="827" s="261" customFormat="1" x14ac:dyDescent="0.25"/>
    <row r="828" s="261" customFormat="1" x14ac:dyDescent="0.25"/>
    <row r="829" s="261" customFormat="1" x14ac:dyDescent="0.25"/>
    <row r="830" s="261" customFormat="1" x14ac:dyDescent="0.25"/>
    <row r="831" s="261" customFormat="1" x14ac:dyDescent="0.25"/>
    <row r="832" s="261" customFormat="1" x14ac:dyDescent="0.25"/>
    <row r="833" s="261" customFormat="1" x14ac:dyDescent="0.25"/>
    <row r="834" s="261" customFormat="1" x14ac:dyDescent="0.25"/>
    <row r="835" s="261" customFormat="1" x14ac:dyDescent="0.25"/>
    <row r="836" s="261" customFormat="1" x14ac:dyDescent="0.25"/>
    <row r="837" s="261" customFormat="1" x14ac:dyDescent="0.25"/>
    <row r="838" s="261" customFormat="1" x14ac:dyDescent="0.25"/>
    <row r="839" s="261" customFormat="1" x14ac:dyDescent="0.25"/>
    <row r="840" s="261" customFormat="1" x14ac:dyDescent="0.25"/>
    <row r="841" s="261" customFormat="1" x14ac:dyDescent="0.25"/>
    <row r="842" s="261" customFormat="1" x14ac:dyDescent="0.25"/>
    <row r="843" s="261" customFormat="1" x14ac:dyDescent="0.25"/>
    <row r="844" s="261" customFormat="1" x14ac:dyDescent="0.25"/>
    <row r="845" s="261" customFormat="1" x14ac:dyDescent="0.25"/>
    <row r="846" s="261" customFormat="1" x14ac:dyDescent="0.25"/>
    <row r="847" s="261" customFormat="1" x14ac:dyDescent="0.25"/>
    <row r="848" s="261" customFormat="1" x14ac:dyDescent="0.25"/>
    <row r="849" s="261" customFormat="1" x14ac:dyDescent="0.25"/>
    <row r="850" s="261" customFormat="1" x14ac:dyDescent="0.25"/>
    <row r="851" s="261" customFormat="1" x14ac:dyDescent="0.25"/>
    <row r="852" s="261" customFormat="1" x14ac:dyDescent="0.25"/>
    <row r="853" s="261" customFormat="1" x14ac:dyDescent="0.25"/>
    <row r="854" s="261" customFormat="1" x14ac:dyDescent="0.25"/>
    <row r="855" s="261" customFormat="1" x14ac:dyDescent="0.25"/>
    <row r="856" s="261" customFormat="1" x14ac:dyDescent="0.25"/>
    <row r="857" s="261" customFormat="1" x14ac:dyDescent="0.25"/>
    <row r="858" s="261" customFormat="1" x14ac:dyDescent="0.25"/>
    <row r="859" s="261" customFormat="1" x14ac:dyDescent="0.25"/>
    <row r="860" s="261" customFormat="1" x14ac:dyDescent="0.25"/>
    <row r="861" s="261" customFormat="1" x14ac:dyDescent="0.25"/>
    <row r="862" s="261" customFormat="1" x14ac:dyDescent="0.25"/>
    <row r="863" s="261" customFormat="1" x14ac:dyDescent="0.25"/>
    <row r="864" s="261" customFormat="1" x14ac:dyDescent="0.25"/>
    <row r="865" s="261" customFormat="1" x14ac:dyDescent="0.25"/>
    <row r="866" s="261" customFormat="1" x14ac:dyDescent="0.25"/>
    <row r="867" s="261" customFormat="1" x14ac:dyDescent="0.25"/>
    <row r="868" s="261" customFormat="1" x14ac:dyDescent="0.25"/>
    <row r="869" s="261" customFormat="1" x14ac:dyDescent="0.25"/>
    <row r="870" s="261" customFormat="1" x14ac:dyDescent="0.25"/>
    <row r="871" s="261" customFormat="1" x14ac:dyDescent="0.25"/>
    <row r="872" s="261" customFormat="1" x14ac:dyDescent="0.25"/>
    <row r="873" s="261" customFormat="1" x14ac:dyDescent="0.25"/>
    <row r="874" s="261" customFormat="1" x14ac:dyDescent="0.25"/>
    <row r="875" s="261" customFormat="1" x14ac:dyDescent="0.25"/>
    <row r="876" s="261" customFormat="1" x14ac:dyDescent="0.25"/>
    <row r="877" s="261" customFormat="1" x14ac:dyDescent="0.25"/>
    <row r="878" s="261" customFormat="1" x14ac:dyDescent="0.25"/>
    <row r="879" s="261" customFormat="1" x14ac:dyDescent="0.25"/>
    <row r="880" s="261" customFormat="1" x14ac:dyDescent="0.25"/>
    <row r="881" s="261" customFormat="1" x14ac:dyDescent="0.25"/>
    <row r="882" s="261" customFormat="1"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Z882"/>
  <sheetViews>
    <sheetView workbookViewId="0"/>
  </sheetViews>
  <sheetFormatPr defaultColWidth="11.42578125" defaultRowHeight="15" x14ac:dyDescent="0.25"/>
  <cols>
    <col min="1" max="1" width="7" style="258" customWidth="1"/>
    <col min="2" max="2" width="26.85546875" style="258" customWidth="1"/>
    <col min="3" max="3" width="9.28515625" style="258" customWidth="1"/>
    <col min="4" max="10" width="9.28515625" style="259" customWidth="1"/>
    <col min="11" max="11" width="10.140625" style="259" customWidth="1"/>
    <col min="12" max="15" width="11.140625" style="259" customWidth="1"/>
    <col min="16" max="16" width="10.140625" style="259" customWidth="1"/>
    <col min="17" max="18" width="11.140625" style="259" customWidth="1"/>
    <col min="19" max="19" width="10.140625" style="259" customWidth="1"/>
    <col min="20" max="22" width="11.140625" style="258" customWidth="1"/>
    <col min="23" max="23" width="10.140625" style="258" customWidth="1"/>
    <col min="24" max="25" width="11.140625" style="258" customWidth="1"/>
    <col min="26" max="26" width="10.140625" style="258" customWidth="1"/>
    <col min="27" max="16384" width="11.42578125" style="258"/>
  </cols>
  <sheetData>
    <row r="2" spans="1:26" x14ac:dyDescent="0.25">
      <c r="S2" s="260"/>
      <c r="T2" s="260"/>
    </row>
    <row r="3" spans="1:26" x14ac:dyDescent="0.25">
      <c r="A3" s="266"/>
      <c r="B3" s="267"/>
      <c r="C3" s="268"/>
      <c r="D3" s="269"/>
      <c r="E3" s="269"/>
      <c r="F3" s="269"/>
      <c r="G3" s="269"/>
      <c r="H3" s="269"/>
      <c r="I3" s="269"/>
      <c r="J3" s="293"/>
      <c r="K3" s="269"/>
      <c r="L3" s="269"/>
      <c r="M3" s="269"/>
      <c r="N3" s="269"/>
      <c r="O3" s="293"/>
      <c r="P3" s="269"/>
      <c r="Q3" s="269"/>
      <c r="R3" s="293"/>
      <c r="S3" s="270"/>
      <c r="T3" s="15"/>
      <c r="U3" s="15"/>
      <c r="V3" s="15"/>
      <c r="W3" s="15"/>
      <c r="X3" s="15"/>
      <c r="Y3" s="15"/>
      <c r="Z3" s="15"/>
    </row>
    <row r="4" spans="1:26" x14ac:dyDescent="0.25">
      <c r="A4" s="266"/>
      <c r="B4" s="267"/>
      <c r="C4" s="268"/>
      <c r="D4" s="271"/>
      <c r="E4" s="271"/>
      <c r="F4" s="271"/>
      <c r="G4" s="271"/>
      <c r="H4" s="271"/>
      <c r="I4" s="271"/>
      <c r="J4" s="273"/>
      <c r="K4" s="268"/>
      <c r="L4" s="290"/>
      <c r="M4" s="271"/>
      <c r="N4" s="271"/>
      <c r="O4" s="273"/>
      <c r="P4" s="268"/>
      <c r="Q4" s="290"/>
      <c r="R4" s="273"/>
      <c r="S4" s="272"/>
      <c r="T4" s="15"/>
      <c r="U4" s="15"/>
      <c r="V4" s="15"/>
      <c r="W4" s="15"/>
      <c r="X4" s="15"/>
      <c r="Y4" s="15"/>
      <c r="Z4" s="15"/>
    </row>
    <row r="5" spans="1:26" x14ac:dyDescent="0.25">
      <c r="A5" s="283"/>
      <c r="B5" s="284"/>
      <c r="C5" s="266"/>
      <c r="D5" s="292"/>
      <c r="E5" s="292"/>
      <c r="F5" s="292"/>
      <c r="G5" s="292"/>
      <c r="H5" s="292"/>
      <c r="I5" s="292"/>
      <c r="J5" s="292"/>
      <c r="K5" s="164"/>
      <c r="L5" s="291"/>
      <c r="M5" s="287"/>
      <c r="N5" s="287"/>
      <c r="O5" s="287"/>
      <c r="P5" s="285"/>
      <c r="Q5" s="291"/>
      <c r="R5" s="287"/>
      <c r="S5" s="286"/>
      <c r="T5" s="15"/>
      <c r="U5" s="15"/>
      <c r="V5" s="15"/>
      <c r="W5" s="15"/>
      <c r="X5" s="15"/>
      <c r="Y5" s="15"/>
      <c r="Z5" s="15"/>
    </row>
    <row r="6" spans="1:26" s="261" customFormat="1" x14ac:dyDescent="0.25">
      <c r="A6" s="280"/>
      <c r="B6" s="275"/>
      <c r="C6" s="275"/>
      <c r="D6" s="275"/>
      <c r="E6" s="275"/>
      <c r="F6" s="275"/>
      <c r="G6" s="275"/>
      <c r="H6" s="275"/>
      <c r="I6" s="275"/>
      <c r="J6" s="275"/>
      <c r="K6" s="274"/>
      <c r="L6" s="288"/>
      <c r="M6" s="275"/>
      <c r="N6" s="275"/>
      <c r="O6" s="275"/>
      <c r="P6" s="274"/>
      <c r="Q6" s="288"/>
      <c r="R6" s="275"/>
      <c r="S6" s="276"/>
      <c r="T6" s="15"/>
      <c r="U6" s="15"/>
      <c r="V6" s="15"/>
      <c r="W6" s="15"/>
      <c r="X6" s="15"/>
      <c r="Y6" s="15"/>
      <c r="Z6" s="15"/>
    </row>
    <row r="7" spans="1:26" s="261" customFormat="1" x14ac:dyDescent="0.25">
      <c r="A7" s="281"/>
      <c r="B7" s="278"/>
      <c r="C7" s="278"/>
      <c r="D7" s="278"/>
      <c r="E7" s="278"/>
      <c r="F7" s="278"/>
      <c r="G7" s="278"/>
      <c r="H7" s="278"/>
      <c r="I7" s="278"/>
      <c r="J7" s="278"/>
      <c r="K7" s="277"/>
      <c r="L7" s="289"/>
      <c r="M7" s="278"/>
      <c r="N7" s="278"/>
      <c r="O7" s="278"/>
      <c r="P7" s="277"/>
      <c r="Q7" s="289"/>
      <c r="R7" s="278"/>
      <c r="S7" s="279"/>
      <c r="T7" s="15"/>
      <c r="U7" s="15"/>
      <c r="V7" s="15"/>
      <c r="W7" s="15"/>
      <c r="X7" s="15"/>
      <c r="Y7" s="15"/>
      <c r="Z7" s="15"/>
    </row>
    <row r="8" spans="1:26" s="261" customFormat="1" x14ac:dyDescent="0.25">
      <c r="A8" s="281"/>
      <c r="B8" s="275"/>
      <c r="C8" s="275"/>
      <c r="D8" s="275"/>
      <c r="E8" s="275"/>
      <c r="F8" s="275"/>
      <c r="G8" s="275"/>
      <c r="H8" s="275"/>
      <c r="I8" s="275"/>
      <c r="J8" s="275"/>
      <c r="K8" s="274"/>
      <c r="L8" s="288"/>
      <c r="M8" s="275"/>
      <c r="N8" s="275"/>
      <c r="O8" s="275"/>
      <c r="P8" s="274"/>
      <c r="Q8" s="288"/>
      <c r="R8" s="275"/>
      <c r="S8" s="276"/>
      <c r="T8" s="15"/>
      <c r="U8" s="15"/>
      <c r="V8" s="15"/>
      <c r="W8" s="15"/>
      <c r="X8" s="15"/>
      <c r="Y8" s="15"/>
      <c r="Z8" s="15"/>
    </row>
    <row r="9" spans="1:26" s="261" customFormat="1" x14ac:dyDescent="0.25">
      <c r="A9" s="281"/>
      <c r="B9" s="278"/>
      <c r="C9" s="278"/>
      <c r="D9" s="278"/>
      <c r="E9" s="278"/>
      <c r="F9" s="278"/>
      <c r="G9" s="278"/>
      <c r="H9" s="278"/>
      <c r="I9" s="278"/>
      <c r="J9" s="278"/>
      <c r="K9" s="277"/>
      <c r="L9" s="289"/>
      <c r="M9" s="278"/>
      <c r="N9" s="278"/>
      <c r="O9" s="278"/>
      <c r="P9" s="277"/>
      <c r="Q9" s="289"/>
      <c r="R9" s="278"/>
      <c r="S9" s="279"/>
      <c r="T9" s="15"/>
      <c r="U9" s="15"/>
      <c r="V9" s="15"/>
      <c r="W9" s="15"/>
      <c r="X9" s="15"/>
      <c r="Y9" s="15"/>
      <c r="Z9" s="15"/>
    </row>
    <row r="10" spans="1:26" s="261" customFormat="1" x14ac:dyDescent="0.25">
      <c r="A10" s="281"/>
      <c r="B10" s="275"/>
      <c r="C10" s="275"/>
      <c r="D10" s="275"/>
      <c r="E10" s="275"/>
      <c r="F10" s="275"/>
      <c r="G10" s="275"/>
      <c r="H10" s="275"/>
      <c r="I10" s="275"/>
      <c r="J10" s="275"/>
      <c r="K10" s="274"/>
      <c r="L10" s="288"/>
      <c r="M10" s="275"/>
      <c r="N10" s="275"/>
      <c r="O10" s="275"/>
      <c r="P10" s="274"/>
      <c r="Q10" s="288"/>
      <c r="R10" s="275"/>
      <c r="S10" s="276"/>
      <c r="T10" s="15"/>
      <c r="U10" s="15"/>
      <c r="V10" s="15"/>
      <c r="W10" s="15"/>
      <c r="X10" s="15"/>
      <c r="Y10" s="15"/>
      <c r="Z10" s="15"/>
    </row>
    <row r="11" spans="1:26" s="261" customFormat="1" x14ac:dyDescent="0.25">
      <c r="A11" s="281"/>
      <c r="B11" s="278"/>
      <c r="C11" s="278"/>
      <c r="D11" s="278"/>
      <c r="E11" s="278"/>
      <c r="F11" s="278"/>
      <c r="G11" s="278"/>
      <c r="H11" s="278"/>
      <c r="I11" s="278"/>
      <c r="J11" s="278"/>
      <c r="K11" s="277"/>
      <c r="L11" s="289"/>
      <c r="M11" s="278"/>
      <c r="N11" s="278"/>
      <c r="O11" s="278"/>
      <c r="P11" s="277"/>
      <c r="Q11" s="289"/>
      <c r="R11" s="278"/>
      <c r="S11" s="279"/>
      <c r="T11" s="15"/>
      <c r="U11" s="15"/>
      <c r="V11" s="15"/>
      <c r="W11" s="15"/>
      <c r="X11" s="15"/>
      <c r="Y11" s="15"/>
      <c r="Z11" s="15"/>
    </row>
    <row r="12" spans="1:26" s="261" customFormat="1" x14ac:dyDescent="0.25">
      <c r="A12" s="281"/>
      <c r="B12" s="275"/>
      <c r="C12" s="275"/>
      <c r="D12" s="275"/>
      <c r="E12" s="275"/>
      <c r="F12" s="275"/>
      <c r="G12" s="275"/>
      <c r="H12" s="275"/>
      <c r="I12" s="275"/>
      <c r="J12" s="275"/>
      <c r="K12" s="274"/>
      <c r="L12" s="288"/>
      <c r="M12" s="275"/>
      <c r="N12" s="275"/>
      <c r="O12" s="275"/>
      <c r="P12" s="274"/>
      <c r="Q12" s="288"/>
      <c r="R12" s="275"/>
      <c r="S12" s="276"/>
      <c r="T12" s="15"/>
      <c r="U12" s="15"/>
      <c r="V12" s="15"/>
      <c r="W12" s="15"/>
      <c r="X12" s="15"/>
      <c r="Y12" s="15"/>
      <c r="Z12" s="15"/>
    </row>
    <row r="13" spans="1:26" s="261" customFormat="1" x14ac:dyDescent="0.25">
      <c r="A13" s="282"/>
      <c r="B13" s="278"/>
      <c r="C13" s="278"/>
      <c r="D13" s="278"/>
      <c r="E13" s="278"/>
      <c r="F13" s="278"/>
      <c r="G13" s="278"/>
      <c r="H13" s="278"/>
      <c r="I13" s="278"/>
      <c r="J13" s="278"/>
      <c r="K13" s="277"/>
      <c r="L13" s="289"/>
      <c r="M13" s="278"/>
      <c r="N13" s="278"/>
      <c r="O13" s="278"/>
      <c r="P13" s="277"/>
      <c r="Q13" s="289"/>
      <c r="R13" s="278"/>
      <c r="S13" s="279"/>
      <c r="T13" s="15"/>
      <c r="U13" s="15"/>
      <c r="V13" s="15"/>
      <c r="W13" s="15"/>
      <c r="X13" s="15"/>
      <c r="Y13" s="15"/>
      <c r="Z13" s="15"/>
    </row>
    <row r="14" spans="1:26" s="261" customFormat="1" x14ac:dyDescent="0.25">
      <c r="A14" s="280"/>
      <c r="B14" s="275"/>
      <c r="C14" s="275"/>
      <c r="D14" s="275"/>
      <c r="E14" s="275"/>
      <c r="F14" s="275"/>
      <c r="G14" s="275"/>
      <c r="H14" s="275"/>
      <c r="I14" s="275"/>
      <c r="J14" s="275"/>
      <c r="K14" s="288"/>
      <c r="L14" s="275"/>
      <c r="M14" s="275"/>
      <c r="N14" s="275"/>
      <c r="O14" s="275"/>
      <c r="P14" s="288"/>
      <c r="Q14" s="275"/>
      <c r="R14" s="294"/>
      <c r="S14" s="276"/>
      <c r="T14" s="15"/>
      <c r="U14" s="15"/>
      <c r="V14" s="15"/>
      <c r="W14" s="15"/>
      <c r="X14" s="15"/>
      <c r="Y14" s="15"/>
      <c r="Z14" s="15"/>
    </row>
    <row r="15" spans="1:26" s="261" customFormat="1" x14ac:dyDescent="0.25">
      <c r="A15" s="281"/>
      <c r="B15" s="278"/>
      <c r="C15" s="278"/>
      <c r="D15" s="278"/>
      <c r="E15" s="278"/>
      <c r="F15" s="278"/>
      <c r="G15" s="278"/>
      <c r="H15" s="278"/>
      <c r="I15" s="278"/>
      <c r="J15" s="278"/>
      <c r="K15" s="289"/>
      <c r="L15" s="278"/>
      <c r="M15" s="278"/>
      <c r="N15" s="278"/>
      <c r="O15" s="278"/>
      <c r="P15" s="289"/>
      <c r="Q15" s="278"/>
      <c r="R15" s="295"/>
      <c r="S15" s="279"/>
      <c r="T15" s="15"/>
      <c r="U15" s="15"/>
      <c r="V15" s="15"/>
      <c r="W15" s="15"/>
      <c r="X15" s="15"/>
      <c r="Y15" s="15"/>
      <c r="Z15" s="15"/>
    </row>
    <row r="16" spans="1:26" s="261" customFormat="1" x14ac:dyDescent="0.25">
      <c r="A16" s="281"/>
      <c r="B16" s="275"/>
      <c r="C16" s="275"/>
      <c r="D16" s="275"/>
      <c r="E16" s="275"/>
      <c r="F16" s="275"/>
      <c r="G16" s="275"/>
      <c r="H16" s="275"/>
      <c r="I16" s="275"/>
      <c r="J16" s="275"/>
      <c r="K16" s="288"/>
      <c r="L16" s="275"/>
      <c r="M16" s="275"/>
      <c r="N16" s="275"/>
      <c r="O16" s="275"/>
      <c r="P16" s="288"/>
      <c r="Q16" s="275"/>
      <c r="R16" s="294"/>
      <c r="S16" s="276"/>
      <c r="T16" s="15"/>
      <c r="U16" s="15"/>
      <c r="V16" s="15"/>
      <c r="W16" s="15"/>
      <c r="X16" s="15"/>
      <c r="Y16" s="15"/>
      <c r="Z16" s="15"/>
    </row>
    <row r="17" spans="1:26" s="261" customFormat="1" x14ac:dyDescent="0.25">
      <c r="A17" s="281"/>
      <c r="B17" s="278"/>
      <c r="C17" s="278"/>
      <c r="D17" s="278"/>
      <c r="E17" s="278"/>
      <c r="F17" s="278"/>
      <c r="G17" s="278"/>
      <c r="H17" s="278"/>
      <c r="I17" s="278"/>
      <c r="J17" s="278"/>
      <c r="K17" s="289"/>
      <c r="L17" s="278"/>
      <c r="M17" s="278"/>
      <c r="N17" s="278"/>
      <c r="O17" s="278"/>
      <c r="P17" s="289"/>
      <c r="Q17" s="278"/>
      <c r="R17" s="295"/>
      <c r="S17" s="279"/>
      <c r="T17" s="15"/>
      <c r="U17" s="15"/>
      <c r="V17" s="15"/>
      <c r="W17" s="15"/>
      <c r="X17" s="15"/>
      <c r="Y17" s="15"/>
      <c r="Z17" s="15"/>
    </row>
    <row r="18" spans="1:26" s="261" customFormat="1" x14ac:dyDescent="0.25">
      <c r="A18" s="281"/>
      <c r="B18" s="275"/>
      <c r="C18" s="275"/>
      <c r="D18" s="275"/>
      <c r="E18" s="275"/>
      <c r="F18" s="275"/>
      <c r="G18" s="275"/>
      <c r="H18" s="275"/>
      <c r="I18" s="275"/>
      <c r="J18" s="275"/>
      <c r="K18" s="288"/>
      <c r="L18" s="275"/>
      <c r="M18" s="275"/>
      <c r="N18" s="275"/>
      <c r="O18" s="275"/>
      <c r="P18" s="288"/>
      <c r="Q18" s="275"/>
      <c r="R18" s="294"/>
      <c r="S18" s="276"/>
      <c r="T18" s="15"/>
      <c r="U18" s="15"/>
      <c r="V18" s="15"/>
      <c r="W18" s="15"/>
      <c r="X18" s="15"/>
      <c r="Y18" s="15"/>
      <c r="Z18" s="15"/>
    </row>
    <row r="19" spans="1:26" s="261" customFormat="1" x14ac:dyDescent="0.25">
      <c r="A19" s="281"/>
      <c r="B19" s="278"/>
      <c r="C19" s="278"/>
      <c r="D19" s="278"/>
      <c r="E19" s="278"/>
      <c r="F19" s="278"/>
      <c r="G19" s="278"/>
      <c r="H19" s="278"/>
      <c r="I19" s="278"/>
      <c r="J19" s="278"/>
      <c r="K19" s="289"/>
      <c r="L19" s="278"/>
      <c r="M19" s="278"/>
      <c r="N19" s="278"/>
      <c r="O19" s="278"/>
      <c r="P19" s="289"/>
      <c r="Q19" s="278"/>
      <c r="R19" s="295"/>
      <c r="S19" s="279"/>
      <c r="T19" s="15"/>
      <c r="U19" s="15"/>
      <c r="V19" s="15"/>
      <c r="W19" s="15"/>
      <c r="X19" s="15"/>
      <c r="Y19" s="15"/>
      <c r="Z19" s="15"/>
    </row>
    <row r="20" spans="1:26" s="261" customFormat="1" x14ac:dyDescent="0.25">
      <c r="A20" s="281"/>
      <c r="B20" s="275"/>
      <c r="C20" s="275"/>
      <c r="D20" s="275"/>
      <c r="E20" s="275"/>
      <c r="F20" s="275"/>
      <c r="G20" s="275"/>
      <c r="H20" s="275"/>
      <c r="I20" s="275"/>
      <c r="J20" s="275"/>
      <c r="K20" s="288"/>
      <c r="L20" s="275"/>
      <c r="M20" s="275"/>
      <c r="N20" s="275"/>
      <c r="O20" s="275"/>
      <c r="P20" s="288"/>
      <c r="Q20" s="275"/>
      <c r="R20" s="294"/>
      <c r="S20" s="276"/>
      <c r="T20" s="15"/>
      <c r="U20" s="15"/>
      <c r="V20" s="15"/>
      <c r="W20" s="15"/>
      <c r="X20" s="15"/>
      <c r="Y20" s="15"/>
      <c r="Z20" s="15"/>
    </row>
    <row r="21" spans="1:26" s="261" customFormat="1" x14ac:dyDescent="0.25">
      <c r="A21" s="282"/>
      <c r="B21" s="278"/>
      <c r="C21" s="278"/>
      <c r="D21" s="278"/>
      <c r="E21" s="278"/>
      <c r="F21" s="278"/>
      <c r="G21" s="278"/>
      <c r="H21" s="278"/>
      <c r="I21" s="278"/>
      <c r="J21" s="278"/>
      <c r="K21" s="289"/>
      <c r="L21" s="278"/>
      <c r="M21" s="278"/>
      <c r="N21" s="278"/>
      <c r="O21" s="278"/>
      <c r="P21" s="289"/>
      <c r="Q21" s="278"/>
      <c r="R21" s="295"/>
      <c r="S21" s="279"/>
      <c r="T21" s="15"/>
      <c r="U21" s="15"/>
      <c r="V21" s="15"/>
      <c r="W21" s="15"/>
      <c r="X21" s="15"/>
      <c r="Y21" s="15"/>
      <c r="Z21" s="15"/>
    </row>
    <row r="22" spans="1:26" s="261" customFormat="1" x14ac:dyDescent="0.25">
      <c r="A22" s="280"/>
      <c r="B22" s="275"/>
      <c r="C22" s="275"/>
      <c r="D22" s="275"/>
      <c r="E22" s="275"/>
      <c r="F22" s="275"/>
      <c r="G22" s="275"/>
      <c r="H22" s="275"/>
      <c r="I22" s="275"/>
      <c r="J22" s="275"/>
      <c r="K22" s="288"/>
      <c r="L22" s="275"/>
      <c r="M22" s="275"/>
      <c r="N22" s="275"/>
      <c r="O22" s="275"/>
      <c r="P22" s="288"/>
      <c r="Q22" s="275"/>
      <c r="R22" s="294"/>
      <c r="S22" s="276"/>
      <c r="T22" s="15"/>
      <c r="U22" s="15"/>
      <c r="V22" s="15"/>
      <c r="W22" s="15"/>
      <c r="X22" s="15"/>
      <c r="Y22" s="15"/>
      <c r="Z22" s="15"/>
    </row>
    <row r="23" spans="1:26" s="261" customFormat="1" x14ac:dyDescent="0.25">
      <c r="A23" s="281"/>
      <c r="B23" s="278"/>
      <c r="C23" s="278"/>
      <c r="D23" s="278"/>
      <c r="E23" s="278"/>
      <c r="F23" s="278"/>
      <c r="G23" s="278"/>
      <c r="H23" s="278"/>
      <c r="I23" s="278"/>
      <c r="J23" s="278"/>
      <c r="K23" s="289"/>
      <c r="L23" s="278"/>
      <c r="M23" s="278"/>
      <c r="N23" s="278"/>
      <c r="O23" s="278"/>
      <c r="P23" s="289"/>
      <c r="Q23" s="278"/>
      <c r="R23" s="295"/>
      <c r="S23" s="279"/>
      <c r="T23" s="15"/>
      <c r="U23" s="15"/>
      <c r="V23" s="15"/>
      <c r="W23" s="15"/>
      <c r="X23" s="15"/>
      <c r="Y23" s="15"/>
      <c r="Z23" s="15"/>
    </row>
    <row r="24" spans="1:26" s="261" customFormat="1" x14ac:dyDescent="0.25">
      <c r="A24" s="281"/>
      <c r="B24" s="275"/>
      <c r="C24" s="275"/>
      <c r="D24" s="275"/>
      <c r="E24" s="275"/>
      <c r="F24" s="275"/>
      <c r="G24" s="275"/>
      <c r="H24" s="275"/>
      <c r="I24" s="275"/>
      <c r="J24" s="275"/>
      <c r="K24" s="288"/>
      <c r="L24" s="275"/>
      <c r="M24" s="275"/>
      <c r="N24" s="275"/>
      <c r="O24" s="275"/>
      <c r="P24" s="288"/>
      <c r="Q24" s="275"/>
      <c r="R24" s="294"/>
      <c r="S24" s="276"/>
      <c r="T24" s="15"/>
      <c r="U24" s="15"/>
      <c r="V24" s="15"/>
      <c r="W24" s="15"/>
      <c r="X24" s="15"/>
      <c r="Y24" s="15"/>
      <c r="Z24" s="15"/>
    </row>
    <row r="25" spans="1:26" s="261" customFormat="1" x14ac:dyDescent="0.25">
      <c r="A25" s="281"/>
      <c r="B25" s="278"/>
      <c r="C25" s="278"/>
      <c r="D25" s="278"/>
      <c r="E25" s="278"/>
      <c r="F25" s="278"/>
      <c r="G25" s="278"/>
      <c r="H25" s="278"/>
      <c r="I25" s="278"/>
      <c r="J25" s="278"/>
      <c r="K25" s="289"/>
      <c r="L25" s="278"/>
      <c r="M25" s="278"/>
      <c r="N25" s="278"/>
      <c r="O25" s="278"/>
      <c r="P25" s="289"/>
      <c r="Q25" s="278"/>
      <c r="R25" s="295"/>
      <c r="S25" s="279"/>
      <c r="T25" s="15"/>
      <c r="U25" s="15"/>
      <c r="V25" s="15"/>
      <c r="W25" s="15"/>
      <c r="X25" s="15"/>
      <c r="Y25" s="15"/>
      <c r="Z25" s="15"/>
    </row>
    <row r="26" spans="1:26" s="261" customFormat="1" x14ac:dyDescent="0.25">
      <c r="A26" s="281"/>
      <c r="B26" s="275"/>
      <c r="C26" s="275"/>
      <c r="D26" s="275"/>
      <c r="E26" s="275"/>
      <c r="F26" s="275"/>
      <c r="G26" s="275"/>
      <c r="H26" s="275"/>
      <c r="I26" s="275"/>
      <c r="J26" s="275"/>
      <c r="K26" s="288"/>
      <c r="L26" s="275"/>
      <c r="M26" s="275"/>
      <c r="N26" s="275"/>
      <c r="O26" s="275"/>
      <c r="P26" s="288"/>
      <c r="Q26" s="275"/>
      <c r="R26" s="294"/>
      <c r="S26" s="276"/>
      <c r="T26" s="15"/>
      <c r="U26" s="15"/>
      <c r="V26" s="15"/>
      <c r="W26" s="15"/>
      <c r="X26" s="15"/>
      <c r="Y26" s="15"/>
      <c r="Z26" s="15"/>
    </row>
    <row r="27" spans="1:26" s="261" customFormat="1" x14ac:dyDescent="0.25">
      <c r="A27" s="281"/>
      <c r="B27" s="278"/>
      <c r="C27" s="278"/>
      <c r="D27" s="278"/>
      <c r="E27" s="278"/>
      <c r="F27" s="278"/>
      <c r="G27" s="278"/>
      <c r="H27" s="278"/>
      <c r="I27" s="278"/>
      <c r="J27" s="278"/>
      <c r="K27" s="289"/>
      <c r="L27" s="278"/>
      <c r="M27" s="278"/>
      <c r="N27" s="278"/>
      <c r="O27" s="278"/>
      <c r="P27" s="289"/>
      <c r="Q27" s="278"/>
      <c r="R27" s="295"/>
      <c r="S27" s="279"/>
      <c r="T27" s="15"/>
      <c r="U27" s="15"/>
      <c r="V27" s="15"/>
      <c r="W27" s="15"/>
      <c r="X27" s="15"/>
      <c r="Y27" s="15"/>
      <c r="Z27" s="15"/>
    </row>
    <row r="28" spans="1:26" s="261" customFormat="1" x14ac:dyDescent="0.25">
      <c r="A28" s="281"/>
      <c r="B28" s="275"/>
      <c r="C28" s="275"/>
      <c r="D28" s="275"/>
      <c r="E28" s="275"/>
      <c r="F28" s="275"/>
      <c r="G28" s="275"/>
      <c r="H28" s="275"/>
      <c r="I28" s="275"/>
      <c r="J28" s="275"/>
      <c r="K28" s="288"/>
      <c r="L28" s="275"/>
      <c r="M28" s="275"/>
      <c r="N28" s="275"/>
      <c r="O28" s="275"/>
      <c r="P28" s="288"/>
      <c r="Q28" s="275"/>
      <c r="R28" s="294"/>
      <c r="S28" s="276"/>
      <c r="T28" s="15"/>
      <c r="U28" s="15"/>
      <c r="V28" s="15"/>
      <c r="W28" s="15"/>
      <c r="X28" s="15"/>
      <c r="Y28" s="15"/>
      <c r="Z28" s="15"/>
    </row>
    <row r="29" spans="1:26" s="261" customFormat="1" x14ac:dyDescent="0.25">
      <c r="A29" s="282"/>
      <c r="B29" s="278"/>
      <c r="C29" s="278"/>
      <c r="D29" s="278"/>
      <c r="E29" s="278"/>
      <c r="F29" s="278"/>
      <c r="G29" s="278"/>
      <c r="H29" s="278"/>
      <c r="I29" s="278"/>
      <c r="J29" s="278"/>
      <c r="K29" s="289"/>
      <c r="L29" s="278"/>
      <c r="M29" s="278"/>
      <c r="N29" s="278"/>
      <c r="O29" s="278"/>
      <c r="P29" s="289"/>
      <c r="Q29" s="278"/>
      <c r="R29" s="295"/>
      <c r="S29" s="279"/>
      <c r="T29" s="15"/>
      <c r="U29" s="15"/>
      <c r="V29" s="15"/>
      <c r="W29" s="15"/>
      <c r="X29" s="15"/>
      <c r="Y29" s="15"/>
      <c r="Z29" s="15"/>
    </row>
    <row r="30" spans="1:26" s="261" customFormat="1" x14ac:dyDescent="0.25">
      <c r="A30" s="280"/>
      <c r="B30" s="275"/>
      <c r="C30" s="275"/>
      <c r="D30" s="275"/>
      <c r="E30" s="275"/>
      <c r="F30" s="275"/>
      <c r="G30" s="275"/>
      <c r="H30" s="275"/>
      <c r="I30" s="275"/>
      <c r="J30" s="275"/>
      <c r="K30" s="288"/>
      <c r="L30" s="275"/>
      <c r="M30" s="275"/>
      <c r="N30" s="275"/>
      <c r="O30" s="275"/>
      <c r="P30" s="288"/>
      <c r="Q30" s="275"/>
      <c r="R30" s="294"/>
      <c r="S30" s="276"/>
      <c r="T30" s="15"/>
      <c r="U30" s="15"/>
      <c r="V30" s="15"/>
      <c r="W30" s="15"/>
      <c r="X30" s="15"/>
      <c r="Y30" s="15"/>
      <c r="Z30" s="15"/>
    </row>
    <row r="31" spans="1:26" s="261" customFormat="1" x14ac:dyDescent="0.25">
      <c r="A31" s="281"/>
      <c r="B31" s="278"/>
      <c r="C31" s="278"/>
      <c r="D31" s="278"/>
      <c r="E31" s="278"/>
      <c r="F31" s="278"/>
      <c r="G31" s="278"/>
      <c r="H31" s="278"/>
      <c r="I31" s="278"/>
      <c r="J31" s="278"/>
      <c r="K31" s="289"/>
      <c r="L31" s="278"/>
      <c r="M31" s="278"/>
      <c r="N31" s="278"/>
      <c r="O31" s="278"/>
      <c r="P31" s="289"/>
      <c r="Q31" s="278"/>
      <c r="R31" s="295"/>
      <c r="S31" s="279"/>
      <c r="T31" s="15"/>
      <c r="U31" s="15"/>
      <c r="V31" s="15"/>
      <c r="W31" s="15"/>
      <c r="X31" s="15"/>
      <c r="Y31" s="15"/>
      <c r="Z31" s="15"/>
    </row>
    <row r="32" spans="1:26" s="261" customFormat="1" x14ac:dyDescent="0.25">
      <c r="A32" s="281"/>
      <c r="B32" s="275"/>
      <c r="C32" s="275"/>
      <c r="D32" s="275"/>
      <c r="E32" s="275"/>
      <c r="F32" s="275"/>
      <c r="G32" s="275"/>
      <c r="H32" s="275"/>
      <c r="I32" s="275"/>
      <c r="J32" s="275"/>
      <c r="K32" s="288"/>
      <c r="L32" s="275"/>
      <c r="M32" s="275"/>
      <c r="N32" s="275"/>
      <c r="O32" s="275"/>
      <c r="P32" s="288"/>
      <c r="Q32" s="275"/>
      <c r="R32" s="294"/>
      <c r="S32" s="276"/>
      <c r="T32" s="15"/>
      <c r="U32" s="15"/>
      <c r="V32" s="15"/>
      <c r="W32" s="15"/>
      <c r="X32" s="15"/>
      <c r="Y32" s="15"/>
      <c r="Z32" s="15"/>
    </row>
    <row r="33" spans="1:26" s="261" customFormat="1" x14ac:dyDescent="0.25">
      <c r="A33" s="281"/>
      <c r="B33" s="278"/>
      <c r="C33" s="278"/>
      <c r="D33" s="278"/>
      <c r="E33" s="278"/>
      <c r="F33" s="278"/>
      <c r="G33" s="278"/>
      <c r="H33" s="278"/>
      <c r="I33" s="278"/>
      <c r="J33" s="278"/>
      <c r="K33" s="289"/>
      <c r="L33" s="278"/>
      <c r="M33" s="278"/>
      <c r="N33" s="278"/>
      <c r="O33" s="278"/>
      <c r="P33" s="289"/>
      <c r="Q33" s="278"/>
      <c r="R33" s="295"/>
      <c r="S33" s="279"/>
      <c r="T33" s="15"/>
      <c r="U33" s="15"/>
      <c r="V33" s="15"/>
      <c r="W33" s="15"/>
      <c r="X33" s="15"/>
      <c r="Y33" s="15"/>
      <c r="Z33" s="15"/>
    </row>
    <row r="34" spans="1:26" s="261" customFormat="1" x14ac:dyDescent="0.25">
      <c r="A34" s="281"/>
      <c r="B34" s="275"/>
      <c r="C34" s="275"/>
      <c r="D34" s="275"/>
      <c r="E34" s="275"/>
      <c r="F34" s="275"/>
      <c r="G34" s="275"/>
      <c r="H34" s="275"/>
      <c r="I34" s="275"/>
      <c r="J34" s="275"/>
      <c r="K34" s="288"/>
      <c r="L34" s="275"/>
      <c r="M34" s="275"/>
      <c r="N34" s="275"/>
      <c r="O34" s="275"/>
      <c r="P34" s="288"/>
      <c r="Q34" s="275"/>
      <c r="R34" s="294"/>
      <c r="S34" s="276"/>
      <c r="T34" s="15"/>
      <c r="U34" s="15"/>
      <c r="V34" s="15"/>
      <c r="W34" s="15"/>
      <c r="X34" s="15"/>
      <c r="Y34" s="15"/>
      <c r="Z34" s="15"/>
    </row>
    <row r="35" spans="1:26" s="261" customFormat="1" x14ac:dyDescent="0.25">
      <c r="A35" s="281"/>
      <c r="B35" s="278"/>
      <c r="C35" s="278"/>
      <c r="D35" s="278"/>
      <c r="E35" s="278"/>
      <c r="F35" s="278"/>
      <c r="G35" s="278"/>
      <c r="H35" s="278"/>
      <c r="I35" s="278"/>
      <c r="J35" s="278"/>
      <c r="K35" s="289"/>
      <c r="L35" s="278"/>
      <c r="M35" s="278"/>
      <c r="N35" s="278"/>
      <c r="O35" s="278"/>
      <c r="P35" s="289"/>
      <c r="Q35" s="278"/>
      <c r="R35" s="295"/>
      <c r="S35" s="279"/>
      <c r="T35" s="15"/>
      <c r="U35" s="15"/>
      <c r="V35" s="15"/>
      <c r="W35" s="15"/>
      <c r="X35" s="15"/>
      <c r="Y35" s="15"/>
      <c r="Z35" s="15"/>
    </row>
    <row r="36" spans="1:26" s="261" customFormat="1" x14ac:dyDescent="0.25">
      <c r="A36" s="281"/>
      <c r="B36" s="275"/>
      <c r="C36" s="275"/>
      <c r="D36" s="275"/>
      <c r="E36" s="275"/>
      <c r="F36" s="275"/>
      <c r="G36" s="275"/>
      <c r="H36" s="275"/>
      <c r="I36" s="275"/>
      <c r="J36" s="275"/>
      <c r="K36" s="288"/>
      <c r="L36" s="275"/>
      <c r="M36" s="275"/>
      <c r="N36" s="275"/>
      <c r="O36" s="275"/>
      <c r="P36" s="288"/>
      <c r="Q36" s="275"/>
      <c r="R36" s="294"/>
      <c r="S36" s="276"/>
      <c r="T36" s="15"/>
      <c r="U36" s="15"/>
      <c r="V36" s="15"/>
      <c r="W36" s="15"/>
      <c r="X36" s="15"/>
      <c r="Y36" s="15"/>
      <c r="Z36" s="15"/>
    </row>
    <row r="37" spans="1:26" s="261" customFormat="1" x14ac:dyDescent="0.25">
      <c r="A37" s="282"/>
      <c r="B37" s="278"/>
      <c r="C37" s="278"/>
      <c r="D37" s="278"/>
      <c r="E37" s="278"/>
      <c r="F37" s="278"/>
      <c r="G37" s="278"/>
      <c r="H37" s="278"/>
      <c r="I37" s="278"/>
      <c r="J37" s="278"/>
      <c r="K37" s="289"/>
      <c r="L37" s="278"/>
      <c r="M37" s="278"/>
      <c r="N37" s="278"/>
      <c r="O37" s="278"/>
      <c r="P37" s="289"/>
      <c r="Q37" s="278"/>
      <c r="R37" s="295"/>
      <c r="S37" s="279"/>
      <c r="T37" s="15"/>
      <c r="U37" s="15"/>
      <c r="V37" s="15"/>
      <c r="W37" s="15"/>
      <c r="X37" s="15"/>
      <c r="Y37" s="15"/>
      <c r="Z37" s="15"/>
    </row>
    <row r="38" spans="1:26" s="261" customFormat="1" x14ac:dyDescent="0.25">
      <c r="A38" s="280"/>
      <c r="B38" s="275"/>
      <c r="C38" s="275"/>
      <c r="D38" s="275"/>
      <c r="E38" s="275"/>
      <c r="F38" s="275"/>
      <c r="G38" s="275"/>
      <c r="H38" s="275"/>
      <c r="I38" s="275"/>
      <c r="J38" s="275"/>
      <c r="K38" s="288"/>
      <c r="L38" s="275"/>
      <c r="M38" s="275"/>
      <c r="N38" s="275"/>
      <c r="O38" s="275"/>
      <c r="P38" s="288"/>
      <c r="Q38" s="275"/>
      <c r="R38" s="294"/>
      <c r="S38" s="276"/>
      <c r="T38" s="15"/>
      <c r="U38" s="15"/>
      <c r="V38" s="15"/>
      <c r="W38" s="15"/>
      <c r="X38" s="15"/>
      <c r="Y38" s="15"/>
      <c r="Z38" s="15"/>
    </row>
    <row r="39" spans="1:26" s="261" customFormat="1" x14ac:dyDescent="0.25">
      <c r="A39" s="281"/>
      <c r="B39" s="278"/>
      <c r="C39" s="278"/>
      <c r="D39" s="278"/>
      <c r="E39" s="278"/>
      <c r="F39" s="278"/>
      <c r="G39" s="278"/>
      <c r="H39" s="278"/>
      <c r="I39" s="278"/>
      <c r="J39" s="278"/>
      <c r="K39" s="289"/>
      <c r="L39" s="278"/>
      <c r="M39" s="278"/>
      <c r="N39" s="278"/>
      <c r="O39" s="278"/>
      <c r="P39" s="289"/>
      <c r="Q39" s="278"/>
      <c r="R39" s="295"/>
      <c r="S39" s="279"/>
      <c r="T39" s="15"/>
      <c r="U39" s="15"/>
      <c r="V39" s="15"/>
      <c r="W39" s="15"/>
      <c r="X39" s="15"/>
      <c r="Y39" s="15"/>
      <c r="Z39" s="15"/>
    </row>
    <row r="40" spans="1:26" s="261" customFormat="1" x14ac:dyDescent="0.25">
      <c r="A40" s="281"/>
      <c r="B40" s="275"/>
      <c r="C40" s="275"/>
      <c r="D40" s="275"/>
      <c r="E40" s="275"/>
      <c r="F40" s="275"/>
      <c r="G40" s="275"/>
      <c r="H40" s="275"/>
      <c r="I40" s="275"/>
      <c r="J40" s="275"/>
      <c r="K40" s="288"/>
      <c r="L40" s="275"/>
      <c r="M40" s="275"/>
      <c r="N40" s="275"/>
      <c r="O40" s="275"/>
      <c r="P40" s="288"/>
      <c r="Q40" s="275"/>
      <c r="R40" s="294"/>
      <c r="S40" s="276"/>
      <c r="T40" s="15"/>
      <c r="U40" s="15"/>
      <c r="V40" s="15"/>
      <c r="W40" s="15"/>
      <c r="X40" s="15"/>
      <c r="Y40" s="15"/>
      <c r="Z40" s="15"/>
    </row>
    <row r="41" spans="1:26" s="261" customFormat="1" x14ac:dyDescent="0.25">
      <c r="A41" s="281"/>
      <c r="B41" s="278"/>
      <c r="C41" s="278"/>
      <c r="D41" s="278"/>
      <c r="E41" s="278"/>
      <c r="F41" s="278"/>
      <c r="G41" s="278"/>
      <c r="H41" s="278"/>
      <c r="I41" s="278"/>
      <c r="J41" s="278"/>
      <c r="K41" s="289"/>
      <c r="L41" s="278"/>
      <c r="M41" s="278"/>
      <c r="N41" s="278"/>
      <c r="O41" s="278"/>
      <c r="P41" s="289"/>
      <c r="Q41" s="278"/>
      <c r="R41" s="295"/>
      <c r="S41" s="279"/>
      <c r="T41" s="15"/>
      <c r="U41" s="15"/>
      <c r="V41" s="15"/>
      <c r="W41" s="15"/>
      <c r="X41" s="15"/>
      <c r="Y41" s="15"/>
      <c r="Z41" s="15"/>
    </row>
    <row r="42" spans="1:26" s="261" customFormat="1" x14ac:dyDescent="0.25">
      <c r="A42" s="281"/>
      <c r="B42" s="275"/>
      <c r="C42" s="275"/>
      <c r="D42" s="275"/>
      <c r="E42" s="275"/>
      <c r="F42" s="275"/>
      <c r="G42" s="275"/>
      <c r="H42" s="275"/>
      <c r="I42" s="275"/>
      <c r="J42" s="275"/>
      <c r="K42" s="288"/>
      <c r="L42" s="275"/>
      <c r="M42" s="275"/>
      <c r="N42" s="275"/>
      <c r="O42" s="275"/>
      <c r="P42" s="288"/>
      <c r="Q42" s="275"/>
      <c r="R42" s="294"/>
      <c r="S42" s="276"/>
      <c r="T42" s="15"/>
      <c r="U42" s="15"/>
      <c r="V42" s="15"/>
      <c r="W42" s="15"/>
      <c r="X42" s="15"/>
      <c r="Y42" s="15"/>
      <c r="Z42" s="15"/>
    </row>
    <row r="43" spans="1:26" s="261" customFormat="1" x14ac:dyDescent="0.25">
      <c r="A43" s="281"/>
      <c r="B43" s="278"/>
      <c r="C43" s="278"/>
      <c r="D43" s="278"/>
      <c r="E43" s="278"/>
      <c r="F43" s="278"/>
      <c r="G43" s="278"/>
      <c r="H43" s="278"/>
      <c r="I43" s="278"/>
      <c r="J43" s="278"/>
      <c r="K43" s="289"/>
      <c r="L43" s="278"/>
      <c r="M43" s="278"/>
      <c r="N43" s="278"/>
      <c r="O43" s="278"/>
      <c r="P43" s="289"/>
      <c r="Q43" s="278"/>
      <c r="R43" s="295"/>
      <c r="S43" s="279"/>
      <c r="T43" s="15"/>
      <c r="U43" s="15"/>
      <c r="V43" s="15"/>
      <c r="W43" s="15"/>
      <c r="X43" s="15"/>
      <c r="Y43" s="15"/>
      <c r="Z43" s="15"/>
    </row>
    <row r="44" spans="1:26" s="261" customFormat="1" x14ac:dyDescent="0.25">
      <c r="A44" s="281"/>
      <c r="B44" s="275"/>
      <c r="C44" s="275"/>
      <c r="D44" s="275"/>
      <c r="E44" s="275"/>
      <c r="F44" s="275"/>
      <c r="G44" s="275"/>
      <c r="H44" s="275"/>
      <c r="I44" s="275"/>
      <c r="J44" s="275"/>
      <c r="K44" s="288"/>
      <c r="L44" s="275"/>
      <c r="M44" s="275"/>
      <c r="N44" s="275"/>
      <c r="O44" s="275"/>
      <c r="P44" s="288"/>
      <c r="Q44" s="275"/>
      <c r="R44" s="294"/>
      <c r="S44" s="276"/>
      <c r="T44" s="15"/>
      <c r="U44" s="15"/>
      <c r="V44" s="15"/>
      <c r="W44" s="15"/>
      <c r="X44" s="15"/>
      <c r="Y44" s="15"/>
      <c r="Z44" s="15"/>
    </row>
    <row r="45" spans="1:26" s="261" customFormat="1" x14ac:dyDescent="0.25">
      <c r="A45" s="282"/>
      <c r="B45" s="278"/>
      <c r="C45" s="278"/>
      <c r="D45" s="278"/>
      <c r="E45" s="278"/>
      <c r="F45" s="278"/>
      <c r="G45" s="278"/>
      <c r="H45" s="278"/>
      <c r="I45" s="278"/>
      <c r="J45" s="278"/>
      <c r="K45" s="289"/>
      <c r="L45" s="278"/>
      <c r="M45" s="278"/>
      <c r="N45" s="278"/>
      <c r="O45" s="278"/>
      <c r="P45" s="289"/>
      <c r="Q45" s="278"/>
      <c r="R45" s="295"/>
      <c r="S45" s="279"/>
      <c r="T45" s="15"/>
      <c r="U45" s="15"/>
      <c r="V45" s="15"/>
      <c r="W45" s="15"/>
      <c r="X45" s="15"/>
      <c r="Y45" s="15"/>
      <c r="Z45" s="15"/>
    </row>
    <row r="46" spans="1:26" s="261" customFormat="1" x14ac:dyDescent="0.25">
      <c r="A46" s="280"/>
      <c r="B46" s="275"/>
      <c r="C46" s="275"/>
      <c r="D46" s="275"/>
      <c r="E46" s="275"/>
      <c r="F46" s="275"/>
      <c r="G46" s="275"/>
      <c r="H46" s="275"/>
      <c r="I46" s="275"/>
      <c r="J46" s="275"/>
      <c r="K46" s="288"/>
      <c r="L46" s="275"/>
      <c r="M46" s="275"/>
      <c r="N46" s="275"/>
      <c r="O46" s="275"/>
      <c r="P46" s="288"/>
      <c r="Q46" s="275"/>
      <c r="R46" s="294"/>
      <c r="S46" s="276"/>
      <c r="T46" s="15"/>
      <c r="U46" s="15"/>
      <c r="V46" s="15"/>
      <c r="W46" s="15"/>
      <c r="X46" s="15"/>
      <c r="Y46" s="15"/>
      <c r="Z46" s="15"/>
    </row>
    <row r="47" spans="1:26" s="261" customFormat="1" x14ac:dyDescent="0.25">
      <c r="A47" s="281"/>
      <c r="B47" s="278"/>
      <c r="C47" s="278"/>
      <c r="D47" s="278"/>
      <c r="E47" s="278"/>
      <c r="F47" s="278"/>
      <c r="G47" s="278"/>
      <c r="H47" s="278"/>
      <c r="I47" s="278"/>
      <c r="J47" s="278"/>
      <c r="K47" s="289"/>
      <c r="L47" s="278"/>
      <c r="M47" s="278"/>
      <c r="N47" s="278"/>
      <c r="O47" s="278"/>
      <c r="P47" s="289"/>
      <c r="Q47" s="278"/>
      <c r="R47" s="295"/>
      <c r="S47" s="279"/>
      <c r="T47" s="15"/>
      <c r="U47" s="15"/>
      <c r="V47" s="15"/>
      <c r="W47" s="15"/>
      <c r="X47" s="15"/>
      <c r="Y47" s="15"/>
      <c r="Z47" s="15"/>
    </row>
    <row r="48" spans="1:26" s="261" customFormat="1" x14ac:dyDescent="0.25">
      <c r="A48" s="281"/>
      <c r="B48" s="275"/>
      <c r="C48" s="275"/>
      <c r="D48" s="275"/>
      <c r="E48" s="275"/>
      <c r="F48" s="275"/>
      <c r="G48" s="275"/>
      <c r="H48" s="275"/>
      <c r="I48" s="275"/>
      <c r="J48" s="275"/>
      <c r="K48" s="288"/>
      <c r="L48" s="275"/>
      <c r="M48" s="275"/>
      <c r="N48" s="275"/>
      <c r="O48" s="275"/>
      <c r="P48" s="288"/>
      <c r="Q48" s="275"/>
      <c r="R48" s="294"/>
      <c r="S48" s="276"/>
      <c r="T48" s="15"/>
      <c r="U48" s="15"/>
      <c r="V48" s="15"/>
      <c r="W48" s="15"/>
      <c r="X48" s="15"/>
      <c r="Y48" s="15"/>
      <c r="Z48" s="15"/>
    </row>
    <row r="49" spans="1:26" s="261" customFormat="1" x14ac:dyDescent="0.25">
      <c r="A49" s="281"/>
      <c r="B49" s="278"/>
      <c r="C49" s="278"/>
      <c r="D49" s="278"/>
      <c r="E49" s="278"/>
      <c r="F49" s="278"/>
      <c r="G49" s="278"/>
      <c r="H49" s="278"/>
      <c r="I49" s="278"/>
      <c r="J49" s="278"/>
      <c r="K49" s="289"/>
      <c r="L49" s="278"/>
      <c r="M49" s="278"/>
      <c r="N49" s="278"/>
      <c r="O49" s="278"/>
      <c r="P49" s="289"/>
      <c r="Q49" s="278"/>
      <c r="R49" s="295"/>
      <c r="S49" s="279"/>
      <c r="T49" s="15"/>
      <c r="U49" s="15"/>
      <c r="V49" s="15"/>
      <c r="W49" s="15"/>
      <c r="X49" s="15"/>
      <c r="Y49" s="15"/>
      <c r="Z49" s="15"/>
    </row>
    <row r="50" spans="1:26" s="261" customFormat="1" x14ac:dyDescent="0.25">
      <c r="A50" s="281"/>
      <c r="B50" s="275"/>
      <c r="C50" s="275"/>
      <c r="D50" s="275"/>
      <c r="E50" s="275"/>
      <c r="F50" s="275"/>
      <c r="G50" s="275"/>
      <c r="H50" s="275"/>
      <c r="I50" s="275"/>
      <c r="J50" s="275"/>
      <c r="K50" s="288"/>
      <c r="L50" s="275"/>
      <c r="M50" s="275"/>
      <c r="N50" s="275"/>
      <c r="O50" s="275"/>
      <c r="P50" s="288"/>
      <c r="Q50" s="275"/>
      <c r="R50" s="294"/>
      <c r="S50" s="276"/>
      <c r="T50" s="15"/>
      <c r="U50" s="15"/>
      <c r="V50" s="15"/>
      <c r="W50" s="15"/>
      <c r="X50" s="15"/>
      <c r="Y50" s="15"/>
      <c r="Z50" s="15"/>
    </row>
    <row r="51" spans="1:26" s="261" customFormat="1" x14ac:dyDescent="0.25">
      <c r="A51" s="281"/>
      <c r="B51" s="278"/>
      <c r="C51" s="278"/>
      <c r="D51" s="278"/>
      <c r="E51" s="278"/>
      <c r="F51" s="278"/>
      <c r="G51" s="278"/>
      <c r="H51" s="278"/>
      <c r="I51" s="278"/>
      <c r="J51" s="278"/>
      <c r="K51" s="289"/>
      <c r="L51" s="278"/>
      <c r="M51" s="278"/>
      <c r="N51" s="278"/>
      <c r="O51" s="278"/>
      <c r="P51" s="289"/>
      <c r="Q51" s="278"/>
      <c r="R51" s="295"/>
      <c r="S51" s="279"/>
      <c r="T51" s="15"/>
      <c r="U51" s="15"/>
      <c r="V51" s="15"/>
      <c r="W51" s="15"/>
      <c r="X51" s="15"/>
      <c r="Y51" s="15"/>
      <c r="Z51" s="15"/>
    </row>
    <row r="52" spans="1:26" s="261" customFormat="1" x14ac:dyDescent="0.25">
      <c r="A52" s="281"/>
      <c r="B52" s="275"/>
      <c r="C52" s="275"/>
      <c r="D52" s="275"/>
      <c r="E52" s="275"/>
      <c r="F52" s="275"/>
      <c r="G52" s="275"/>
      <c r="H52" s="275"/>
      <c r="I52" s="275"/>
      <c r="J52" s="275"/>
      <c r="K52" s="288"/>
      <c r="L52" s="275"/>
      <c r="M52" s="275"/>
      <c r="N52" s="275"/>
      <c r="O52" s="275"/>
      <c r="P52" s="288"/>
      <c r="Q52" s="275"/>
      <c r="R52" s="294"/>
      <c r="S52" s="276"/>
      <c r="T52" s="15"/>
      <c r="U52" s="15"/>
      <c r="V52" s="15"/>
      <c r="W52" s="15"/>
      <c r="X52" s="15"/>
      <c r="Y52" s="15"/>
      <c r="Z52" s="15"/>
    </row>
    <row r="53" spans="1:26" s="261" customFormat="1" x14ac:dyDescent="0.25">
      <c r="A53" s="282"/>
      <c r="B53" s="278"/>
      <c r="C53" s="278"/>
      <c r="D53" s="278"/>
      <c r="E53" s="278"/>
      <c r="F53" s="278"/>
      <c r="G53" s="278"/>
      <c r="H53" s="278"/>
      <c r="I53" s="278"/>
      <c r="J53" s="278"/>
      <c r="K53" s="289"/>
      <c r="L53" s="278"/>
      <c r="M53" s="278"/>
      <c r="N53" s="278"/>
      <c r="O53" s="278"/>
      <c r="P53" s="289"/>
      <c r="Q53" s="278"/>
      <c r="R53" s="295"/>
      <c r="S53" s="279"/>
      <c r="T53" s="15"/>
      <c r="U53" s="15"/>
      <c r="V53" s="15"/>
      <c r="W53" s="15"/>
      <c r="X53" s="15"/>
      <c r="Y53" s="15"/>
      <c r="Z53" s="15"/>
    </row>
    <row r="54" spans="1:26" s="261" customFormat="1" x14ac:dyDescent="0.25">
      <c r="A54" s="280"/>
      <c r="B54" s="275"/>
      <c r="C54" s="275"/>
      <c r="D54" s="275"/>
      <c r="E54" s="275"/>
      <c r="F54" s="275"/>
      <c r="G54" s="275"/>
      <c r="H54" s="275"/>
      <c r="I54" s="275"/>
      <c r="J54" s="275"/>
      <c r="K54" s="288"/>
      <c r="L54" s="275"/>
      <c r="M54" s="275"/>
      <c r="N54" s="275"/>
      <c r="O54" s="275"/>
      <c r="P54" s="288"/>
      <c r="Q54" s="275"/>
      <c r="R54" s="294"/>
      <c r="S54" s="276"/>
      <c r="T54" s="15"/>
      <c r="U54" s="15"/>
      <c r="V54" s="15"/>
      <c r="W54" s="15"/>
      <c r="X54" s="15"/>
      <c r="Y54" s="15"/>
      <c r="Z54" s="15"/>
    </row>
    <row r="55" spans="1:26" s="261" customFormat="1" x14ac:dyDescent="0.25">
      <c r="A55" s="281"/>
      <c r="B55" s="278"/>
      <c r="C55" s="278"/>
      <c r="D55" s="278"/>
      <c r="E55" s="278"/>
      <c r="F55" s="278"/>
      <c r="G55" s="278"/>
      <c r="H55" s="278"/>
      <c r="I55" s="278"/>
      <c r="J55" s="278"/>
      <c r="K55" s="289"/>
      <c r="L55" s="278"/>
      <c r="M55" s="278"/>
      <c r="N55" s="278"/>
      <c r="O55" s="278"/>
      <c r="P55" s="289"/>
      <c r="Q55" s="278"/>
      <c r="R55" s="295"/>
      <c r="S55" s="279"/>
      <c r="T55" s="15"/>
      <c r="U55" s="15"/>
      <c r="V55" s="15"/>
      <c r="W55" s="15"/>
      <c r="X55" s="15"/>
      <c r="Y55" s="15"/>
      <c r="Z55" s="15"/>
    </row>
    <row r="56" spans="1:26" s="261" customFormat="1" x14ac:dyDescent="0.25">
      <c r="A56" s="281"/>
      <c r="B56" s="275"/>
      <c r="C56" s="275"/>
      <c r="D56" s="275"/>
      <c r="E56" s="275"/>
      <c r="F56" s="275"/>
      <c r="G56" s="275"/>
      <c r="H56" s="275"/>
      <c r="I56" s="275"/>
      <c r="J56" s="275"/>
      <c r="K56" s="288"/>
      <c r="L56" s="275"/>
      <c r="M56" s="275"/>
      <c r="N56" s="275"/>
      <c r="O56" s="275"/>
      <c r="P56" s="288"/>
      <c r="Q56" s="275"/>
      <c r="R56" s="294"/>
      <c r="S56" s="276"/>
      <c r="T56" s="15"/>
      <c r="U56" s="15"/>
      <c r="V56" s="15"/>
      <c r="W56" s="15"/>
      <c r="X56" s="15"/>
      <c r="Y56" s="15"/>
      <c r="Z56" s="15"/>
    </row>
    <row r="57" spans="1:26" s="261" customFormat="1" x14ac:dyDescent="0.25">
      <c r="A57" s="281"/>
      <c r="B57" s="278"/>
      <c r="C57" s="278"/>
      <c r="D57" s="278"/>
      <c r="E57" s="278"/>
      <c r="F57" s="278"/>
      <c r="G57" s="278"/>
      <c r="H57" s="278"/>
      <c r="I57" s="278"/>
      <c r="J57" s="278"/>
      <c r="K57" s="289"/>
      <c r="L57" s="278"/>
      <c r="M57" s="278"/>
      <c r="N57" s="278"/>
      <c r="O57" s="278"/>
      <c r="P57" s="289"/>
      <c r="Q57" s="278"/>
      <c r="R57" s="295"/>
      <c r="S57" s="279"/>
      <c r="T57" s="15"/>
      <c r="U57" s="15"/>
      <c r="V57" s="15"/>
      <c r="W57" s="15"/>
      <c r="X57" s="15"/>
      <c r="Y57" s="15"/>
      <c r="Z57" s="15"/>
    </row>
    <row r="58" spans="1:26" s="261" customFormat="1" x14ac:dyDescent="0.25">
      <c r="A58" s="281"/>
      <c r="B58" s="275"/>
      <c r="C58" s="275"/>
      <c r="D58" s="275"/>
      <c r="E58" s="275"/>
      <c r="F58" s="275"/>
      <c r="G58" s="275"/>
      <c r="H58" s="275"/>
      <c r="I58" s="275"/>
      <c r="J58" s="275"/>
      <c r="K58" s="288"/>
      <c r="L58" s="275"/>
      <c r="M58" s="275"/>
      <c r="N58" s="275"/>
      <c r="O58" s="275"/>
      <c r="P58" s="288"/>
      <c r="Q58" s="275"/>
      <c r="R58" s="294"/>
      <c r="S58" s="276"/>
      <c r="T58" s="15"/>
      <c r="U58" s="15"/>
      <c r="V58" s="15"/>
      <c r="W58" s="15"/>
      <c r="X58" s="15"/>
      <c r="Y58" s="15"/>
      <c r="Z58" s="15"/>
    </row>
    <row r="59" spans="1:26" s="261" customFormat="1" x14ac:dyDescent="0.25">
      <c r="A59" s="281"/>
      <c r="B59" s="278"/>
      <c r="C59" s="278"/>
      <c r="D59" s="278"/>
      <c r="E59" s="278"/>
      <c r="F59" s="278"/>
      <c r="G59" s="278"/>
      <c r="H59" s="278"/>
      <c r="I59" s="278"/>
      <c r="J59" s="278"/>
      <c r="K59" s="289"/>
      <c r="L59" s="278"/>
      <c r="M59" s="278"/>
      <c r="N59" s="278"/>
      <c r="O59" s="278"/>
      <c r="P59" s="289"/>
      <c r="Q59" s="278"/>
      <c r="R59" s="295"/>
      <c r="S59" s="279"/>
      <c r="T59" s="15"/>
      <c r="U59" s="15"/>
      <c r="V59" s="15"/>
      <c r="W59" s="15"/>
      <c r="X59" s="15"/>
      <c r="Y59" s="15"/>
      <c r="Z59" s="15"/>
    </row>
    <row r="60" spans="1:26" s="261" customFormat="1" x14ac:dyDescent="0.25">
      <c r="A60" s="281"/>
      <c r="B60" s="275"/>
      <c r="C60" s="275"/>
      <c r="D60" s="275"/>
      <c r="E60" s="275"/>
      <c r="F60" s="275"/>
      <c r="G60" s="275"/>
      <c r="H60" s="275"/>
      <c r="I60" s="275"/>
      <c r="J60" s="275"/>
      <c r="K60" s="288"/>
      <c r="L60" s="275"/>
      <c r="M60" s="275"/>
      <c r="N60" s="275"/>
      <c r="O60" s="275"/>
      <c r="P60" s="288"/>
      <c r="Q60" s="275"/>
      <c r="R60" s="294"/>
      <c r="S60" s="276"/>
      <c r="T60" s="15"/>
      <c r="U60" s="15"/>
      <c r="V60" s="15"/>
      <c r="W60" s="15"/>
      <c r="X60" s="15"/>
      <c r="Y60" s="15"/>
      <c r="Z60" s="15"/>
    </row>
    <row r="61" spans="1:26" s="261" customFormat="1" x14ac:dyDescent="0.25">
      <c r="A61" s="282"/>
      <c r="B61" s="278"/>
      <c r="C61" s="278"/>
      <c r="D61" s="278"/>
      <c r="E61" s="278"/>
      <c r="F61" s="278"/>
      <c r="G61" s="278"/>
      <c r="H61" s="278"/>
      <c r="I61" s="278"/>
      <c r="J61" s="278"/>
      <c r="K61" s="289"/>
      <c r="L61" s="278"/>
      <c r="M61" s="278"/>
      <c r="N61" s="278"/>
      <c r="O61" s="278"/>
      <c r="P61" s="289"/>
      <c r="Q61" s="278"/>
      <c r="R61" s="295"/>
      <c r="S61" s="279"/>
      <c r="T61" s="15"/>
      <c r="U61" s="15"/>
      <c r="V61" s="15"/>
      <c r="W61" s="15"/>
      <c r="X61" s="15"/>
      <c r="Y61" s="15"/>
      <c r="Z61" s="15"/>
    </row>
    <row r="62" spans="1:26" s="261" customFormat="1" x14ac:dyDescent="0.25">
      <c r="A62" s="280"/>
      <c r="B62" s="275"/>
      <c r="C62" s="275"/>
      <c r="D62" s="275"/>
      <c r="E62" s="275"/>
      <c r="F62" s="275"/>
      <c r="G62" s="275"/>
      <c r="H62" s="275"/>
      <c r="I62" s="275"/>
      <c r="J62" s="275"/>
      <c r="K62" s="288"/>
      <c r="L62" s="275"/>
      <c r="M62" s="275"/>
      <c r="N62" s="275"/>
      <c r="O62" s="275"/>
      <c r="P62" s="288"/>
      <c r="Q62" s="275"/>
      <c r="R62" s="294"/>
      <c r="S62" s="276"/>
      <c r="T62" s="15"/>
      <c r="U62" s="15"/>
      <c r="V62" s="15"/>
      <c r="W62" s="15"/>
      <c r="X62" s="15"/>
      <c r="Y62" s="15"/>
      <c r="Z62" s="15"/>
    </row>
    <row r="63" spans="1:26" s="261" customFormat="1" x14ac:dyDescent="0.25">
      <c r="A63" s="281"/>
      <c r="B63" s="278"/>
      <c r="C63" s="278"/>
      <c r="D63" s="278"/>
      <c r="E63" s="278"/>
      <c r="F63" s="278"/>
      <c r="G63" s="278"/>
      <c r="H63" s="278"/>
      <c r="I63" s="278"/>
      <c r="J63" s="278"/>
      <c r="K63" s="289"/>
      <c r="L63" s="278"/>
      <c r="M63" s="278"/>
      <c r="N63" s="278"/>
      <c r="O63" s="278"/>
      <c r="P63" s="289"/>
      <c r="Q63" s="278"/>
      <c r="R63" s="295"/>
      <c r="S63" s="279"/>
      <c r="T63" s="15"/>
      <c r="U63" s="15"/>
      <c r="V63" s="15"/>
      <c r="W63" s="15"/>
      <c r="X63" s="15"/>
      <c r="Y63" s="15"/>
      <c r="Z63" s="15"/>
    </row>
    <row r="64" spans="1:26" s="261" customFormat="1" x14ac:dyDescent="0.25">
      <c r="A64" s="281"/>
      <c r="B64" s="275"/>
      <c r="C64" s="275"/>
      <c r="D64" s="275"/>
      <c r="E64" s="275"/>
      <c r="F64" s="275"/>
      <c r="G64" s="275"/>
      <c r="H64" s="275"/>
      <c r="I64" s="275"/>
      <c r="J64" s="275"/>
      <c r="K64" s="288"/>
      <c r="L64" s="275"/>
      <c r="M64" s="275"/>
      <c r="N64" s="275"/>
      <c r="O64" s="275"/>
      <c r="P64" s="288"/>
      <c r="Q64" s="275"/>
      <c r="R64" s="294"/>
      <c r="S64" s="276"/>
      <c r="T64" s="15"/>
      <c r="U64" s="15"/>
      <c r="V64" s="15"/>
      <c r="W64" s="15"/>
      <c r="X64" s="15"/>
      <c r="Y64" s="15"/>
      <c r="Z64" s="15"/>
    </row>
    <row r="65" spans="1:26" s="261" customFormat="1" x14ac:dyDescent="0.25">
      <c r="A65" s="281"/>
      <c r="B65" s="278"/>
      <c r="C65" s="278"/>
      <c r="D65" s="278"/>
      <c r="E65" s="278"/>
      <c r="F65" s="278"/>
      <c r="G65" s="278"/>
      <c r="H65" s="278"/>
      <c r="I65" s="278"/>
      <c r="J65" s="278"/>
      <c r="K65" s="289"/>
      <c r="L65" s="278"/>
      <c r="M65" s="278"/>
      <c r="N65" s="278"/>
      <c r="O65" s="278"/>
      <c r="P65" s="289"/>
      <c r="Q65" s="278"/>
      <c r="R65" s="295"/>
      <c r="S65" s="279"/>
      <c r="T65" s="15"/>
      <c r="U65" s="15"/>
      <c r="V65" s="15"/>
      <c r="W65" s="15"/>
      <c r="X65" s="15"/>
      <c r="Y65" s="15"/>
      <c r="Z65" s="15"/>
    </row>
    <row r="66" spans="1:26" s="261" customFormat="1" x14ac:dyDescent="0.25">
      <c r="A66" s="281"/>
      <c r="B66" s="275"/>
      <c r="C66" s="275"/>
      <c r="D66" s="275"/>
      <c r="E66" s="275"/>
      <c r="F66" s="275"/>
      <c r="G66" s="275"/>
      <c r="H66" s="275"/>
      <c r="I66" s="275"/>
      <c r="J66" s="275"/>
      <c r="K66" s="288"/>
      <c r="L66" s="275"/>
      <c r="M66" s="275"/>
      <c r="N66" s="275"/>
      <c r="O66" s="275"/>
      <c r="P66" s="288"/>
      <c r="Q66" s="275"/>
      <c r="R66" s="294"/>
      <c r="S66" s="276"/>
      <c r="T66" s="15"/>
      <c r="U66" s="15"/>
      <c r="V66" s="15"/>
      <c r="W66" s="15"/>
      <c r="X66" s="15"/>
      <c r="Y66" s="15"/>
      <c r="Z66" s="15"/>
    </row>
    <row r="67" spans="1:26" s="261" customFormat="1" x14ac:dyDescent="0.25">
      <c r="A67" s="281"/>
      <c r="B67" s="278"/>
      <c r="C67" s="278"/>
      <c r="D67" s="278"/>
      <c r="E67" s="278"/>
      <c r="F67" s="278"/>
      <c r="G67" s="278"/>
      <c r="H67" s="278"/>
      <c r="I67" s="278"/>
      <c r="J67" s="278"/>
      <c r="K67" s="289"/>
      <c r="L67" s="278"/>
      <c r="M67" s="278"/>
      <c r="N67" s="278"/>
      <c r="O67" s="278"/>
      <c r="P67" s="289"/>
      <c r="Q67" s="278"/>
      <c r="R67" s="295"/>
      <c r="S67" s="279"/>
      <c r="T67" s="15"/>
      <c r="U67" s="15"/>
      <c r="V67" s="15"/>
      <c r="W67" s="15"/>
      <c r="X67" s="15"/>
      <c r="Y67" s="15"/>
      <c r="Z67" s="15"/>
    </row>
    <row r="68" spans="1:26" s="261" customFormat="1" x14ac:dyDescent="0.25">
      <c r="A68" s="281"/>
      <c r="B68" s="275"/>
      <c r="C68" s="275"/>
      <c r="D68" s="275"/>
      <c r="E68" s="275"/>
      <c r="F68" s="275"/>
      <c r="G68" s="275"/>
      <c r="H68" s="275"/>
      <c r="I68" s="275"/>
      <c r="J68" s="275"/>
      <c r="K68" s="288"/>
      <c r="L68" s="275"/>
      <c r="M68" s="275"/>
      <c r="N68" s="275"/>
      <c r="O68" s="275"/>
      <c r="P68" s="288"/>
      <c r="Q68" s="275"/>
      <c r="R68" s="294"/>
      <c r="S68" s="276"/>
      <c r="T68" s="15"/>
      <c r="U68" s="15"/>
      <c r="V68" s="15"/>
      <c r="W68" s="15"/>
      <c r="X68" s="15"/>
      <c r="Y68" s="15"/>
      <c r="Z68" s="15"/>
    </row>
    <row r="69" spans="1:26" s="261" customFormat="1" x14ac:dyDescent="0.25">
      <c r="A69" s="282"/>
      <c r="B69" s="278"/>
      <c r="C69" s="278"/>
      <c r="D69" s="278"/>
      <c r="E69" s="278"/>
      <c r="F69" s="278"/>
      <c r="G69" s="278"/>
      <c r="H69" s="278"/>
      <c r="I69" s="278"/>
      <c r="J69" s="278"/>
      <c r="K69" s="289"/>
      <c r="L69" s="278"/>
      <c r="M69" s="278"/>
      <c r="N69" s="278"/>
      <c r="O69" s="278"/>
      <c r="P69" s="289"/>
      <c r="Q69" s="278"/>
      <c r="R69" s="295"/>
      <c r="S69" s="279"/>
      <c r="T69" s="15"/>
      <c r="U69" s="15"/>
      <c r="V69" s="15"/>
      <c r="W69" s="15"/>
      <c r="X69" s="15"/>
      <c r="Y69" s="15"/>
      <c r="Z69" s="15"/>
    </row>
    <row r="70" spans="1:26" s="261" customFormat="1" x14ac:dyDescent="0.25">
      <c r="A70" s="280"/>
      <c r="B70" s="275"/>
      <c r="C70" s="275"/>
      <c r="D70" s="275"/>
      <c r="E70" s="275"/>
      <c r="F70" s="275"/>
      <c r="G70" s="275"/>
      <c r="H70" s="275"/>
      <c r="I70" s="275"/>
      <c r="J70" s="275"/>
      <c r="K70" s="288"/>
      <c r="L70" s="275"/>
      <c r="M70" s="275"/>
      <c r="N70" s="275"/>
      <c r="O70" s="275"/>
      <c r="P70" s="288"/>
      <c r="Q70" s="275"/>
      <c r="R70" s="294"/>
      <c r="S70" s="276"/>
      <c r="T70" s="15"/>
      <c r="U70" s="15"/>
      <c r="V70" s="15"/>
      <c r="W70" s="15"/>
      <c r="X70" s="15"/>
      <c r="Y70" s="15"/>
      <c r="Z70" s="15"/>
    </row>
    <row r="71" spans="1:26" s="261" customFormat="1" x14ac:dyDescent="0.25">
      <c r="A71" s="281"/>
      <c r="B71" s="278"/>
      <c r="C71" s="278"/>
      <c r="D71" s="278"/>
      <c r="E71" s="278"/>
      <c r="F71" s="278"/>
      <c r="G71" s="278"/>
      <c r="H71" s="278"/>
      <c r="I71" s="278"/>
      <c r="J71" s="278"/>
      <c r="K71" s="289"/>
      <c r="L71" s="278"/>
      <c r="M71" s="278"/>
      <c r="N71" s="278"/>
      <c r="O71" s="278"/>
      <c r="P71" s="289"/>
      <c r="Q71" s="278"/>
      <c r="R71" s="295"/>
      <c r="S71" s="279"/>
      <c r="T71" s="15"/>
      <c r="U71" s="15"/>
      <c r="V71" s="15"/>
      <c r="W71" s="15"/>
      <c r="X71" s="15"/>
      <c r="Y71" s="15"/>
      <c r="Z71" s="15"/>
    </row>
    <row r="72" spans="1:26" s="261" customFormat="1" x14ac:dyDescent="0.25">
      <c r="A72" s="281"/>
      <c r="B72" s="275"/>
      <c r="C72" s="275"/>
      <c r="D72" s="275"/>
      <c r="E72" s="275"/>
      <c r="F72" s="275"/>
      <c r="G72" s="275"/>
      <c r="H72" s="275"/>
      <c r="I72" s="275"/>
      <c r="J72" s="275"/>
      <c r="K72" s="288"/>
      <c r="L72" s="275"/>
      <c r="M72" s="275"/>
      <c r="N72" s="275"/>
      <c r="O72" s="275"/>
      <c r="P72" s="288"/>
      <c r="Q72" s="275"/>
      <c r="R72" s="294"/>
      <c r="S72" s="276"/>
      <c r="T72" s="15"/>
      <c r="U72" s="15"/>
      <c r="V72" s="15"/>
      <c r="W72" s="15"/>
      <c r="X72" s="15"/>
      <c r="Y72" s="15"/>
      <c r="Z72" s="15"/>
    </row>
    <row r="73" spans="1:26" s="261" customFormat="1" x14ac:dyDescent="0.25">
      <c r="A73" s="281"/>
      <c r="B73" s="278"/>
      <c r="C73" s="278"/>
      <c r="D73" s="278"/>
      <c r="E73" s="278"/>
      <c r="F73" s="278"/>
      <c r="G73" s="278"/>
      <c r="H73" s="278"/>
      <c r="I73" s="278"/>
      <c r="J73" s="278"/>
      <c r="K73" s="289"/>
      <c r="L73" s="278"/>
      <c r="M73" s="278"/>
      <c r="N73" s="278"/>
      <c r="O73" s="278"/>
      <c r="P73" s="289"/>
      <c r="Q73" s="278"/>
      <c r="R73" s="295"/>
      <c r="S73" s="279"/>
      <c r="T73" s="15"/>
      <c r="U73" s="15"/>
      <c r="V73" s="15"/>
      <c r="W73" s="15"/>
      <c r="X73" s="15"/>
      <c r="Y73" s="15"/>
      <c r="Z73" s="15"/>
    </row>
    <row r="74" spans="1:26" s="261" customFormat="1" x14ac:dyDescent="0.25">
      <c r="A74" s="281"/>
      <c r="B74" s="275"/>
      <c r="C74" s="275"/>
      <c r="D74" s="275"/>
      <c r="E74" s="275"/>
      <c r="F74" s="275"/>
      <c r="G74" s="275"/>
      <c r="H74" s="275"/>
      <c r="I74" s="275"/>
      <c r="J74" s="275"/>
      <c r="K74" s="288"/>
      <c r="L74" s="275"/>
      <c r="M74" s="275"/>
      <c r="N74" s="275"/>
      <c r="O74" s="275"/>
      <c r="P74" s="288"/>
      <c r="Q74" s="275"/>
      <c r="R74" s="294"/>
      <c r="S74" s="276"/>
      <c r="T74" s="15"/>
      <c r="U74" s="15"/>
      <c r="V74" s="15"/>
      <c r="W74" s="15"/>
      <c r="X74" s="15"/>
      <c r="Y74" s="15"/>
      <c r="Z74" s="15"/>
    </row>
    <row r="75" spans="1:26" s="261" customFormat="1" x14ac:dyDescent="0.25">
      <c r="A75" s="281"/>
      <c r="B75" s="278"/>
      <c r="C75" s="278"/>
      <c r="D75" s="278"/>
      <c r="E75" s="278"/>
      <c r="F75" s="278"/>
      <c r="G75" s="278"/>
      <c r="H75" s="278"/>
      <c r="I75" s="278"/>
      <c r="J75" s="278"/>
      <c r="K75" s="289"/>
      <c r="L75" s="278"/>
      <c r="M75" s="278"/>
      <c r="N75" s="278"/>
      <c r="O75" s="278"/>
      <c r="P75" s="289"/>
      <c r="Q75" s="278"/>
      <c r="R75" s="295"/>
      <c r="S75" s="279"/>
      <c r="T75" s="15"/>
      <c r="U75" s="15"/>
      <c r="V75" s="15"/>
      <c r="W75" s="15"/>
      <c r="X75" s="15"/>
      <c r="Y75" s="15"/>
      <c r="Z75" s="15"/>
    </row>
    <row r="76" spans="1:26" s="261" customFormat="1" x14ac:dyDescent="0.25">
      <c r="A76" s="281"/>
      <c r="B76" s="275"/>
      <c r="C76" s="275"/>
      <c r="D76" s="275"/>
      <c r="E76" s="275"/>
      <c r="F76" s="275"/>
      <c r="G76" s="275"/>
      <c r="H76" s="275"/>
      <c r="I76" s="275"/>
      <c r="J76" s="275"/>
      <c r="K76" s="288"/>
      <c r="L76" s="275"/>
      <c r="M76" s="275"/>
      <c r="N76" s="275"/>
      <c r="O76" s="275"/>
      <c r="P76" s="288"/>
      <c r="Q76" s="275"/>
      <c r="R76" s="294"/>
      <c r="S76" s="276"/>
      <c r="T76" s="15"/>
      <c r="U76" s="15"/>
      <c r="V76" s="15"/>
      <c r="W76" s="15"/>
      <c r="X76" s="15"/>
      <c r="Y76" s="15"/>
      <c r="Z76" s="15"/>
    </row>
    <row r="77" spans="1:26" s="261" customFormat="1" x14ac:dyDescent="0.25">
      <c r="A77" s="282"/>
      <c r="B77" s="278"/>
      <c r="C77" s="278"/>
      <c r="D77" s="278"/>
      <c r="E77" s="278"/>
      <c r="F77" s="278"/>
      <c r="G77" s="278"/>
      <c r="H77" s="278"/>
      <c r="I77" s="278"/>
      <c r="J77" s="278"/>
      <c r="K77" s="289"/>
      <c r="L77" s="278"/>
      <c r="M77" s="278"/>
      <c r="N77" s="278"/>
      <c r="O77" s="278"/>
      <c r="P77" s="289"/>
      <c r="Q77" s="278"/>
      <c r="R77" s="295"/>
      <c r="S77" s="279"/>
      <c r="T77" s="15"/>
      <c r="U77" s="15"/>
      <c r="V77" s="15"/>
      <c r="W77" s="15"/>
      <c r="X77" s="15"/>
      <c r="Y77" s="15"/>
      <c r="Z77" s="15"/>
    </row>
    <row r="78" spans="1:26" s="261" customFormat="1" x14ac:dyDescent="0.25">
      <c r="A78" s="280"/>
      <c r="B78" s="275"/>
      <c r="C78" s="275"/>
      <c r="D78" s="275"/>
      <c r="E78" s="275"/>
      <c r="F78" s="275"/>
      <c r="G78" s="275"/>
      <c r="H78" s="275"/>
      <c r="I78" s="275"/>
      <c r="J78" s="275"/>
      <c r="K78" s="288"/>
      <c r="L78" s="275"/>
      <c r="M78" s="275"/>
      <c r="N78" s="275"/>
      <c r="O78" s="275"/>
      <c r="P78" s="288"/>
      <c r="Q78" s="275"/>
      <c r="R78" s="294"/>
      <c r="S78" s="276"/>
      <c r="T78" s="15"/>
      <c r="U78" s="15"/>
      <c r="V78" s="15"/>
      <c r="W78" s="15"/>
      <c r="X78" s="15"/>
      <c r="Y78" s="15"/>
      <c r="Z78" s="15"/>
    </row>
    <row r="79" spans="1:26" s="261" customFormat="1" x14ac:dyDescent="0.25">
      <c r="A79" s="281"/>
      <c r="B79" s="278"/>
      <c r="C79" s="278"/>
      <c r="D79" s="278"/>
      <c r="E79" s="278"/>
      <c r="F79" s="278"/>
      <c r="G79" s="278"/>
      <c r="H79" s="278"/>
      <c r="I79" s="278"/>
      <c r="J79" s="278"/>
      <c r="K79" s="289"/>
      <c r="L79" s="278"/>
      <c r="M79" s="278"/>
      <c r="N79" s="278"/>
      <c r="O79" s="278"/>
      <c r="P79" s="289"/>
      <c r="Q79" s="278"/>
      <c r="R79" s="295"/>
      <c r="S79" s="279"/>
      <c r="T79" s="15"/>
      <c r="U79" s="15"/>
      <c r="V79" s="15"/>
      <c r="W79" s="15"/>
      <c r="X79" s="15"/>
      <c r="Y79" s="15"/>
      <c r="Z79" s="15"/>
    </row>
    <row r="80" spans="1:26" s="261" customFormat="1" x14ac:dyDescent="0.25">
      <c r="A80" s="281"/>
      <c r="B80" s="275"/>
      <c r="C80" s="275"/>
      <c r="D80" s="275"/>
      <c r="E80" s="275"/>
      <c r="F80" s="275"/>
      <c r="G80" s="275"/>
      <c r="H80" s="275"/>
      <c r="I80" s="275"/>
      <c r="J80" s="275"/>
      <c r="K80" s="288"/>
      <c r="L80" s="275"/>
      <c r="M80" s="275"/>
      <c r="N80" s="275"/>
      <c r="O80" s="275"/>
      <c r="P80" s="288"/>
      <c r="Q80" s="275"/>
      <c r="R80" s="294"/>
      <c r="S80" s="276"/>
      <c r="T80" s="15"/>
      <c r="U80" s="15"/>
      <c r="V80" s="15"/>
      <c r="W80" s="15"/>
      <c r="X80" s="15"/>
      <c r="Y80" s="15"/>
      <c r="Z80" s="15"/>
    </row>
    <row r="81" spans="1:26" s="261" customFormat="1" x14ac:dyDescent="0.25">
      <c r="A81" s="281"/>
      <c r="B81" s="278"/>
      <c r="C81" s="278"/>
      <c r="D81" s="278"/>
      <c r="E81" s="278"/>
      <c r="F81" s="278"/>
      <c r="G81" s="278"/>
      <c r="H81" s="278"/>
      <c r="I81" s="278"/>
      <c r="J81" s="278"/>
      <c r="K81" s="289"/>
      <c r="L81" s="278"/>
      <c r="M81" s="278"/>
      <c r="N81" s="278"/>
      <c r="O81" s="278"/>
      <c r="P81" s="289"/>
      <c r="Q81" s="278"/>
      <c r="R81" s="295"/>
      <c r="S81" s="279"/>
      <c r="T81" s="15"/>
      <c r="U81" s="15"/>
      <c r="V81" s="15"/>
      <c r="W81" s="15"/>
      <c r="X81" s="15"/>
      <c r="Y81" s="15"/>
      <c r="Z81" s="15"/>
    </row>
    <row r="82" spans="1:26" s="261" customFormat="1" x14ac:dyDescent="0.25">
      <c r="A82" s="281"/>
      <c r="B82" s="275"/>
      <c r="C82" s="275"/>
      <c r="D82" s="275"/>
      <c r="E82" s="275"/>
      <c r="F82" s="275"/>
      <c r="G82" s="275"/>
      <c r="H82" s="275"/>
      <c r="I82" s="275"/>
      <c r="J82" s="275"/>
      <c r="K82" s="288"/>
      <c r="L82" s="275"/>
      <c r="M82" s="275"/>
      <c r="N82" s="275"/>
      <c r="O82" s="275"/>
      <c r="P82" s="288"/>
      <c r="Q82" s="275"/>
      <c r="R82" s="294"/>
      <c r="S82" s="276"/>
      <c r="T82" s="15"/>
      <c r="U82" s="15"/>
      <c r="V82" s="15"/>
      <c r="W82" s="15"/>
      <c r="X82" s="15"/>
      <c r="Y82" s="15"/>
      <c r="Z82" s="15"/>
    </row>
    <row r="83" spans="1:26" s="261" customFormat="1" x14ac:dyDescent="0.25">
      <c r="A83" s="281"/>
      <c r="B83" s="278"/>
      <c r="C83" s="278"/>
      <c r="D83" s="278"/>
      <c r="E83" s="278"/>
      <c r="F83" s="278"/>
      <c r="G83" s="278"/>
      <c r="H83" s="278"/>
      <c r="I83" s="278"/>
      <c r="J83" s="278"/>
      <c r="K83" s="289"/>
      <c r="L83" s="278"/>
      <c r="M83" s="278"/>
      <c r="N83" s="278"/>
      <c r="O83" s="278"/>
      <c r="P83" s="289"/>
      <c r="Q83" s="278"/>
      <c r="R83" s="295"/>
      <c r="S83" s="279"/>
      <c r="T83" s="15"/>
      <c r="U83" s="15"/>
      <c r="V83" s="15"/>
      <c r="W83" s="15"/>
      <c r="X83" s="15"/>
      <c r="Y83" s="15"/>
      <c r="Z83" s="15"/>
    </row>
    <row r="84" spans="1:26" s="261" customFormat="1" x14ac:dyDescent="0.25">
      <c r="A84" s="281"/>
      <c r="B84" s="275"/>
      <c r="C84" s="275"/>
      <c r="D84" s="275"/>
      <c r="E84" s="275"/>
      <c r="F84" s="275"/>
      <c r="G84" s="275"/>
      <c r="H84" s="275"/>
      <c r="I84" s="275"/>
      <c r="J84" s="275"/>
      <c r="K84" s="288"/>
      <c r="L84" s="275"/>
      <c r="M84" s="275"/>
      <c r="N84" s="275"/>
      <c r="O84" s="275"/>
      <c r="P84" s="288"/>
      <c r="Q84" s="275"/>
      <c r="R84" s="294"/>
      <c r="S84" s="276"/>
      <c r="T84" s="15"/>
      <c r="U84" s="15"/>
      <c r="V84" s="15"/>
      <c r="W84" s="15"/>
      <c r="X84" s="15"/>
      <c r="Y84" s="15"/>
      <c r="Z84" s="15"/>
    </row>
    <row r="85" spans="1:26" s="261" customFormat="1" x14ac:dyDescent="0.25">
      <c r="A85" s="282"/>
      <c r="B85" s="278"/>
      <c r="C85" s="278"/>
      <c r="D85" s="278"/>
      <c r="E85" s="278"/>
      <c r="F85" s="278"/>
      <c r="G85" s="278"/>
      <c r="H85" s="278"/>
      <c r="I85" s="278"/>
      <c r="J85" s="278"/>
      <c r="K85" s="289"/>
      <c r="L85" s="278"/>
      <c r="M85" s="278"/>
      <c r="N85" s="278"/>
      <c r="O85" s="278"/>
      <c r="P85" s="289"/>
      <c r="Q85" s="278"/>
      <c r="R85" s="295"/>
      <c r="S85" s="279"/>
      <c r="T85" s="15"/>
      <c r="U85" s="15"/>
      <c r="V85" s="15"/>
      <c r="W85" s="15"/>
      <c r="X85" s="15"/>
      <c r="Y85" s="15"/>
      <c r="Z85" s="15"/>
    </row>
    <row r="86" spans="1:26" s="261" customFormat="1" x14ac:dyDescent="0.25">
      <c r="A86" s="280"/>
      <c r="B86" s="275"/>
      <c r="C86" s="275"/>
      <c r="D86" s="275"/>
      <c r="E86" s="275"/>
      <c r="F86" s="275"/>
      <c r="G86" s="275"/>
      <c r="H86" s="275"/>
      <c r="I86" s="275"/>
      <c r="J86" s="275"/>
      <c r="K86" s="288"/>
      <c r="L86" s="275"/>
      <c r="M86" s="275"/>
      <c r="N86" s="275"/>
      <c r="O86" s="275"/>
      <c r="P86" s="288"/>
      <c r="Q86" s="275"/>
      <c r="R86" s="294"/>
      <c r="S86" s="276"/>
      <c r="T86" s="15"/>
      <c r="U86" s="15"/>
      <c r="V86" s="15"/>
      <c r="W86" s="15"/>
      <c r="X86" s="15"/>
      <c r="Y86" s="15"/>
      <c r="Z86" s="15"/>
    </row>
    <row r="87" spans="1:26" s="261" customFormat="1" x14ac:dyDescent="0.25">
      <c r="A87" s="281"/>
      <c r="B87" s="278"/>
      <c r="C87" s="278"/>
      <c r="D87" s="278"/>
      <c r="E87" s="278"/>
      <c r="F87" s="278"/>
      <c r="G87" s="278"/>
      <c r="H87" s="278"/>
      <c r="I87" s="278"/>
      <c r="J87" s="278"/>
      <c r="K87" s="289"/>
      <c r="L87" s="278"/>
      <c r="M87" s="278"/>
      <c r="N87" s="278"/>
      <c r="O87" s="278"/>
      <c r="P87" s="289"/>
      <c r="Q87" s="278"/>
      <c r="R87" s="295"/>
      <c r="S87" s="279"/>
      <c r="T87" s="15"/>
      <c r="U87" s="15"/>
      <c r="V87" s="15"/>
      <c r="W87" s="15"/>
      <c r="X87" s="15"/>
      <c r="Y87" s="15"/>
      <c r="Z87" s="15"/>
    </row>
    <row r="88" spans="1:26" s="261" customFormat="1" x14ac:dyDescent="0.25">
      <c r="A88" s="281"/>
      <c r="B88" s="275"/>
      <c r="C88" s="275"/>
      <c r="D88" s="275"/>
      <c r="E88" s="275"/>
      <c r="F88" s="275"/>
      <c r="G88" s="275"/>
      <c r="H88" s="275"/>
      <c r="I88" s="275"/>
      <c r="J88" s="275"/>
      <c r="K88" s="288"/>
      <c r="L88" s="275"/>
      <c r="M88" s="275"/>
      <c r="N88" s="275"/>
      <c r="O88" s="275"/>
      <c r="P88" s="288"/>
      <c r="Q88" s="275"/>
      <c r="R88" s="294"/>
      <c r="S88" s="276"/>
      <c r="T88" s="15"/>
      <c r="U88" s="15"/>
      <c r="V88" s="15"/>
      <c r="W88" s="15"/>
      <c r="X88" s="15"/>
      <c r="Y88" s="15"/>
      <c r="Z88" s="15"/>
    </row>
    <row r="89" spans="1:26" s="261" customFormat="1" x14ac:dyDescent="0.25">
      <c r="A89" s="281"/>
      <c r="B89" s="278"/>
      <c r="C89" s="278"/>
      <c r="D89" s="278"/>
      <c r="E89" s="278"/>
      <c r="F89" s="278"/>
      <c r="G89" s="278"/>
      <c r="H89" s="278"/>
      <c r="I89" s="278"/>
      <c r="J89" s="278"/>
      <c r="K89" s="289"/>
      <c r="L89" s="278"/>
      <c r="M89" s="278"/>
      <c r="N89" s="278"/>
      <c r="O89" s="278"/>
      <c r="P89" s="289"/>
      <c r="Q89" s="278"/>
      <c r="R89" s="295"/>
      <c r="S89" s="279"/>
      <c r="T89" s="15"/>
      <c r="U89" s="15"/>
      <c r="V89" s="15"/>
      <c r="W89" s="15"/>
      <c r="X89" s="15"/>
      <c r="Y89" s="15"/>
      <c r="Z89" s="15"/>
    </row>
    <row r="90" spans="1:26" s="261" customFormat="1" x14ac:dyDescent="0.25">
      <c r="A90" s="281"/>
      <c r="B90" s="275"/>
      <c r="C90" s="275"/>
      <c r="D90" s="275"/>
      <c r="E90" s="275"/>
      <c r="F90" s="275"/>
      <c r="G90" s="275"/>
      <c r="H90" s="275"/>
      <c r="I90" s="275"/>
      <c r="J90" s="275"/>
      <c r="K90" s="288"/>
      <c r="L90" s="275"/>
      <c r="M90" s="275"/>
      <c r="N90" s="275"/>
      <c r="O90" s="275"/>
      <c r="P90" s="288"/>
      <c r="Q90" s="275"/>
      <c r="R90" s="294"/>
      <c r="S90" s="276"/>
      <c r="T90" s="15"/>
      <c r="U90" s="15"/>
      <c r="V90" s="15"/>
      <c r="W90" s="15"/>
      <c r="X90" s="15"/>
      <c r="Y90" s="15"/>
      <c r="Z90" s="15"/>
    </row>
    <row r="91" spans="1:26" s="261" customFormat="1" x14ac:dyDescent="0.25">
      <c r="A91" s="281"/>
      <c r="B91" s="278"/>
      <c r="C91" s="278"/>
      <c r="D91" s="278"/>
      <c r="E91" s="278"/>
      <c r="F91" s="278"/>
      <c r="G91" s="278"/>
      <c r="H91" s="278"/>
      <c r="I91" s="278"/>
      <c r="J91" s="278"/>
      <c r="K91" s="289"/>
      <c r="L91" s="278"/>
      <c r="M91" s="278"/>
      <c r="N91" s="278"/>
      <c r="O91" s="278"/>
      <c r="P91" s="289"/>
      <c r="Q91" s="278"/>
      <c r="R91" s="295"/>
      <c r="S91" s="279"/>
      <c r="T91" s="15"/>
      <c r="U91" s="15"/>
      <c r="V91" s="15"/>
      <c r="W91" s="15"/>
      <c r="X91" s="15"/>
      <c r="Y91" s="15"/>
      <c r="Z91" s="15"/>
    </row>
    <row r="92" spans="1:26" s="261" customFormat="1" x14ac:dyDescent="0.25">
      <c r="A92" s="281"/>
      <c r="B92" s="275"/>
      <c r="C92" s="275"/>
      <c r="D92" s="275"/>
      <c r="E92" s="275"/>
      <c r="F92" s="275"/>
      <c r="G92" s="275"/>
      <c r="H92" s="275"/>
      <c r="I92" s="275"/>
      <c r="J92" s="275"/>
      <c r="K92" s="288"/>
      <c r="L92" s="275"/>
      <c r="M92" s="275"/>
      <c r="N92" s="275"/>
      <c r="O92" s="275"/>
      <c r="P92" s="288"/>
      <c r="Q92" s="275"/>
      <c r="R92" s="294"/>
      <c r="S92" s="276"/>
      <c r="T92" s="15"/>
      <c r="U92" s="15"/>
      <c r="V92" s="15"/>
      <c r="W92" s="15"/>
      <c r="X92" s="15"/>
      <c r="Y92" s="15"/>
      <c r="Z92" s="15"/>
    </row>
    <row r="93" spans="1:26" s="261" customFormat="1" x14ac:dyDescent="0.25">
      <c r="A93" s="282"/>
      <c r="B93" s="278"/>
      <c r="C93" s="278"/>
      <c r="D93" s="278"/>
      <c r="E93" s="278"/>
      <c r="F93" s="278"/>
      <c r="G93" s="278"/>
      <c r="H93" s="278"/>
      <c r="I93" s="278"/>
      <c r="J93" s="278"/>
      <c r="K93" s="289"/>
      <c r="L93" s="278"/>
      <c r="M93" s="278"/>
      <c r="N93" s="278"/>
      <c r="O93" s="278"/>
      <c r="P93" s="289"/>
      <c r="Q93" s="278"/>
      <c r="R93" s="295"/>
      <c r="S93" s="279"/>
      <c r="T93" s="15"/>
      <c r="U93" s="15"/>
      <c r="V93" s="15"/>
      <c r="W93" s="15"/>
      <c r="X93" s="15"/>
      <c r="Y93" s="15"/>
      <c r="Z93" s="15"/>
    </row>
    <row r="94" spans="1:26" s="261" customFormat="1" x14ac:dyDescent="0.25">
      <c r="A94" s="280"/>
      <c r="B94" s="275"/>
      <c r="C94" s="275"/>
      <c r="D94" s="275"/>
      <c r="E94" s="275"/>
      <c r="F94" s="275"/>
      <c r="G94" s="275"/>
      <c r="H94" s="275"/>
      <c r="I94" s="275"/>
      <c r="J94" s="275"/>
      <c r="K94" s="288"/>
      <c r="L94" s="275"/>
      <c r="M94" s="275"/>
      <c r="N94" s="275"/>
      <c r="O94" s="275"/>
      <c r="P94" s="288"/>
      <c r="Q94" s="275"/>
      <c r="R94" s="294"/>
      <c r="S94" s="276"/>
      <c r="T94" s="15"/>
      <c r="U94" s="15"/>
      <c r="V94" s="15"/>
      <c r="W94" s="15"/>
      <c r="X94" s="15"/>
      <c r="Y94" s="15"/>
      <c r="Z94" s="15"/>
    </row>
    <row r="95" spans="1:26" s="261" customFormat="1" x14ac:dyDescent="0.25">
      <c r="A95" s="281"/>
      <c r="B95" s="278"/>
      <c r="C95" s="278"/>
      <c r="D95" s="278"/>
      <c r="E95" s="278"/>
      <c r="F95" s="278"/>
      <c r="G95" s="278"/>
      <c r="H95" s="278"/>
      <c r="I95" s="278"/>
      <c r="J95" s="278"/>
      <c r="K95" s="289"/>
      <c r="L95" s="278"/>
      <c r="M95" s="278"/>
      <c r="N95" s="278"/>
      <c r="O95" s="278"/>
      <c r="P95" s="289"/>
      <c r="Q95" s="278"/>
      <c r="R95" s="295"/>
      <c r="S95" s="279"/>
      <c r="T95" s="15"/>
      <c r="U95" s="15"/>
      <c r="V95" s="15"/>
      <c r="W95" s="15"/>
      <c r="X95" s="15"/>
      <c r="Y95" s="15"/>
      <c r="Z95" s="15"/>
    </row>
    <row r="96" spans="1:26" s="261" customFormat="1" x14ac:dyDescent="0.25">
      <c r="A96" s="281"/>
      <c r="B96" s="275"/>
      <c r="C96" s="275"/>
      <c r="D96" s="275"/>
      <c r="E96" s="275"/>
      <c r="F96" s="275"/>
      <c r="G96" s="275"/>
      <c r="H96" s="275"/>
      <c r="I96" s="275"/>
      <c r="J96" s="275"/>
      <c r="K96" s="288"/>
      <c r="L96" s="275"/>
      <c r="M96" s="275"/>
      <c r="N96" s="275"/>
      <c r="O96" s="275"/>
      <c r="P96" s="288"/>
      <c r="Q96" s="275"/>
      <c r="R96" s="294"/>
      <c r="S96" s="276"/>
      <c r="T96" s="15"/>
      <c r="U96" s="15"/>
      <c r="V96" s="15"/>
      <c r="W96" s="15"/>
      <c r="X96" s="15"/>
      <c r="Y96" s="15"/>
      <c r="Z96" s="15"/>
    </row>
    <row r="97" spans="1:26" s="261" customFormat="1" x14ac:dyDescent="0.25">
      <c r="A97" s="281"/>
      <c r="B97" s="278"/>
      <c r="C97" s="278"/>
      <c r="D97" s="278"/>
      <c r="E97" s="278"/>
      <c r="F97" s="278"/>
      <c r="G97" s="278"/>
      <c r="H97" s="278"/>
      <c r="I97" s="278"/>
      <c r="J97" s="278"/>
      <c r="K97" s="289"/>
      <c r="L97" s="278"/>
      <c r="M97" s="278"/>
      <c r="N97" s="278"/>
      <c r="O97" s="278"/>
      <c r="P97" s="289"/>
      <c r="Q97" s="278"/>
      <c r="R97" s="295"/>
      <c r="S97" s="279"/>
      <c r="T97" s="15"/>
      <c r="U97" s="15"/>
      <c r="V97" s="15"/>
      <c r="W97" s="15"/>
      <c r="X97" s="15"/>
      <c r="Y97" s="15"/>
      <c r="Z97" s="15"/>
    </row>
    <row r="98" spans="1:26" s="261" customFormat="1" x14ac:dyDescent="0.25">
      <c r="A98" s="281"/>
      <c r="B98" s="275"/>
      <c r="C98" s="275"/>
      <c r="D98" s="275"/>
      <c r="E98" s="275"/>
      <c r="F98" s="275"/>
      <c r="G98" s="275"/>
      <c r="H98" s="275"/>
      <c r="I98" s="275"/>
      <c r="J98" s="275"/>
      <c r="K98" s="288"/>
      <c r="L98" s="275"/>
      <c r="M98" s="275"/>
      <c r="N98" s="275"/>
      <c r="O98" s="275"/>
      <c r="P98" s="288"/>
      <c r="Q98" s="275"/>
      <c r="R98" s="294"/>
      <c r="S98" s="276"/>
      <c r="T98" s="15"/>
      <c r="U98" s="15"/>
      <c r="V98" s="15"/>
      <c r="W98" s="15"/>
      <c r="X98" s="15"/>
      <c r="Y98" s="15"/>
      <c r="Z98" s="15"/>
    </row>
    <row r="99" spans="1:26" s="261" customFormat="1" x14ac:dyDescent="0.25">
      <c r="A99" s="281"/>
      <c r="B99" s="278"/>
      <c r="C99" s="278"/>
      <c r="D99" s="278"/>
      <c r="E99" s="278"/>
      <c r="F99" s="278"/>
      <c r="G99" s="278"/>
      <c r="H99" s="278"/>
      <c r="I99" s="278"/>
      <c r="J99" s="278"/>
      <c r="K99" s="289"/>
      <c r="L99" s="278"/>
      <c r="M99" s="278"/>
      <c r="N99" s="278"/>
      <c r="O99" s="278"/>
      <c r="P99" s="289"/>
      <c r="Q99" s="278"/>
      <c r="R99" s="295"/>
      <c r="S99" s="279"/>
      <c r="T99" s="15"/>
      <c r="U99" s="15"/>
      <c r="V99" s="15"/>
      <c r="W99" s="15"/>
      <c r="X99" s="15"/>
      <c r="Y99" s="15"/>
      <c r="Z99" s="15"/>
    </row>
    <row r="100" spans="1:26" s="261" customFormat="1" x14ac:dyDescent="0.25">
      <c r="A100" s="281"/>
      <c r="B100" s="275"/>
      <c r="C100" s="275"/>
      <c r="D100" s="275"/>
      <c r="E100" s="275"/>
      <c r="F100" s="275"/>
      <c r="G100" s="275"/>
      <c r="H100" s="275"/>
      <c r="I100" s="275"/>
      <c r="J100" s="275"/>
      <c r="K100" s="288"/>
      <c r="L100" s="275"/>
      <c r="M100" s="275"/>
      <c r="N100" s="275"/>
      <c r="O100" s="275"/>
      <c r="P100" s="288"/>
      <c r="Q100" s="275"/>
      <c r="R100" s="294"/>
      <c r="S100" s="276"/>
      <c r="T100" s="15"/>
      <c r="U100" s="15"/>
      <c r="V100" s="15"/>
      <c r="W100" s="15"/>
      <c r="X100" s="15"/>
      <c r="Y100" s="15"/>
      <c r="Z100" s="15"/>
    </row>
    <row r="101" spans="1:26" s="261" customFormat="1" x14ac:dyDescent="0.25">
      <c r="A101" s="282"/>
      <c r="B101" s="278"/>
      <c r="C101" s="278"/>
      <c r="D101" s="278"/>
      <c r="E101" s="278"/>
      <c r="F101" s="278"/>
      <c r="G101" s="278"/>
      <c r="H101" s="278"/>
      <c r="I101" s="278"/>
      <c r="J101" s="278"/>
      <c r="K101" s="289"/>
      <c r="L101" s="278"/>
      <c r="M101" s="278"/>
      <c r="N101" s="278"/>
      <c r="O101" s="278"/>
      <c r="P101" s="289"/>
      <c r="Q101" s="278"/>
      <c r="R101" s="295"/>
      <c r="S101" s="279"/>
      <c r="T101" s="15"/>
      <c r="U101" s="15"/>
      <c r="V101" s="15"/>
      <c r="W101" s="15"/>
      <c r="X101" s="15"/>
      <c r="Y101" s="15"/>
      <c r="Z101" s="15"/>
    </row>
    <row r="102" spans="1:26" s="261" customFormat="1" x14ac:dyDescent="0.25">
      <c r="A102" s="280"/>
      <c r="B102" s="275"/>
      <c r="C102" s="275"/>
      <c r="D102" s="275"/>
      <c r="E102" s="275"/>
      <c r="F102" s="275"/>
      <c r="G102" s="275"/>
      <c r="H102" s="275"/>
      <c r="I102" s="275"/>
      <c r="J102" s="275"/>
      <c r="K102" s="288"/>
      <c r="L102" s="275"/>
      <c r="M102" s="275"/>
      <c r="N102" s="275"/>
      <c r="O102" s="275"/>
      <c r="P102" s="288"/>
      <c r="Q102" s="275"/>
      <c r="R102" s="294"/>
      <c r="S102" s="276"/>
      <c r="T102" s="15"/>
      <c r="U102" s="15"/>
      <c r="V102" s="15"/>
      <c r="W102" s="15"/>
      <c r="X102" s="15"/>
      <c r="Y102" s="15"/>
      <c r="Z102" s="15"/>
    </row>
    <row r="103" spans="1:26" s="261" customFormat="1" x14ac:dyDescent="0.25">
      <c r="A103" s="281"/>
      <c r="B103" s="278"/>
      <c r="C103" s="278"/>
      <c r="D103" s="278"/>
      <c r="E103" s="278"/>
      <c r="F103" s="278"/>
      <c r="G103" s="278"/>
      <c r="H103" s="278"/>
      <c r="I103" s="278"/>
      <c r="J103" s="278"/>
      <c r="K103" s="289"/>
      <c r="L103" s="278"/>
      <c r="M103" s="278"/>
      <c r="N103" s="278"/>
      <c r="O103" s="278"/>
      <c r="P103" s="289"/>
      <c r="Q103" s="278"/>
      <c r="R103" s="295"/>
      <c r="S103" s="279"/>
      <c r="T103" s="15"/>
      <c r="U103" s="15"/>
      <c r="V103" s="15"/>
      <c r="W103" s="15"/>
      <c r="X103" s="15"/>
      <c r="Y103" s="15"/>
      <c r="Z103" s="15"/>
    </row>
    <row r="104" spans="1:26" s="261" customFormat="1" x14ac:dyDescent="0.25">
      <c r="A104" s="281"/>
      <c r="B104" s="275"/>
      <c r="C104" s="275"/>
      <c r="D104" s="275"/>
      <c r="E104" s="275"/>
      <c r="F104" s="275"/>
      <c r="G104" s="275"/>
      <c r="H104" s="275"/>
      <c r="I104" s="275"/>
      <c r="J104" s="275"/>
      <c r="K104" s="288"/>
      <c r="L104" s="275"/>
      <c r="M104" s="275"/>
      <c r="N104" s="275"/>
      <c r="O104" s="275"/>
      <c r="P104" s="288"/>
      <c r="Q104" s="275"/>
      <c r="R104" s="294"/>
      <c r="S104" s="276"/>
      <c r="T104" s="15"/>
      <c r="U104" s="15"/>
      <c r="V104" s="15"/>
      <c r="W104" s="15"/>
      <c r="X104" s="15"/>
      <c r="Y104" s="15"/>
      <c r="Z104" s="15"/>
    </row>
    <row r="105" spans="1:26" s="261" customFormat="1" x14ac:dyDescent="0.25">
      <c r="A105" s="281"/>
      <c r="B105" s="278"/>
      <c r="C105" s="278"/>
      <c r="D105" s="278"/>
      <c r="E105" s="278"/>
      <c r="F105" s="278"/>
      <c r="G105" s="278"/>
      <c r="H105" s="278"/>
      <c r="I105" s="278"/>
      <c r="J105" s="278"/>
      <c r="K105" s="289"/>
      <c r="L105" s="278"/>
      <c r="M105" s="278"/>
      <c r="N105" s="278"/>
      <c r="O105" s="278"/>
      <c r="P105" s="289"/>
      <c r="Q105" s="278"/>
      <c r="R105" s="295"/>
      <c r="S105" s="279"/>
      <c r="T105" s="15"/>
      <c r="U105" s="15"/>
      <c r="V105" s="15"/>
      <c r="W105" s="15"/>
      <c r="X105" s="15"/>
      <c r="Y105" s="15"/>
      <c r="Z105" s="15"/>
    </row>
    <row r="106" spans="1:26" s="261" customFormat="1" x14ac:dyDescent="0.25">
      <c r="A106" s="281"/>
      <c r="B106" s="275"/>
      <c r="C106" s="275"/>
      <c r="D106" s="275"/>
      <c r="E106" s="275"/>
      <c r="F106" s="275"/>
      <c r="G106" s="275"/>
      <c r="H106" s="275"/>
      <c r="I106" s="275"/>
      <c r="J106" s="275"/>
      <c r="K106" s="288"/>
      <c r="L106" s="275"/>
      <c r="M106" s="275"/>
      <c r="N106" s="275"/>
      <c r="O106" s="275"/>
      <c r="P106" s="288"/>
      <c r="Q106" s="275"/>
      <c r="R106" s="294"/>
      <c r="S106" s="276"/>
      <c r="T106" s="15"/>
      <c r="U106" s="15"/>
      <c r="V106" s="15"/>
      <c r="W106" s="15"/>
      <c r="X106" s="15"/>
      <c r="Y106" s="15"/>
      <c r="Z106" s="15"/>
    </row>
    <row r="107" spans="1:26" s="261" customFormat="1" x14ac:dyDescent="0.25">
      <c r="A107" s="281"/>
      <c r="B107" s="278"/>
      <c r="C107" s="278"/>
      <c r="D107" s="278"/>
      <c r="E107" s="278"/>
      <c r="F107" s="278"/>
      <c r="G107" s="278"/>
      <c r="H107" s="278"/>
      <c r="I107" s="278"/>
      <c r="J107" s="278"/>
      <c r="K107" s="289"/>
      <c r="L107" s="278"/>
      <c r="M107" s="278"/>
      <c r="N107" s="278"/>
      <c r="O107" s="278"/>
      <c r="P107" s="289"/>
      <c r="Q107" s="278"/>
      <c r="R107" s="295"/>
      <c r="S107" s="279"/>
      <c r="T107" s="15"/>
      <c r="U107" s="15"/>
      <c r="V107" s="15"/>
      <c r="W107" s="15"/>
      <c r="X107" s="15"/>
      <c r="Y107" s="15"/>
      <c r="Z107" s="15"/>
    </row>
    <row r="108" spans="1:26" s="261" customFormat="1" x14ac:dyDescent="0.25">
      <c r="A108" s="281"/>
      <c r="B108" s="275"/>
      <c r="C108" s="275"/>
      <c r="D108" s="275"/>
      <c r="E108" s="275"/>
      <c r="F108" s="275"/>
      <c r="G108" s="275"/>
      <c r="H108" s="275"/>
      <c r="I108" s="275"/>
      <c r="J108" s="275"/>
      <c r="K108" s="288"/>
      <c r="L108" s="275"/>
      <c r="M108" s="275"/>
      <c r="N108" s="275"/>
      <c r="O108" s="275"/>
      <c r="P108" s="288"/>
      <c r="Q108" s="275"/>
      <c r="R108" s="294"/>
      <c r="S108" s="276"/>
      <c r="T108" s="15"/>
      <c r="U108" s="15"/>
      <c r="V108" s="15"/>
      <c r="W108" s="15"/>
      <c r="X108" s="15"/>
      <c r="Y108" s="15"/>
      <c r="Z108" s="15"/>
    </row>
    <row r="109" spans="1:26" s="261" customFormat="1" x14ac:dyDescent="0.25">
      <c r="A109" s="282"/>
      <c r="B109" s="278"/>
      <c r="C109" s="278"/>
      <c r="D109" s="278"/>
      <c r="E109" s="278"/>
      <c r="F109" s="278"/>
      <c r="G109" s="278"/>
      <c r="H109" s="278"/>
      <c r="I109" s="278"/>
      <c r="J109" s="278"/>
      <c r="K109" s="289"/>
      <c r="L109" s="278"/>
      <c r="M109" s="278"/>
      <c r="N109" s="278"/>
      <c r="O109" s="278"/>
      <c r="P109" s="289"/>
      <c r="Q109" s="278"/>
      <c r="R109" s="295"/>
      <c r="S109" s="279"/>
      <c r="T109" s="15"/>
      <c r="U109" s="15"/>
      <c r="V109" s="15"/>
      <c r="W109" s="15"/>
      <c r="X109" s="15"/>
      <c r="Y109" s="15"/>
      <c r="Z109" s="15"/>
    </row>
    <row r="110" spans="1:26" s="261" customFormat="1" x14ac:dyDescent="0.25">
      <c r="A110" s="280"/>
      <c r="B110" s="275"/>
      <c r="C110" s="275"/>
      <c r="D110" s="275"/>
      <c r="E110" s="275"/>
      <c r="F110" s="275"/>
      <c r="G110" s="275"/>
      <c r="H110" s="275"/>
      <c r="I110" s="275"/>
      <c r="J110" s="275"/>
      <c r="K110" s="288"/>
      <c r="L110" s="275"/>
      <c r="M110" s="275"/>
      <c r="N110" s="275"/>
      <c r="O110" s="275"/>
      <c r="P110" s="288"/>
      <c r="Q110" s="275"/>
      <c r="R110" s="294"/>
      <c r="S110" s="276"/>
      <c r="T110" s="15"/>
      <c r="U110" s="15"/>
      <c r="V110" s="15"/>
      <c r="W110" s="15"/>
      <c r="X110" s="15"/>
      <c r="Y110" s="15"/>
      <c r="Z110" s="15"/>
    </row>
    <row r="111" spans="1:26" s="261" customFormat="1" x14ac:dyDescent="0.25">
      <c r="A111" s="281"/>
      <c r="B111" s="278"/>
      <c r="C111" s="278"/>
      <c r="D111" s="278"/>
      <c r="E111" s="278"/>
      <c r="F111" s="278"/>
      <c r="G111" s="278"/>
      <c r="H111" s="278"/>
      <c r="I111" s="278"/>
      <c r="J111" s="278"/>
      <c r="K111" s="289"/>
      <c r="L111" s="278"/>
      <c r="M111" s="278"/>
      <c r="N111" s="278"/>
      <c r="O111" s="278"/>
      <c r="P111" s="289"/>
      <c r="Q111" s="278"/>
      <c r="R111" s="295"/>
      <c r="S111" s="279"/>
      <c r="T111" s="15"/>
      <c r="U111" s="15"/>
      <c r="V111" s="15"/>
      <c r="W111" s="15"/>
      <c r="X111" s="15"/>
      <c r="Y111" s="15"/>
      <c r="Z111" s="15"/>
    </row>
    <row r="112" spans="1:26" s="261" customFormat="1" x14ac:dyDescent="0.25">
      <c r="A112" s="281"/>
      <c r="B112" s="275"/>
      <c r="C112" s="275"/>
      <c r="D112" s="275"/>
      <c r="E112" s="275"/>
      <c r="F112" s="275"/>
      <c r="G112" s="275"/>
      <c r="H112" s="275"/>
      <c r="I112" s="275"/>
      <c r="J112" s="275"/>
      <c r="K112" s="288"/>
      <c r="L112" s="275"/>
      <c r="M112" s="275"/>
      <c r="N112" s="275"/>
      <c r="O112" s="275"/>
      <c r="P112" s="288"/>
      <c r="Q112" s="275"/>
      <c r="R112" s="294"/>
      <c r="S112" s="276"/>
      <c r="T112" s="15"/>
      <c r="U112" s="15"/>
      <c r="V112" s="15"/>
      <c r="W112" s="15"/>
      <c r="X112" s="15"/>
      <c r="Y112" s="15"/>
      <c r="Z112" s="15"/>
    </row>
    <row r="113" spans="1:26" s="261" customFormat="1" x14ac:dyDescent="0.25">
      <c r="A113" s="281"/>
      <c r="B113" s="278"/>
      <c r="C113" s="278"/>
      <c r="D113" s="278"/>
      <c r="E113" s="278"/>
      <c r="F113" s="278"/>
      <c r="G113" s="278"/>
      <c r="H113" s="278"/>
      <c r="I113" s="278"/>
      <c r="J113" s="278"/>
      <c r="K113" s="289"/>
      <c r="L113" s="278"/>
      <c r="M113" s="278"/>
      <c r="N113" s="278"/>
      <c r="O113" s="278"/>
      <c r="P113" s="289"/>
      <c r="Q113" s="278"/>
      <c r="R113" s="295"/>
      <c r="S113" s="279"/>
      <c r="T113" s="15"/>
      <c r="U113" s="15"/>
      <c r="V113" s="15"/>
      <c r="W113" s="15"/>
      <c r="X113" s="15"/>
      <c r="Y113" s="15"/>
      <c r="Z113" s="15"/>
    </row>
    <row r="114" spans="1:26" s="261" customFormat="1" x14ac:dyDescent="0.25">
      <c r="A114" s="281"/>
      <c r="B114" s="275"/>
      <c r="C114" s="275"/>
      <c r="D114" s="275"/>
      <c r="E114" s="275"/>
      <c r="F114" s="275"/>
      <c r="G114" s="275"/>
      <c r="H114" s="275"/>
      <c r="I114" s="275"/>
      <c r="J114" s="275"/>
      <c r="K114" s="288"/>
      <c r="L114" s="275"/>
      <c r="M114" s="275"/>
      <c r="N114" s="275"/>
      <c r="O114" s="275"/>
      <c r="P114" s="288"/>
      <c r="Q114" s="275"/>
      <c r="R114" s="294"/>
      <c r="S114" s="276"/>
      <c r="T114" s="15"/>
      <c r="U114" s="15"/>
      <c r="V114" s="15"/>
      <c r="W114" s="15"/>
      <c r="X114" s="15"/>
      <c r="Y114" s="15"/>
      <c r="Z114" s="15"/>
    </row>
    <row r="115" spans="1:26" s="261" customFormat="1" x14ac:dyDescent="0.25">
      <c r="A115" s="281"/>
      <c r="B115" s="278"/>
      <c r="C115" s="278"/>
      <c r="D115" s="278"/>
      <c r="E115" s="278"/>
      <c r="F115" s="278"/>
      <c r="G115" s="278"/>
      <c r="H115" s="278"/>
      <c r="I115" s="278"/>
      <c r="J115" s="278"/>
      <c r="K115" s="289"/>
      <c r="L115" s="278"/>
      <c r="M115" s="278"/>
      <c r="N115" s="278"/>
      <c r="O115" s="278"/>
      <c r="P115" s="289"/>
      <c r="Q115" s="278"/>
      <c r="R115" s="295"/>
      <c r="S115" s="279"/>
      <c r="T115" s="15"/>
      <c r="U115" s="15"/>
      <c r="V115" s="15"/>
      <c r="W115" s="15"/>
      <c r="X115" s="15"/>
      <c r="Y115" s="15"/>
      <c r="Z115" s="15"/>
    </row>
    <row r="116" spans="1:26" s="261" customFormat="1" x14ac:dyDescent="0.25">
      <c r="A116" s="281"/>
      <c r="B116" s="275"/>
      <c r="C116" s="275"/>
      <c r="D116" s="275"/>
      <c r="E116" s="275"/>
      <c r="F116" s="275"/>
      <c r="G116" s="275"/>
      <c r="H116" s="275"/>
      <c r="I116" s="275"/>
      <c r="J116" s="275"/>
      <c r="K116" s="288"/>
      <c r="L116" s="275"/>
      <c r="M116" s="275"/>
      <c r="N116" s="275"/>
      <c r="O116" s="275"/>
      <c r="P116" s="288"/>
      <c r="Q116" s="275"/>
      <c r="R116" s="294"/>
      <c r="S116" s="276"/>
      <c r="T116" s="15"/>
      <c r="U116" s="15"/>
      <c r="V116" s="15"/>
      <c r="W116" s="15"/>
      <c r="X116" s="15"/>
      <c r="Y116" s="15"/>
      <c r="Z116" s="15"/>
    </row>
    <row r="117" spans="1:26" s="261" customFormat="1" x14ac:dyDescent="0.25">
      <c r="A117" s="282"/>
      <c r="B117" s="278"/>
      <c r="C117" s="278"/>
      <c r="D117" s="278"/>
      <c r="E117" s="278"/>
      <c r="F117" s="278"/>
      <c r="G117" s="278"/>
      <c r="H117" s="278"/>
      <c r="I117" s="278"/>
      <c r="J117" s="278"/>
      <c r="K117" s="289"/>
      <c r="L117" s="278"/>
      <c r="M117" s="278"/>
      <c r="N117" s="278"/>
      <c r="O117" s="278"/>
      <c r="P117" s="289"/>
      <c r="Q117" s="278"/>
      <c r="R117" s="295"/>
      <c r="S117" s="279"/>
      <c r="T117" s="15"/>
      <c r="U117" s="15"/>
      <c r="V117" s="15"/>
      <c r="W117" s="15"/>
      <c r="X117" s="15"/>
      <c r="Y117" s="15"/>
      <c r="Z117" s="15"/>
    </row>
    <row r="118" spans="1:26" s="261" customFormat="1" x14ac:dyDescent="0.25">
      <c r="A118" s="280"/>
      <c r="B118" s="275"/>
      <c r="C118" s="275"/>
      <c r="D118" s="275"/>
      <c r="E118" s="275"/>
      <c r="F118" s="275"/>
      <c r="G118" s="275"/>
      <c r="H118" s="275"/>
      <c r="I118" s="275"/>
      <c r="J118" s="275"/>
      <c r="K118" s="288"/>
      <c r="L118" s="275"/>
      <c r="M118" s="275"/>
      <c r="N118" s="275"/>
      <c r="O118" s="275"/>
      <c r="P118" s="288"/>
      <c r="Q118" s="275"/>
      <c r="R118" s="294"/>
      <c r="S118" s="276"/>
      <c r="T118" s="15"/>
      <c r="U118" s="15"/>
      <c r="V118" s="15"/>
      <c r="W118" s="15"/>
      <c r="X118" s="15"/>
      <c r="Y118" s="15"/>
      <c r="Z118" s="15"/>
    </row>
    <row r="119" spans="1:26" s="261" customFormat="1" x14ac:dyDescent="0.25">
      <c r="A119" s="281"/>
      <c r="B119" s="278"/>
      <c r="C119" s="278"/>
      <c r="D119" s="278"/>
      <c r="E119" s="278"/>
      <c r="F119" s="278"/>
      <c r="G119" s="278"/>
      <c r="H119" s="278"/>
      <c r="I119" s="278"/>
      <c r="J119" s="278"/>
      <c r="K119" s="289"/>
      <c r="L119" s="278"/>
      <c r="M119" s="278"/>
      <c r="N119" s="278"/>
      <c r="O119" s="278"/>
      <c r="P119" s="289"/>
      <c r="Q119" s="278"/>
      <c r="R119" s="295"/>
      <c r="S119" s="279"/>
      <c r="T119" s="15"/>
      <c r="U119" s="15"/>
      <c r="V119" s="15"/>
      <c r="W119" s="15"/>
      <c r="X119" s="15"/>
      <c r="Y119" s="15"/>
      <c r="Z119" s="15"/>
    </row>
    <row r="120" spans="1:26" s="261" customFormat="1" x14ac:dyDescent="0.25">
      <c r="A120" s="281"/>
      <c r="B120" s="275"/>
      <c r="C120" s="275"/>
      <c r="D120" s="275"/>
      <c r="E120" s="275"/>
      <c r="F120" s="275"/>
      <c r="G120" s="275"/>
      <c r="H120" s="275"/>
      <c r="I120" s="275"/>
      <c r="J120" s="275"/>
      <c r="K120" s="288"/>
      <c r="L120" s="275"/>
      <c r="M120" s="275"/>
      <c r="N120" s="275"/>
      <c r="O120" s="275"/>
      <c r="P120" s="288"/>
      <c r="Q120" s="275"/>
      <c r="R120" s="294"/>
      <c r="S120" s="276"/>
      <c r="T120" s="15"/>
      <c r="U120" s="15"/>
      <c r="V120" s="15"/>
      <c r="W120" s="15"/>
      <c r="X120" s="15"/>
      <c r="Y120" s="15"/>
      <c r="Z120" s="15"/>
    </row>
    <row r="121" spans="1:26" s="261" customFormat="1" x14ac:dyDescent="0.25">
      <c r="A121" s="281"/>
      <c r="B121" s="278"/>
      <c r="C121" s="278"/>
      <c r="D121" s="278"/>
      <c r="E121" s="278"/>
      <c r="F121" s="278"/>
      <c r="G121" s="278"/>
      <c r="H121" s="278"/>
      <c r="I121" s="278"/>
      <c r="J121" s="278"/>
      <c r="K121" s="289"/>
      <c r="L121" s="278"/>
      <c r="M121" s="278"/>
      <c r="N121" s="278"/>
      <c r="O121" s="278"/>
      <c r="P121" s="289"/>
      <c r="Q121" s="278"/>
      <c r="R121" s="295"/>
      <c r="S121" s="279"/>
      <c r="T121" s="15"/>
      <c r="U121" s="15"/>
      <c r="V121" s="15"/>
      <c r="W121" s="15"/>
      <c r="X121" s="15"/>
      <c r="Y121" s="15"/>
      <c r="Z121" s="15"/>
    </row>
    <row r="122" spans="1:26" s="261" customFormat="1" x14ac:dyDescent="0.25">
      <c r="A122" s="281"/>
      <c r="B122" s="275"/>
      <c r="C122" s="275"/>
      <c r="D122" s="275"/>
      <c r="E122" s="275"/>
      <c r="F122" s="275"/>
      <c r="G122" s="275"/>
      <c r="H122" s="275"/>
      <c r="I122" s="275"/>
      <c r="J122" s="275"/>
      <c r="K122" s="288"/>
      <c r="L122" s="275"/>
      <c r="M122" s="275"/>
      <c r="N122" s="275"/>
      <c r="O122" s="275"/>
      <c r="P122" s="288"/>
      <c r="Q122" s="275"/>
      <c r="R122" s="294"/>
      <c r="S122" s="276"/>
      <c r="T122" s="15"/>
      <c r="U122" s="15"/>
      <c r="V122" s="15"/>
      <c r="W122" s="15"/>
      <c r="X122" s="15"/>
      <c r="Y122" s="15"/>
      <c r="Z122" s="15"/>
    </row>
    <row r="123" spans="1:26" s="261" customFormat="1" x14ac:dyDescent="0.25">
      <c r="A123" s="281"/>
      <c r="B123" s="278"/>
      <c r="C123" s="278"/>
      <c r="D123" s="278"/>
      <c r="E123" s="278"/>
      <c r="F123" s="278"/>
      <c r="G123" s="278"/>
      <c r="H123" s="278"/>
      <c r="I123" s="278"/>
      <c r="J123" s="278"/>
      <c r="K123" s="289"/>
      <c r="L123" s="278"/>
      <c r="M123" s="278"/>
      <c r="N123" s="278"/>
      <c r="O123" s="278"/>
      <c r="P123" s="289"/>
      <c r="Q123" s="278"/>
      <c r="R123" s="295"/>
      <c r="S123" s="279"/>
      <c r="T123" s="15"/>
      <c r="U123" s="15"/>
      <c r="V123" s="15"/>
      <c r="W123" s="15"/>
      <c r="X123" s="15"/>
      <c r="Y123" s="15"/>
      <c r="Z123" s="15"/>
    </row>
    <row r="124" spans="1:26" s="261" customFormat="1" x14ac:dyDescent="0.25">
      <c r="A124" s="281"/>
      <c r="B124" s="275"/>
      <c r="C124" s="275"/>
      <c r="D124" s="275"/>
      <c r="E124" s="275"/>
      <c r="F124" s="275"/>
      <c r="G124" s="275"/>
      <c r="H124" s="275"/>
      <c r="I124" s="275"/>
      <c r="J124" s="275"/>
      <c r="K124" s="288"/>
      <c r="L124" s="275"/>
      <c r="M124" s="275"/>
      <c r="N124" s="275"/>
      <c r="O124" s="275"/>
      <c r="P124" s="288"/>
      <c r="Q124" s="275"/>
      <c r="R124" s="294"/>
      <c r="S124" s="276"/>
      <c r="T124" s="15"/>
      <c r="U124" s="15"/>
      <c r="V124" s="15"/>
      <c r="W124" s="15"/>
      <c r="X124" s="15"/>
      <c r="Y124" s="15"/>
      <c r="Z124" s="15"/>
    </row>
    <row r="125" spans="1:26" s="261" customFormat="1" x14ac:dyDescent="0.25">
      <c r="A125" s="282"/>
      <c r="B125" s="278"/>
      <c r="C125" s="278"/>
      <c r="D125" s="278"/>
      <c r="E125" s="278"/>
      <c r="F125" s="278"/>
      <c r="G125" s="278"/>
      <c r="H125" s="278"/>
      <c r="I125" s="278"/>
      <c r="J125" s="278"/>
      <c r="K125" s="289"/>
      <c r="L125" s="278"/>
      <c r="M125" s="278"/>
      <c r="N125" s="278"/>
      <c r="O125" s="278"/>
      <c r="P125" s="289"/>
      <c r="Q125" s="278"/>
      <c r="R125" s="295"/>
      <c r="S125" s="279"/>
      <c r="T125" s="15"/>
      <c r="U125" s="15"/>
      <c r="V125" s="15"/>
      <c r="W125" s="15"/>
      <c r="X125" s="15"/>
      <c r="Y125" s="15"/>
      <c r="Z125" s="15"/>
    </row>
    <row r="126" spans="1:26" s="261" customFormat="1" x14ac:dyDescent="0.25">
      <c r="A126" s="280"/>
      <c r="B126" s="275"/>
      <c r="C126" s="275"/>
      <c r="D126" s="275"/>
      <c r="E126" s="275"/>
      <c r="F126" s="275"/>
      <c r="G126" s="275"/>
      <c r="H126" s="275"/>
      <c r="I126" s="275"/>
      <c r="J126" s="275"/>
      <c r="K126" s="288"/>
      <c r="L126" s="275"/>
      <c r="M126" s="275"/>
      <c r="N126" s="275"/>
      <c r="O126" s="275"/>
      <c r="P126" s="288"/>
      <c r="Q126" s="275"/>
      <c r="R126" s="294"/>
      <c r="S126" s="276"/>
      <c r="T126" s="15"/>
      <c r="U126" s="15"/>
      <c r="V126" s="15"/>
      <c r="W126" s="15"/>
      <c r="X126" s="15"/>
      <c r="Y126" s="15"/>
      <c r="Z126" s="15"/>
    </row>
    <row r="127" spans="1:26" s="261" customFormat="1" x14ac:dyDescent="0.25">
      <c r="A127" s="281"/>
      <c r="B127" s="278"/>
      <c r="C127" s="278"/>
      <c r="D127" s="278"/>
      <c r="E127" s="278"/>
      <c r="F127" s="278"/>
      <c r="G127" s="278"/>
      <c r="H127" s="278"/>
      <c r="I127" s="278"/>
      <c r="J127" s="278"/>
      <c r="K127" s="289"/>
      <c r="L127" s="278"/>
      <c r="M127" s="278"/>
      <c r="N127" s="278"/>
      <c r="O127" s="278"/>
      <c r="P127" s="289"/>
      <c r="Q127" s="278"/>
      <c r="R127" s="295"/>
      <c r="S127" s="279"/>
      <c r="T127" s="15"/>
      <c r="U127" s="15"/>
      <c r="V127" s="15"/>
      <c r="W127" s="15"/>
      <c r="X127" s="15"/>
      <c r="Y127" s="15"/>
      <c r="Z127" s="15"/>
    </row>
    <row r="128" spans="1:26" s="261" customFormat="1" x14ac:dyDescent="0.25">
      <c r="A128" s="281"/>
      <c r="B128" s="275"/>
      <c r="C128" s="275"/>
      <c r="D128" s="275"/>
      <c r="E128" s="275"/>
      <c r="F128" s="275"/>
      <c r="G128" s="275"/>
      <c r="H128" s="275"/>
      <c r="I128" s="275"/>
      <c r="J128" s="275"/>
      <c r="K128" s="288"/>
      <c r="L128" s="275"/>
      <c r="M128" s="275"/>
      <c r="N128" s="275"/>
      <c r="O128" s="275"/>
      <c r="P128" s="288"/>
      <c r="Q128" s="275"/>
      <c r="R128" s="294"/>
      <c r="S128" s="276"/>
      <c r="T128" s="15"/>
      <c r="U128" s="15"/>
      <c r="V128" s="15"/>
      <c r="W128" s="15"/>
      <c r="X128" s="15"/>
      <c r="Y128" s="15"/>
      <c r="Z128" s="15"/>
    </row>
    <row r="129" spans="1:26" s="261" customFormat="1" x14ac:dyDescent="0.25">
      <c r="A129" s="281"/>
      <c r="B129" s="278"/>
      <c r="C129" s="278"/>
      <c r="D129" s="278"/>
      <c r="E129" s="278"/>
      <c r="F129" s="278"/>
      <c r="G129" s="278"/>
      <c r="H129" s="278"/>
      <c r="I129" s="278"/>
      <c r="J129" s="278"/>
      <c r="K129" s="289"/>
      <c r="L129" s="278"/>
      <c r="M129" s="278"/>
      <c r="N129" s="278"/>
      <c r="O129" s="278"/>
      <c r="P129" s="289"/>
      <c r="Q129" s="278"/>
      <c r="R129" s="295"/>
      <c r="S129" s="279"/>
      <c r="T129" s="15"/>
      <c r="U129" s="15"/>
      <c r="V129" s="15"/>
      <c r="W129" s="15"/>
      <c r="X129" s="15"/>
      <c r="Y129" s="15"/>
      <c r="Z129" s="15"/>
    </row>
    <row r="130" spans="1:26" s="261" customFormat="1" x14ac:dyDescent="0.25">
      <c r="A130" s="281"/>
      <c r="B130" s="275"/>
      <c r="C130" s="275"/>
      <c r="D130" s="275"/>
      <c r="E130" s="275"/>
      <c r="F130" s="275"/>
      <c r="G130" s="275"/>
      <c r="H130" s="275"/>
      <c r="I130" s="275"/>
      <c r="J130" s="275"/>
      <c r="K130" s="288"/>
      <c r="L130" s="275"/>
      <c r="M130" s="275"/>
      <c r="N130" s="275"/>
      <c r="O130" s="275"/>
      <c r="P130" s="288"/>
      <c r="Q130" s="275"/>
      <c r="R130" s="294"/>
      <c r="S130" s="276"/>
      <c r="T130" s="15"/>
      <c r="U130" s="15"/>
      <c r="V130" s="15"/>
      <c r="W130" s="15"/>
      <c r="X130" s="15"/>
      <c r="Y130" s="15"/>
      <c r="Z130" s="15"/>
    </row>
    <row r="131" spans="1:26" s="261" customFormat="1" x14ac:dyDescent="0.25">
      <c r="A131" s="281"/>
      <c r="B131" s="278"/>
      <c r="C131" s="278"/>
      <c r="D131" s="278"/>
      <c r="E131" s="278"/>
      <c r="F131" s="278"/>
      <c r="G131" s="278"/>
      <c r="H131" s="278"/>
      <c r="I131" s="278"/>
      <c r="J131" s="278"/>
      <c r="K131" s="289"/>
      <c r="L131" s="278"/>
      <c r="M131" s="278"/>
      <c r="N131" s="278"/>
      <c r="O131" s="278"/>
      <c r="P131" s="289"/>
      <c r="Q131" s="278"/>
      <c r="R131" s="295"/>
      <c r="S131" s="279"/>
      <c r="T131" s="15"/>
      <c r="U131" s="15"/>
      <c r="V131" s="15"/>
      <c r="W131" s="15"/>
      <c r="X131" s="15"/>
      <c r="Y131" s="15"/>
      <c r="Z131" s="15"/>
    </row>
    <row r="132" spans="1:26" s="261" customFormat="1" x14ac:dyDescent="0.25">
      <c r="A132" s="281"/>
      <c r="B132" s="275"/>
      <c r="C132" s="275"/>
      <c r="D132" s="275"/>
      <c r="E132" s="275"/>
      <c r="F132" s="275"/>
      <c r="G132" s="275"/>
      <c r="H132" s="275"/>
      <c r="I132" s="275"/>
      <c r="J132" s="275"/>
      <c r="K132" s="288"/>
      <c r="L132" s="275"/>
      <c r="M132" s="275"/>
      <c r="N132" s="275"/>
      <c r="O132" s="275"/>
      <c r="P132" s="288"/>
      <c r="Q132" s="275"/>
      <c r="R132" s="294"/>
      <c r="S132" s="276"/>
      <c r="T132" s="15"/>
      <c r="U132" s="15"/>
      <c r="V132" s="15"/>
      <c r="W132" s="15"/>
      <c r="X132" s="15"/>
      <c r="Y132" s="15"/>
      <c r="Z132" s="15"/>
    </row>
    <row r="133" spans="1:26" s="261" customFormat="1" x14ac:dyDescent="0.25">
      <c r="A133" s="282"/>
      <c r="B133" s="278"/>
      <c r="C133" s="278"/>
      <c r="D133" s="278"/>
      <c r="E133" s="278"/>
      <c r="F133" s="278"/>
      <c r="G133" s="278"/>
      <c r="H133" s="278"/>
      <c r="I133" s="278"/>
      <c r="J133" s="278"/>
      <c r="K133" s="289"/>
      <c r="L133" s="278"/>
      <c r="M133" s="278"/>
      <c r="N133" s="278"/>
      <c r="O133" s="278"/>
      <c r="P133" s="289"/>
      <c r="Q133" s="278"/>
      <c r="R133" s="295"/>
      <c r="S133" s="279"/>
      <c r="T133" s="15"/>
      <c r="U133" s="15"/>
      <c r="V133" s="15"/>
      <c r="W133" s="15"/>
      <c r="X133" s="15"/>
      <c r="Y133" s="15"/>
      <c r="Z133" s="15"/>
    </row>
    <row r="134" spans="1:26" s="261" customFormat="1" x14ac:dyDescent="0.25">
      <c r="B134" s="263"/>
      <c r="P134" s="264"/>
      <c r="S134" s="262"/>
      <c r="T134" s="262"/>
      <c r="U134" s="262"/>
      <c r="V134" s="262"/>
    </row>
    <row r="135" spans="1:26" s="261" customFormat="1" x14ac:dyDescent="0.25">
      <c r="S135" s="262"/>
      <c r="T135" s="262"/>
      <c r="U135" s="262"/>
      <c r="V135" s="262"/>
    </row>
    <row r="136" spans="1:26" s="261" customFormat="1" x14ac:dyDescent="0.25">
      <c r="S136" s="262"/>
      <c r="T136" s="262"/>
      <c r="U136" s="262"/>
      <c r="V136" s="262"/>
    </row>
    <row r="137" spans="1:26" s="261" customFormat="1" x14ac:dyDescent="0.25">
      <c r="B137" s="263"/>
      <c r="P137" s="264"/>
      <c r="S137" s="262"/>
      <c r="T137" s="262"/>
      <c r="U137" s="262"/>
      <c r="V137" s="262"/>
    </row>
    <row r="138" spans="1:26" s="261" customFormat="1" x14ac:dyDescent="0.25">
      <c r="S138" s="262"/>
      <c r="T138" s="262"/>
      <c r="U138" s="262"/>
      <c r="V138" s="262"/>
    </row>
    <row r="139" spans="1:26" s="261" customFormat="1" x14ac:dyDescent="0.25">
      <c r="S139" s="262"/>
      <c r="T139" s="262"/>
      <c r="U139" s="262"/>
      <c r="V139" s="262"/>
    </row>
    <row r="140" spans="1:26" s="261" customFormat="1" x14ac:dyDescent="0.25">
      <c r="B140" s="263"/>
      <c r="P140" s="264"/>
      <c r="S140" s="262"/>
      <c r="T140" s="262"/>
      <c r="U140" s="262"/>
      <c r="V140" s="262"/>
    </row>
    <row r="141" spans="1:26" s="261" customFormat="1" x14ac:dyDescent="0.25">
      <c r="S141" s="262"/>
      <c r="T141" s="262"/>
      <c r="U141" s="262"/>
      <c r="V141" s="262"/>
    </row>
    <row r="142" spans="1:26" s="261" customFormat="1" x14ac:dyDescent="0.25">
      <c r="S142" s="262"/>
      <c r="T142" s="262"/>
      <c r="U142" s="262"/>
      <c r="V142" s="262"/>
    </row>
    <row r="143" spans="1:26" s="261" customFormat="1" x14ac:dyDescent="0.25">
      <c r="B143" s="263"/>
      <c r="P143" s="264"/>
      <c r="S143" s="262"/>
      <c r="T143" s="262"/>
      <c r="U143" s="262"/>
      <c r="V143" s="262"/>
    </row>
    <row r="144" spans="1:26" s="261" customFormat="1" x14ac:dyDescent="0.25">
      <c r="S144" s="262"/>
      <c r="T144" s="262"/>
      <c r="U144" s="262"/>
      <c r="V144" s="262"/>
    </row>
    <row r="145" spans="2:22" s="261" customFormat="1" x14ac:dyDescent="0.25">
      <c r="S145" s="262"/>
      <c r="T145" s="262"/>
      <c r="U145" s="262"/>
      <c r="V145" s="262"/>
    </row>
    <row r="146" spans="2:22" s="261" customFormat="1" x14ac:dyDescent="0.25">
      <c r="B146" s="263"/>
      <c r="P146" s="264"/>
      <c r="S146" s="262"/>
      <c r="T146" s="262"/>
      <c r="U146" s="262"/>
      <c r="V146" s="262"/>
    </row>
    <row r="147" spans="2:22" s="261" customFormat="1" x14ac:dyDescent="0.25">
      <c r="S147" s="262"/>
      <c r="T147" s="262"/>
      <c r="U147" s="262"/>
      <c r="V147" s="262"/>
    </row>
    <row r="148" spans="2:22" s="261" customFormat="1" x14ac:dyDescent="0.25">
      <c r="S148" s="262"/>
      <c r="T148" s="262"/>
      <c r="U148" s="262"/>
      <c r="V148" s="262"/>
    </row>
    <row r="149" spans="2:22" s="261" customFormat="1" x14ac:dyDescent="0.25">
      <c r="B149" s="263"/>
      <c r="P149" s="264"/>
      <c r="S149" s="262"/>
      <c r="T149" s="262"/>
      <c r="U149" s="262"/>
      <c r="V149" s="262"/>
    </row>
    <row r="150" spans="2:22" s="261" customFormat="1" x14ac:dyDescent="0.25">
      <c r="S150" s="262"/>
      <c r="T150" s="262"/>
      <c r="U150" s="262"/>
      <c r="V150" s="262"/>
    </row>
    <row r="151" spans="2:22" s="261" customFormat="1" x14ac:dyDescent="0.25">
      <c r="S151" s="262"/>
      <c r="T151" s="262"/>
      <c r="U151" s="262"/>
      <c r="V151" s="262"/>
    </row>
    <row r="152" spans="2:22" s="261" customFormat="1" x14ac:dyDescent="0.25">
      <c r="B152" s="263"/>
      <c r="P152" s="264"/>
      <c r="S152" s="262"/>
      <c r="T152" s="262"/>
      <c r="U152" s="262"/>
      <c r="V152" s="262"/>
    </row>
    <row r="153" spans="2:22" s="261" customFormat="1" x14ac:dyDescent="0.25">
      <c r="S153" s="262"/>
      <c r="T153" s="262"/>
      <c r="U153" s="262"/>
      <c r="V153" s="262"/>
    </row>
    <row r="154" spans="2:22" s="261" customFormat="1" x14ac:dyDescent="0.25">
      <c r="S154" s="262"/>
      <c r="T154" s="262"/>
      <c r="U154" s="262"/>
      <c r="V154" s="262"/>
    </row>
    <row r="155" spans="2:22" s="261" customFormat="1" x14ac:dyDescent="0.25">
      <c r="B155" s="263"/>
      <c r="P155" s="264"/>
      <c r="S155" s="262"/>
      <c r="T155" s="262"/>
      <c r="U155" s="262"/>
      <c r="V155" s="262"/>
    </row>
    <row r="156" spans="2:22" s="261" customFormat="1" x14ac:dyDescent="0.25">
      <c r="S156" s="262"/>
      <c r="T156" s="262"/>
      <c r="U156" s="262"/>
      <c r="V156" s="262"/>
    </row>
    <row r="157" spans="2:22" s="261" customFormat="1" x14ac:dyDescent="0.25">
      <c r="S157" s="262"/>
      <c r="T157" s="262"/>
      <c r="U157" s="262"/>
      <c r="V157" s="262"/>
    </row>
    <row r="158" spans="2:22" s="261" customFormat="1" x14ac:dyDescent="0.25">
      <c r="B158" s="263"/>
      <c r="P158" s="264"/>
      <c r="S158" s="262"/>
      <c r="T158" s="262"/>
      <c r="U158" s="262"/>
      <c r="V158" s="262"/>
    </row>
    <row r="159" spans="2:22" s="261" customFormat="1" x14ac:dyDescent="0.25">
      <c r="S159" s="262"/>
      <c r="T159" s="262"/>
      <c r="U159" s="262"/>
      <c r="V159" s="262"/>
    </row>
    <row r="160" spans="2:22" s="261" customFormat="1" x14ac:dyDescent="0.25">
      <c r="S160" s="262"/>
      <c r="T160" s="262"/>
      <c r="U160" s="262"/>
      <c r="V160" s="262"/>
    </row>
    <row r="161" spans="2:22" s="261" customFormat="1" x14ac:dyDescent="0.25">
      <c r="B161" s="263"/>
      <c r="P161" s="264"/>
      <c r="S161" s="262"/>
      <c r="T161" s="262"/>
      <c r="U161" s="262"/>
      <c r="V161" s="262"/>
    </row>
    <row r="162" spans="2:22" s="261" customFormat="1" x14ac:dyDescent="0.25">
      <c r="S162" s="262"/>
      <c r="T162" s="262"/>
      <c r="U162" s="262"/>
      <c r="V162" s="262"/>
    </row>
    <row r="163" spans="2:22" s="261" customFormat="1" x14ac:dyDescent="0.25">
      <c r="S163" s="262"/>
      <c r="T163" s="262"/>
      <c r="U163" s="262"/>
      <c r="V163" s="262"/>
    </row>
    <row r="164" spans="2:22" s="261" customFormat="1" x14ac:dyDescent="0.25">
      <c r="B164" s="263"/>
      <c r="P164" s="264"/>
      <c r="S164" s="262"/>
      <c r="T164" s="262"/>
      <c r="U164" s="262"/>
      <c r="V164" s="262"/>
    </row>
    <row r="165" spans="2:22" s="261" customFormat="1" x14ac:dyDescent="0.25">
      <c r="S165" s="262"/>
      <c r="T165" s="262"/>
      <c r="U165" s="262"/>
      <c r="V165" s="262"/>
    </row>
    <row r="166" spans="2:22" s="261" customFormat="1" x14ac:dyDescent="0.25">
      <c r="S166" s="262"/>
      <c r="T166" s="262"/>
      <c r="U166" s="262"/>
      <c r="V166" s="262"/>
    </row>
    <row r="167" spans="2:22" s="261" customFormat="1" x14ac:dyDescent="0.25">
      <c r="B167" s="263"/>
      <c r="P167" s="264"/>
      <c r="S167" s="262"/>
      <c r="T167" s="262"/>
      <c r="U167" s="262"/>
      <c r="V167" s="262"/>
    </row>
    <row r="168" spans="2:22" s="261" customFormat="1" x14ac:dyDescent="0.25">
      <c r="S168" s="262"/>
      <c r="T168" s="262"/>
      <c r="U168" s="262"/>
      <c r="V168" s="262"/>
    </row>
    <row r="169" spans="2:22" s="261" customFormat="1" x14ac:dyDescent="0.25">
      <c r="S169" s="262"/>
      <c r="T169" s="262"/>
      <c r="U169" s="262"/>
      <c r="V169" s="262"/>
    </row>
    <row r="170" spans="2:22" s="261" customFormat="1" x14ac:dyDescent="0.25">
      <c r="B170" s="263"/>
      <c r="P170" s="264"/>
      <c r="S170" s="262"/>
      <c r="T170" s="262"/>
      <c r="U170" s="262"/>
      <c r="V170" s="262"/>
    </row>
    <row r="171" spans="2:22" s="261" customFormat="1" x14ac:dyDescent="0.25">
      <c r="S171" s="262"/>
      <c r="T171" s="262"/>
      <c r="U171" s="262"/>
      <c r="V171" s="262"/>
    </row>
    <row r="172" spans="2:22" s="261" customFormat="1" x14ac:dyDescent="0.25">
      <c r="S172" s="262"/>
      <c r="T172" s="262"/>
      <c r="U172" s="262"/>
      <c r="V172" s="262"/>
    </row>
    <row r="173" spans="2:22" s="261" customFormat="1" x14ac:dyDescent="0.25">
      <c r="B173" s="263"/>
      <c r="P173" s="264"/>
      <c r="S173" s="262"/>
      <c r="T173" s="262"/>
      <c r="U173" s="262"/>
      <c r="V173" s="262"/>
    </row>
    <row r="174" spans="2:22" s="261" customFormat="1" x14ac:dyDescent="0.25">
      <c r="S174" s="262"/>
      <c r="T174" s="262"/>
      <c r="U174" s="262"/>
      <c r="V174" s="262"/>
    </row>
    <row r="175" spans="2:22" s="261" customFormat="1" x14ac:dyDescent="0.25">
      <c r="S175" s="262"/>
      <c r="T175" s="262"/>
      <c r="U175" s="262"/>
      <c r="V175" s="262"/>
    </row>
    <row r="176" spans="2:22" s="261" customFormat="1" x14ac:dyDescent="0.25">
      <c r="B176" s="263"/>
      <c r="P176" s="264"/>
      <c r="S176" s="262"/>
      <c r="T176" s="262"/>
      <c r="U176" s="262"/>
      <c r="V176" s="262"/>
    </row>
    <row r="177" spans="2:22" s="261" customFormat="1" x14ac:dyDescent="0.25">
      <c r="S177" s="262"/>
      <c r="T177" s="262"/>
      <c r="U177" s="262"/>
      <c r="V177" s="262"/>
    </row>
    <row r="178" spans="2:22" s="261" customFormat="1" x14ac:dyDescent="0.25">
      <c r="S178" s="262"/>
      <c r="T178" s="262"/>
      <c r="U178" s="262"/>
      <c r="V178" s="262"/>
    </row>
    <row r="179" spans="2:22" s="261" customFormat="1" x14ac:dyDescent="0.25">
      <c r="B179" s="263"/>
      <c r="P179" s="264"/>
      <c r="S179" s="262"/>
      <c r="T179" s="262"/>
      <c r="U179" s="262"/>
      <c r="V179" s="262"/>
    </row>
    <row r="180" spans="2:22" s="261" customFormat="1" x14ac:dyDescent="0.25">
      <c r="S180" s="262"/>
      <c r="T180" s="262"/>
      <c r="U180" s="262"/>
      <c r="V180" s="262"/>
    </row>
    <row r="181" spans="2:22" s="261" customFormat="1" x14ac:dyDescent="0.25">
      <c r="S181" s="262"/>
      <c r="T181" s="262"/>
      <c r="U181" s="262"/>
      <c r="V181" s="262"/>
    </row>
    <row r="182" spans="2:22" s="261" customFormat="1" x14ac:dyDescent="0.25">
      <c r="B182" s="263"/>
      <c r="P182" s="264"/>
      <c r="S182" s="262"/>
      <c r="T182" s="262"/>
      <c r="U182" s="262"/>
      <c r="V182" s="262"/>
    </row>
    <row r="183" spans="2:22" s="261" customFormat="1" x14ac:dyDescent="0.25">
      <c r="S183" s="262"/>
      <c r="T183" s="262"/>
      <c r="U183" s="262"/>
      <c r="V183" s="262"/>
    </row>
    <row r="184" spans="2:22" s="261" customFormat="1" x14ac:dyDescent="0.25">
      <c r="S184" s="262"/>
      <c r="T184" s="262"/>
      <c r="U184" s="262"/>
      <c r="V184" s="262"/>
    </row>
    <row r="185" spans="2:22" s="261" customFormat="1" x14ac:dyDescent="0.25">
      <c r="B185" s="263"/>
      <c r="P185" s="264"/>
      <c r="S185" s="262"/>
      <c r="T185" s="262"/>
      <c r="U185" s="262"/>
      <c r="V185" s="262"/>
    </row>
    <row r="186" spans="2:22" s="261" customFormat="1" x14ac:dyDescent="0.25">
      <c r="S186" s="262"/>
      <c r="T186" s="262"/>
      <c r="U186" s="262"/>
      <c r="V186" s="262"/>
    </row>
    <row r="187" spans="2:22" s="261" customFormat="1" x14ac:dyDescent="0.25">
      <c r="S187" s="262"/>
      <c r="T187" s="262"/>
      <c r="U187" s="262"/>
      <c r="V187" s="262"/>
    </row>
    <row r="188" spans="2:22" s="261" customFormat="1" x14ac:dyDescent="0.25">
      <c r="B188" s="263"/>
      <c r="P188" s="264"/>
      <c r="S188" s="262"/>
      <c r="T188" s="262"/>
      <c r="U188" s="262"/>
      <c r="V188" s="262"/>
    </row>
    <row r="189" spans="2:22" s="261" customFormat="1" x14ac:dyDescent="0.25">
      <c r="S189" s="262"/>
      <c r="T189" s="262"/>
      <c r="U189" s="262"/>
      <c r="V189" s="262"/>
    </row>
    <row r="190" spans="2:22" s="261" customFormat="1" x14ac:dyDescent="0.25">
      <c r="S190" s="262"/>
      <c r="T190" s="262"/>
      <c r="U190" s="262"/>
      <c r="V190" s="262"/>
    </row>
    <row r="191" spans="2:22" s="261" customFormat="1" x14ac:dyDescent="0.25">
      <c r="B191" s="263"/>
      <c r="P191" s="264"/>
      <c r="S191" s="262"/>
      <c r="T191" s="262"/>
      <c r="U191" s="262"/>
      <c r="V191" s="262"/>
    </row>
    <row r="192" spans="2:22" s="261" customFormat="1" x14ac:dyDescent="0.25">
      <c r="S192" s="262"/>
      <c r="T192" s="262"/>
      <c r="U192" s="262"/>
      <c r="V192" s="262"/>
    </row>
    <row r="193" spans="2:22" s="261" customFormat="1" x14ac:dyDescent="0.25">
      <c r="S193" s="262"/>
      <c r="T193" s="262"/>
      <c r="U193" s="262"/>
      <c r="V193" s="262"/>
    </row>
    <row r="194" spans="2:22" s="261" customFormat="1" x14ac:dyDescent="0.25">
      <c r="B194" s="263"/>
      <c r="P194" s="264"/>
      <c r="S194" s="262"/>
      <c r="T194" s="262"/>
      <c r="U194" s="262"/>
      <c r="V194" s="262"/>
    </row>
    <row r="195" spans="2:22" s="261" customFormat="1" x14ac:dyDescent="0.25">
      <c r="S195" s="262"/>
      <c r="T195" s="262"/>
      <c r="U195" s="262"/>
      <c r="V195" s="262"/>
    </row>
    <row r="196" spans="2:22" s="261" customFormat="1" x14ac:dyDescent="0.25">
      <c r="S196" s="262"/>
      <c r="T196" s="262"/>
      <c r="U196" s="262"/>
      <c r="V196" s="262"/>
    </row>
    <row r="197" spans="2:22" s="261" customFormat="1" x14ac:dyDescent="0.25">
      <c r="B197" s="263"/>
      <c r="P197" s="264"/>
      <c r="S197" s="262"/>
      <c r="T197" s="262"/>
      <c r="U197" s="262"/>
      <c r="V197" s="262"/>
    </row>
    <row r="198" spans="2:22" s="261" customFormat="1" x14ac:dyDescent="0.25">
      <c r="S198" s="262"/>
      <c r="T198" s="262"/>
      <c r="U198" s="262"/>
      <c r="V198" s="262"/>
    </row>
    <row r="199" spans="2:22" s="261" customFormat="1" x14ac:dyDescent="0.25">
      <c r="S199" s="262"/>
      <c r="T199" s="262"/>
      <c r="U199" s="262"/>
      <c r="V199" s="262"/>
    </row>
    <row r="200" spans="2:22" s="261" customFormat="1" x14ac:dyDescent="0.25">
      <c r="B200" s="263"/>
      <c r="P200" s="264"/>
      <c r="S200" s="262"/>
      <c r="T200" s="262"/>
      <c r="U200" s="262"/>
      <c r="V200" s="262"/>
    </row>
    <row r="201" spans="2:22" s="261" customFormat="1" x14ac:dyDescent="0.25">
      <c r="S201" s="262"/>
      <c r="T201" s="262"/>
      <c r="U201" s="262"/>
      <c r="V201" s="262"/>
    </row>
    <row r="202" spans="2:22" s="261" customFormat="1" x14ac:dyDescent="0.25">
      <c r="S202" s="262"/>
      <c r="T202" s="262"/>
      <c r="U202" s="262"/>
      <c r="V202" s="262"/>
    </row>
    <row r="203" spans="2:22" s="261" customFormat="1" x14ac:dyDescent="0.25">
      <c r="B203" s="263"/>
      <c r="P203" s="264"/>
      <c r="S203" s="262"/>
      <c r="T203" s="262"/>
      <c r="U203" s="262"/>
      <c r="V203" s="262"/>
    </row>
    <row r="204" spans="2:22" s="261" customFormat="1" x14ac:dyDescent="0.25">
      <c r="S204" s="262"/>
      <c r="T204" s="262"/>
      <c r="U204" s="262"/>
      <c r="V204" s="262"/>
    </row>
    <row r="205" spans="2:22" s="261" customFormat="1" x14ac:dyDescent="0.25">
      <c r="S205" s="262"/>
      <c r="T205" s="262"/>
      <c r="U205" s="262"/>
      <c r="V205" s="262"/>
    </row>
    <row r="206" spans="2:22" s="261" customFormat="1" x14ac:dyDescent="0.25">
      <c r="B206" s="263"/>
      <c r="P206" s="264"/>
      <c r="S206" s="262"/>
      <c r="T206" s="262"/>
      <c r="U206" s="262"/>
      <c r="V206" s="262"/>
    </row>
    <row r="207" spans="2:22" s="261" customFormat="1" x14ac:dyDescent="0.25">
      <c r="S207" s="262"/>
      <c r="T207" s="262"/>
      <c r="U207" s="262"/>
      <c r="V207" s="262"/>
    </row>
    <row r="208" spans="2:22" s="261" customFormat="1" x14ac:dyDescent="0.25">
      <c r="S208" s="262"/>
      <c r="T208" s="262"/>
      <c r="U208" s="262"/>
      <c r="V208" s="262"/>
    </row>
    <row r="209" spans="2:22" s="261" customFormat="1" x14ac:dyDescent="0.25">
      <c r="B209" s="263"/>
      <c r="P209" s="264"/>
      <c r="S209" s="262"/>
      <c r="T209" s="262"/>
      <c r="U209" s="262"/>
      <c r="V209" s="262"/>
    </row>
    <row r="210" spans="2:22" s="261" customFormat="1" x14ac:dyDescent="0.25">
      <c r="S210" s="262"/>
      <c r="T210" s="262"/>
      <c r="U210" s="262"/>
      <c r="V210" s="262"/>
    </row>
    <row r="211" spans="2:22" s="261" customFormat="1" x14ac:dyDescent="0.25">
      <c r="S211" s="262"/>
      <c r="T211" s="262"/>
      <c r="U211" s="262"/>
      <c r="V211" s="262"/>
    </row>
    <row r="212" spans="2:22" s="261" customFormat="1" x14ac:dyDescent="0.25">
      <c r="B212" s="263"/>
      <c r="P212" s="264"/>
      <c r="S212" s="262"/>
      <c r="T212" s="262"/>
      <c r="U212" s="262"/>
      <c r="V212" s="262"/>
    </row>
    <row r="213" spans="2:22" s="261" customFormat="1" x14ac:dyDescent="0.25">
      <c r="S213" s="262"/>
      <c r="T213" s="262"/>
      <c r="U213" s="262"/>
      <c r="V213" s="262"/>
    </row>
    <row r="214" spans="2:22" s="261" customFormat="1" x14ac:dyDescent="0.25">
      <c r="S214" s="262"/>
      <c r="T214" s="262"/>
      <c r="U214" s="262"/>
      <c r="V214" s="262"/>
    </row>
    <row r="215" spans="2:22" s="261" customFormat="1" x14ac:dyDescent="0.25">
      <c r="B215" s="263"/>
      <c r="P215" s="264"/>
      <c r="S215" s="262"/>
      <c r="T215" s="262"/>
      <c r="U215" s="262"/>
      <c r="V215" s="262"/>
    </row>
    <row r="216" spans="2:22" s="261" customFormat="1" x14ac:dyDescent="0.25">
      <c r="S216" s="262"/>
      <c r="T216" s="262"/>
      <c r="U216" s="262"/>
      <c r="V216" s="262"/>
    </row>
    <row r="217" spans="2:22" s="261" customFormat="1" x14ac:dyDescent="0.25">
      <c r="S217" s="262"/>
      <c r="T217" s="262"/>
      <c r="U217" s="262"/>
      <c r="V217" s="262"/>
    </row>
    <row r="218" spans="2:22" s="261" customFormat="1" x14ac:dyDescent="0.25">
      <c r="B218" s="263"/>
      <c r="P218" s="264"/>
      <c r="S218" s="262"/>
      <c r="T218" s="262"/>
      <c r="U218" s="262"/>
      <c r="V218" s="262"/>
    </row>
    <row r="219" spans="2:22" s="261" customFormat="1" x14ac:dyDescent="0.25">
      <c r="S219" s="262"/>
      <c r="T219" s="262"/>
      <c r="U219" s="262"/>
      <c r="V219" s="262"/>
    </row>
    <row r="220" spans="2:22" s="261" customFormat="1" x14ac:dyDescent="0.25">
      <c r="S220" s="262"/>
      <c r="T220" s="262"/>
      <c r="U220" s="262"/>
      <c r="V220" s="262"/>
    </row>
    <row r="221" spans="2:22" s="261" customFormat="1" x14ac:dyDescent="0.25">
      <c r="B221" s="263"/>
      <c r="P221" s="264"/>
      <c r="S221" s="262"/>
      <c r="T221" s="262"/>
      <c r="U221" s="262"/>
      <c r="V221" s="262"/>
    </row>
    <row r="222" spans="2:22" s="261" customFormat="1" x14ac:dyDescent="0.25">
      <c r="S222" s="262"/>
      <c r="T222" s="262"/>
      <c r="U222" s="262"/>
      <c r="V222" s="262"/>
    </row>
    <row r="223" spans="2:22" s="261" customFormat="1" x14ac:dyDescent="0.25">
      <c r="S223" s="262"/>
      <c r="T223" s="262"/>
      <c r="U223" s="262"/>
      <c r="V223" s="262"/>
    </row>
    <row r="224" spans="2:22" s="261" customFormat="1" x14ac:dyDescent="0.25">
      <c r="B224" s="263"/>
      <c r="P224" s="264"/>
      <c r="S224" s="262"/>
      <c r="T224" s="262"/>
      <c r="U224" s="262"/>
      <c r="V224" s="262"/>
    </row>
    <row r="225" spans="2:22" s="261" customFormat="1" x14ac:dyDescent="0.25">
      <c r="S225" s="262"/>
      <c r="T225" s="262"/>
      <c r="U225" s="262"/>
      <c r="V225" s="262"/>
    </row>
    <row r="226" spans="2:22" s="261" customFormat="1" x14ac:dyDescent="0.25">
      <c r="S226" s="262"/>
      <c r="T226" s="262"/>
      <c r="U226" s="262"/>
      <c r="V226" s="262"/>
    </row>
    <row r="227" spans="2:22" s="261" customFormat="1" x14ac:dyDescent="0.25">
      <c r="B227" s="263"/>
      <c r="P227" s="264"/>
      <c r="S227" s="262"/>
      <c r="T227" s="262"/>
      <c r="U227" s="262"/>
      <c r="V227" s="262"/>
    </row>
    <row r="228" spans="2:22" s="261" customFormat="1" x14ac:dyDescent="0.25">
      <c r="S228" s="262"/>
      <c r="T228" s="262"/>
      <c r="U228" s="262"/>
      <c r="V228" s="262"/>
    </row>
    <row r="229" spans="2:22" s="261" customFormat="1" x14ac:dyDescent="0.25">
      <c r="S229" s="262"/>
      <c r="T229" s="262"/>
      <c r="U229" s="262"/>
      <c r="V229" s="262"/>
    </row>
    <row r="230" spans="2:22" s="261" customFormat="1" x14ac:dyDescent="0.25">
      <c r="B230" s="263"/>
      <c r="P230" s="264"/>
      <c r="S230" s="262"/>
      <c r="T230" s="262"/>
      <c r="U230" s="262"/>
      <c r="V230" s="262"/>
    </row>
    <row r="231" spans="2:22" s="261" customFormat="1" x14ac:dyDescent="0.25">
      <c r="S231" s="262"/>
      <c r="T231" s="262"/>
      <c r="U231" s="262"/>
      <c r="V231" s="262"/>
    </row>
    <row r="232" spans="2:22" s="261" customFormat="1" x14ac:dyDescent="0.25">
      <c r="S232" s="262"/>
      <c r="T232" s="262"/>
      <c r="U232" s="262"/>
      <c r="V232" s="262"/>
    </row>
    <row r="233" spans="2:22" s="261" customFormat="1" x14ac:dyDescent="0.25">
      <c r="B233" s="263"/>
      <c r="P233" s="264"/>
      <c r="S233" s="262"/>
      <c r="T233" s="262"/>
      <c r="U233" s="262"/>
      <c r="V233" s="262"/>
    </row>
    <row r="234" spans="2:22" s="261" customFormat="1" x14ac:dyDescent="0.25">
      <c r="S234" s="262"/>
      <c r="T234" s="262"/>
      <c r="U234" s="262"/>
      <c r="V234" s="262"/>
    </row>
    <row r="235" spans="2:22" s="261" customFormat="1" x14ac:dyDescent="0.25">
      <c r="S235" s="262"/>
      <c r="T235" s="262"/>
      <c r="U235" s="262"/>
      <c r="V235" s="262"/>
    </row>
    <row r="236" spans="2:22" s="261" customFormat="1" x14ac:dyDescent="0.25">
      <c r="B236" s="263"/>
      <c r="P236" s="264"/>
      <c r="S236" s="262"/>
      <c r="T236" s="262"/>
      <c r="U236" s="262"/>
      <c r="V236" s="262"/>
    </row>
    <row r="237" spans="2:22" s="261" customFormat="1" x14ac:dyDescent="0.25">
      <c r="S237" s="262"/>
      <c r="T237" s="262"/>
      <c r="U237" s="262"/>
      <c r="V237" s="262"/>
    </row>
    <row r="238" spans="2:22" s="261" customFormat="1" x14ac:dyDescent="0.25">
      <c r="S238" s="262"/>
      <c r="T238" s="262"/>
      <c r="U238" s="262"/>
      <c r="V238" s="262"/>
    </row>
    <row r="239" spans="2:22" s="261" customFormat="1" x14ac:dyDescent="0.25">
      <c r="B239" s="263"/>
      <c r="P239" s="264"/>
      <c r="S239" s="262"/>
      <c r="T239" s="262"/>
      <c r="U239" s="262"/>
      <c r="V239" s="262"/>
    </row>
    <row r="240" spans="2:22" s="261" customFormat="1" x14ac:dyDescent="0.25">
      <c r="S240" s="262"/>
      <c r="T240" s="262"/>
      <c r="U240" s="262"/>
      <c r="V240" s="262"/>
    </row>
    <row r="241" spans="2:22" s="261" customFormat="1" x14ac:dyDescent="0.25">
      <c r="S241" s="262"/>
      <c r="T241" s="262"/>
      <c r="U241" s="262"/>
      <c r="V241" s="262"/>
    </row>
    <row r="242" spans="2:22" s="261" customFormat="1" x14ac:dyDescent="0.25">
      <c r="B242" s="263"/>
      <c r="P242" s="264"/>
      <c r="S242" s="262"/>
      <c r="T242" s="262"/>
      <c r="U242" s="262"/>
      <c r="V242" s="262"/>
    </row>
    <row r="243" spans="2:22" s="261" customFormat="1" x14ac:dyDescent="0.25">
      <c r="S243" s="262"/>
      <c r="T243" s="262"/>
      <c r="U243" s="262"/>
      <c r="V243" s="262"/>
    </row>
    <row r="244" spans="2:22" s="261" customFormat="1" x14ac:dyDescent="0.25">
      <c r="S244" s="262"/>
      <c r="T244" s="262"/>
      <c r="U244" s="262"/>
      <c r="V244" s="262"/>
    </row>
    <row r="245" spans="2:22" s="261" customFormat="1" x14ac:dyDescent="0.25">
      <c r="B245" s="263"/>
      <c r="P245" s="264"/>
      <c r="S245" s="262"/>
      <c r="T245" s="262"/>
      <c r="U245" s="262"/>
      <c r="V245" s="262"/>
    </row>
    <row r="246" spans="2:22" s="261" customFormat="1" x14ac:dyDescent="0.25">
      <c r="S246" s="262"/>
      <c r="T246" s="262"/>
      <c r="U246" s="262"/>
      <c r="V246" s="262"/>
    </row>
    <row r="247" spans="2:22" s="261" customFormat="1" x14ac:dyDescent="0.25">
      <c r="S247" s="262"/>
      <c r="T247" s="262"/>
      <c r="U247" s="262"/>
      <c r="V247" s="262"/>
    </row>
    <row r="248" spans="2:22" s="261" customFormat="1" x14ac:dyDescent="0.25">
      <c r="B248" s="263"/>
      <c r="P248" s="264"/>
      <c r="S248" s="262"/>
      <c r="T248" s="262"/>
      <c r="U248" s="262"/>
      <c r="V248" s="262"/>
    </row>
    <row r="249" spans="2:22" s="261" customFormat="1" x14ac:dyDescent="0.25">
      <c r="S249" s="262"/>
      <c r="T249" s="262"/>
      <c r="U249" s="262"/>
      <c r="V249" s="262"/>
    </row>
    <row r="250" spans="2:22" s="261" customFormat="1" x14ac:dyDescent="0.25">
      <c r="S250" s="262"/>
      <c r="T250" s="262"/>
      <c r="U250" s="262"/>
      <c r="V250" s="262"/>
    </row>
    <row r="251" spans="2:22" s="261" customFormat="1" x14ac:dyDescent="0.25">
      <c r="B251" s="263"/>
      <c r="P251" s="264"/>
      <c r="S251" s="262"/>
      <c r="T251" s="262"/>
      <c r="U251" s="262"/>
      <c r="V251" s="262"/>
    </row>
    <row r="252" spans="2:22" s="261" customFormat="1" x14ac:dyDescent="0.25">
      <c r="S252" s="262"/>
      <c r="T252" s="262"/>
      <c r="U252" s="262"/>
      <c r="V252" s="262"/>
    </row>
    <row r="253" spans="2:22" s="261" customFormat="1" x14ac:dyDescent="0.25">
      <c r="S253" s="262"/>
      <c r="T253" s="262"/>
      <c r="U253" s="262"/>
      <c r="V253" s="262"/>
    </row>
    <row r="254" spans="2:22" s="261" customFormat="1" x14ac:dyDescent="0.25">
      <c r="B254" s="263"/>
      <c r="P254" s="264"/>
      <c r="S254" s="262"/>
      <c r="T254" s="262"/>
      <c r="U254" s="262"/>
      <c r="V254" s="262"/>
    </row>
    <row r="255" spans="2:22" s="261" customFormat="1" x14ac:dyDescent="0.25">
      <c r="S255" s="262"/>
      <c r="T255" s="262"/>
      <c r="U255" s="262"/>
      <c r="V255" s="262"/>
    </row>
    <row r="256" spans="2:22" s="261" customFormat="1" x14ac:dyDescent="0.25">
      <c r="S256" s="262"/>
      <c r="T256" s="262"/>
      <c r="U256" s="262"/>
      <c r="V256" s="262"/>
    </row>
    <row r="257" spans="2:22" s="261" customFormat="1" x14ac:dyDescent="0.25">
      <c r="B257" s="263"/>
      <c r="P257" s="264"/>
      <c r="S257" s="262"/>
      <c r="T257" s="262"/>
      <c r="U257" s="262"/>
      <c r="V257" s="262"/>
    </row>
    <row r="258" spans="2:22" s="261" customFormat="1" x14ac:dyDescent="0.25">
      <c r="S258" s="262"/>
      <c r="T258" s="262"/>
      <c r="U258" s="262"/>
      <c r="V258" s="262"/>
    </row>
    <row r="259" spans="2:22" s="261" customFormat="1" x14ac:dyDescent="0.25">
      <c r="S259" s="262"/>
      <c r="T259" s="262"/>
      <c r="U259" s="262"/>
      <c r="V259" s="262"/>
    </row>
    <row r="260" spans="2:22" s="261" customFormat="1" x14ac:dyDescent="0.25">
      <c r="B260" s="263"/>
      <c r="P260" s="264"/>
      <c r="S260" s="262"/>
      <c r="T260" s="262"/>
      <c r="U260" s="262"/>
      <c r="V260" s="262"/>
    </row>
    <row r="261" spans="2:22" s="261" customFormat="1" x14ac:dyDescent="0.25">
      <c r="S261" s="262"/>
      <c r="T261" s="262"/>
      <c r="U261" s="262"/>
      <c r="V261" s="262"/>
    </row>
    <row r="262" spans="2:22" s="261" customFormat="1" x14ac:dyDescent="0.25">
      <c r="S262" s="262"/>
      <c r="T262" s="262"/>
      <c r="U262" s="262"/>
      <c r="V262" s="262"/>
    </row>
    <row r="263" spans="2:22" s="261" customFormat="1" x14ac:dyDescent="0.25">
      <c r="B263" s="263"/>
      <c r="P263" s="264"/>
      <c r="S263" s="262"/>
      <c r="T263" s="262"/>
      <c r="U263" s="262"/>
      <c r="V263" s="262"/>
    </row>
    <row r="264" spans="2:22" s="261" customFormat="1" x14ac:dyDescent="0.25">
      <c r="S264" s="262"/>
      <c r="T264" s="262"/>
      <c r="U264" s="262"/>
      <c r="V264" s="262"/>
    </row>
    <row r="265" spans="2:22" s="261" customFormat="1" x14ac:dyDescent="0.25">
      <c r="S265" s="262"/>
      <c r="T265" s="262"/>
      <c r="U265" s="262"/>
      <c r="V265" s="262"/>
    </row>
    <row r="266" spans="2:22" s="261" customFormat="1" x14ac:dyDescent="0.25">
      <c r="B266" s="263"/>
      <c r="P266" s="264"/>
      <c r="S266" s="262"/>
      <c r="T266" s="262"/>
      <c r="U266" s="262"/>
      <c r="V266" s="262"/>
    </row>
    <row r="267" spans="2:22" s="261" customFormat="1" x14ac:dyDescent="0.25">
      <c r="S267" s="262"/>
      <c r="T267" s="262"/>
      <c r="U267" s="262"/>
      <c r="V267" s="262"/>
    </row>
    <row r="268" spans="2:22" s="261" customFormat="1" x14ac:dyDescent="0.25">
      <c r="S268" s="262"/>
      <c r="T268" s="262"/>
      <c r="U268" s="262"/>
      <c r="V268" s="262"/>
    </row>
    <row r="269" spans="2:22" s="261" customFormat="1" x14ac:dyDescent="0.25">
      <c r="B269" s="263"/>
      <c r="P269" s="264"/>
      <c r="S269" s="262"/>
      <c r="T269" s="262"/>
      <c r="U269" s="262"/>
      <c r="V269" s="262"/>
    </row>
    <row r="270" spans="2:22" s="261" customFormat="1" x14ac:dyDescent="0.25">
      <c r="S270" s="262"/>
      <c r="T270" s="262"/>
      <c r="U270" s="262"/>
      <c r="V270" s="262"/>
    </row>
    <row r="271" spans="2:22" s="261" customFormat="1" x14ac:dyDescent="0.25">
      <c r="S271" s="262"/>
      <c r="T271" s="262"/>
      <c r="U271" s="262"/>
      <c r="V271" s="262"/>
    </row>
    <row r="272" spans="2:22" s="261" customFormat="1" x14ac:dyDescent="0.25">
      <c r="B272" s="263"/>
      <c r="P272" s="264"/>
      <c r="S272" s="262"/>
      <c r="T272" s="262"/>
      <c r="U272" s="262"/>
      <c r="V272" s="262"/>
    </row>
    <row r="273" spans="2:22" s="261" customFormat="1" x14ac:dyDescent="0.25">
      <c r="S273" s="262"/>
      <c r="T273" s="262"/>
      <c r="U273" s="262"/>
      <c r="V273" s="262"/>
    </row>
    <row r="274" spans="2:22" s="261" customFormat="1" x14ac:dyDescent="0.25">
      <c r="S274" s="262"/>
      <c r="T274" s="262"/>
      <c r="U274" s="262"/>
      <c r="V274" s="262"/>
    </row>
    <row r="275" spans="2:22" s="261" customFormat="1" x14ac:dyDescent="0.25">
      <c r="B275" s="263"/>
      <c r="P275" s="264"/>
      <c r="S275" s="262"/>
      <c r="T275" s="262"/>
      <c r="U275" s="262"/>
      <c r="V275" s="262"/>
    </row>
    <row r="276" spans="2:22" s="261" customFormat="1" x14ac:dyDescent="0.25">
      <c r="S276" s="262"/>
      <c r="T276" s="262"/>
      <c r="U276" s="262"/>
      <c r="V276" s="262"/>
    </row>
    <row r="277" spans="2:22" s="261" customFormat="1" x14ac:dyDescent="0.25">
      <c r="S277" s="262"/>
      <c r="T277" s="262"/>
      <c r="U277" s="262"/>
      <c r="V277" s="262"/>
    </row>
    <row r="278" spans="2:22" s="261" customFormat="1" x14ac:dyDescent="0.25">
      <c r="B278" s="263"/>
      <c r="P278" s="264"/>
      <c r="S278" s="265"/>
      <c r="T278" s="262"/>
      <c r="U278" s="262"/>
      <c r="V278" s="262"/>
    </row>
    <row r="279" spans="2:22" s="261" customFormat="1" x14ac:dyDescent="0.25">
      <c r="S279" s="262"/>
      <c r="T279" s="262"/>
      <c r="U279" s="262"/>
      <c r="V279" s="262"/>
    </row>
    <row r="280" spans="2:22" s="261" customFormat="1" x14ac:dyDescent="0.25">
      <c r="S280" s="262"/>
      <c r="T280" s="262"/>
      <c r="U280" s="262"/>
      <c r="V280" s="262"/>
    </row>
    <row r="281" spans="2:22" s="261" customFormat="1" x14ac:dyDescent="0.25">
      <c r="B281" s="263"/>
      <c r="P281" s="264"/>
      <c r="S281" s="262"/>
      <c r="T281" s="262"/>
      <c r="U281" s="262"/>
      <c r="V281" s="262"/>
    </row>
    <row r="282" spans="2:22" s="261" customFormat="1" x14ac:dyDescent="0.25">
      <c r="S282" s="262"/>
      <c r="T282" s="262"/>
      <c r="U282" s="262"/>
      <c r="V282" s="262"/>
    </row>
    <row r="283" spans="2:22" s="261" customFormat="1" x14ac:dyDescent="0.25">
      <c r="S283" s="262"/>
      <c r="T283" s="262"/>
      <c r="U283" s="262"/>
      <c r="V283" s="262"/>
    </row>
    <row r="284" spans="2:22" s="261" customFormat="1" x14ac:dyDescent="0.25">
      <c r="B284" s="263"/>
      <c r="P284" s="264"/>
      <c r="S284" s="262"/>
      <c r="T284" s="262"/>
      <c r="U284" s="262"/>
      <c r="V284" s="262"/>
    </row>
    <row r="285" spans="2:22" s="261" customFormat="1" x14ac:dyDescent="0.25">
      <c r="S285" s="262"/>
      <c r="T285" s="262"/>
      <c r="U285" s="262"/>
      <c r="V285" s="262"/>
    </row>
    <row r="286" spans="2:22" s="261" customFormat="1" x14ac:dyDescent="0.25">
      <c r="S286" s="262"/>
      <c r="T286" s="262"/>
      <c r="U286" s="262"/>
      <c r="V286" s="262"/>
    </row>
    <row r="287" spans="2:22" s="261" customFormat="1" x14ac:dyDescent="0.25">
      <c r="B287" s="263"/>
      <c r="P287" s="264"/>
      <c r="S287" s="262"/>
      <c r="T287" s="262"/>
      <c r="U287" s="262"/>
      <c r="V287" s="262"/>
    </row>
    <row r="288" spans="2:22" s="261" customFormat="1" x14ac:dyDescent="0.25">
      <c r="S288" s="262"/>
      <c r="T288" s="262"/>
      <c r="U288" s="262"/>
      <c r="V288" s="262"/>
    </row>
    <row r="289" spans="2:22" s="261" customFormat="1" x14ac:dyDescent="0.25">
      <c r="S289" s="262"/>
      <c r="T289" s="262"/>
      <c r="U289" s="262"/>
      <c r="V289" s="262"/>
    </row>
    <row r="290" spans="2:22" s="261" customFormat="1" x14ac:dyDescent="0.25">
      <c r="B290" s="263"/>
      <c r="P290" s="264"/>
      <c r="S290" s="262"/>
      <c r="T290" s="262"/>
      <c r="U290" s="262"/>
      <c r="V290" s="262"/>
    </row>
    <row r="291" spans="2:22" s="261" customFormat="1" x14ac:dyDescent="0.25">
      <c r="S291" s="262"/>
      <c r="T291" s="262"/>
      <c r="U291" s="262"/>
      <c r="V291" s="262"/>
    </row>
    <row r="292" spans="2:22" s="261" customFormat="1" x14ac:dyDescent="0.25">
      <c r="S292" s="262"/>
      <c r="T292" s="262"/>
      <c r="U292" s="262"/>
      <c r="V292" s="262"/>
    </row>
    <row r="293" spans="2:22" s="261" customFormat="1" x14ac:dyDescent="0.25">
      <c r="B293" s="263"/>
      <c r="P293" s="264"/>
      <c r="S293" s="262"/>
      <c r="T293" s="262"/>
      <c r="U293" s="262"/>
      <c r="V293" s="262"/>
    </row>
    <row r="294" spans="2:22" s="261" customFormat="1" x14ac:dyDescent="0.25">
      <c r="S294" s="262"/>
      <c r="T294" s="262"/>
      <c r="U294" s="262"/>
      <c r="V294" s="262"/>
    </row>
    <row r="295" spans="2:22" s="261" customFormat="1" x14ac:dyDescent="0.25">
      <c r="S295" s="262"/>
      <c r="T295" s="262"/>
      <c r="U295" s="262"/>
      <c r="V295" s="262"/>
    </row>
    <row r="296" spans="2:22" s="261" customFormat="1" x14ac:dyDescent="0.25">
      <c r="B296" s="263"/>
      <c r="P296" s="264"/>
      <c r="S296" s="265"/>
      <c r="T296" s="262"/>
      <c r="U296" s="262"/>
      <c r="V296" s="262"/>
    </row>
    <row r="297" spans="2:22" s="261" customFormat="1" x14ac:dyDescent="0.25">
      <c r="S297" s="262"/>
      <c r="T297" s="262"/>
      <c r="U297" s="262"/>
      <c r="V297" s="262"/>
    </row>
    <row r="298" spans="2:22" s="261" customFormat="1" x14ac:dyDescent="0.25">
      <c r="S298" s="262"/>
      <c r="T298" s="262"/>
      <c r="U298" s="262"/>
      <c r="V298" s="262"/>
    </row>
    <row r="299" spans="2:22" s="261" customFormat="1" x14ac:dyDescent="0.25">
      <c r="B299" s="263"/>
      <c r="P299" s="264"/>
      <c r="S299" s="262"/>
      <c r="T299" s="262"/>
      <c r="U299" s="262"/>
      <c r="V299" s="262"/>
    </row>
    <row r="300" spans="2:22" s="261" customFormat="1" x14ac:dyDescent="0.25">
      <c r="S300" s="262"/>
      <c r="T300" s="262"/>
      <c r="U300" s="262"/>
      <c r="V300" s="262"/>
    </row>
    <row r="301" spans="2:22" s="261" customFormat="1" x14ac:dyDescent="0.25">
      <c r="S301" s="262"/>
      <c r="T301" s="262"/>
      <c r="U301" s="262"/>
      <c r="V301" s="262"/>
    </row>
    <row r="302" spans="2:22" s="261" customFormat="1" x14ac:dyDescent="0.25">
      <c r="B302" s="263"/>
      <c r="P302" s="264"/>
      <c r="S302" s="262"/>
      <c r="T302" s="262"/>
      <c r="U302" s="262"/>
      <c r="V302" s="262"/>
    </row>
    <row r="303" spans="2:22" s="261" customFormat="1" x14ac:dyDescent="0.25">
      <c r="S303" s="262"/>
      <c r="T303" s="262"/>
      <c r="U303" s="262"/>
      <c r="V303" s="262"/>
    </row>
    <row r="304" spans="2:22" s="261" customFormat="1" x14ac:dyDescent="0.25">
      <c r="S304" s="262"/>
      <c r="T304" s="262"/>
      <c r="U304" s="262"/>
      <c r="V304" s="262"/>
    </row>
    <row r="305" spans="2:22" s="261" customFormat="1" x14ac:dyDescent="0.25">
      <c r="B305" s="263"/>
      <c r="P305" s="264"/>
      <c r="S305" s="262"/>
      <c r="T305" s="262"/>
      <c r="U305" s="262"/>
      <c r="V305" s="262"/>
    </row>
    <row r="306" spans="2:22" s="261" customFormat="1" x14ac:dyDescent="0.25">
      <c r="S306" s="262"/>
      <c r="T306" s="262"/>
      <c r="U306" s="262"/>
      <c r="V306" s="262"/>
    </row>
    <row r="307" spans="2:22" s="261" customFormat="1" x14ac:dyDescent="0.25">
      <c r="S307" s="262"/>
      <c r="T307" s="262"/>
      <c r="U307" s="262"/>
      <c r="V307" s="262"/>
    </row>
    <row r="308" spans="2:22" s="261" customFormat="1" x14ac:dyDescent="0.25">
      <c r="B308" s="263"/>
      <c r="P308" s="264"/>
      <c r="S308" s="262"/>
      <c r="T308" s="262"/>
      <c r="U308" s="262"/>
      <c r="V308" s="262"/>
    </row>
    <row r="309" spans="2:22" s="261" customFormat="1" x14ac:dyDescent="0.25">
      <c r="S309" s="262"/>
      <c r="T309" s="262"/>
      <c r="U309" s="262"/>
      <c r="V309" s="262"/>
    </row>
    <row r="310" spans="2:22" s="261" customFormat="1" x14ac:dyDescent="0.25">
      <c r="S310" s="262"/>
      <c r="T310" s="262"/>
      <c r="U310" s="262"/>
      <c r="V310" s="262"/>
    </row>
    <row r="311" spans="2:22" s="261" customFormat="1" x14ac:dyDescent="0.25">
      <c r="B311" s="263"/>
      <c r="P311" s="264"/>
      <c r="S311" s="262"/>
      <c r="T311" s="262"/>
      <c r="U311" s="262"/>
      <c r="V311" s="262"/>
    </row>
    <row r="312" spans="2:22" s="261" customFormat="1" x14ac:dyDescent="0.25">
      <c r="S312" s="262"/>
      <c r="T312" s="262"/>
      <c r="U312" s="262"/>
      <c r="V312" s="262"/>
    </row>
    <row r="313" spans="2:22" s="261" customFormat="1" x14ac:dyDescent="0.25">
      <c r="S313" s="262"/>
      <c r="T313" s="262"/>
      <c r="U313" s="262"/>
      <c r="V313" s="262"/>
    </row>
    <row r="314" spans="2:22" s="261" customFormat="1" x14ac:dyDescent="0.25">
      <c r="B314" s="263"/>
      <c r="P314" s="264"/>
      <c r="S314" s="262"/>
      <c r="T314" s="262"/>
      <c r="U314" s="262"/>
      <c r="V314" s="262"/>
    </row>
    <row r="315" spans="2:22" s="261" customFormat="1" x14ac:dyDescent="0.25">
      <c r="S315" s="262"/>
      <c r="T315" s="262"/>
      <c r="U315" s="262"/>
      <c r="V315" s="262"/>
    </row>
    <row r="316" spans="2:22" s="261" customFormat="1" x14ac:dyDescent="0.25">
      <c r="S316" s="262"/>
      <c r="T316" s="262"/>
      <c r="U316" s="262"/>
      <c r="V316" s="262"/>
    </row>
    <row r="317" spans="2:22" s="261" customFormat="1" x14ac:dyDescent="0.25">
      <c r="B317" s="263"/>
      <c r="P317" s="264"/>
      <c r="S317" s="262"/>
      <c r="T317" s="262"/>
      <c r="U317" s="262"/>
      <c r="V317" s="262"/>
    </row>
    <row r="318" spans="2:22" s="261" customFormat="1" x14ac:dyDescent="0.25">
      <c r="S318" s="262"/>
      <c r="T318" s="262"/>
      <c r="U318" s="262"/>
      <c r="V318" s="262"/>
    </row>
    <row r="319" spans="2:22" s="261" customFormat="1" x14ac:dyDescent="0.25">
      <c r="S319" s="262"/>
      <c r="T319" s="262"/>
      <c r="U319" s="262"/>
      <c r="V319" s="262"/>
    </row>
    <row r="320" spans="2:22" s="261" customFormat="1" x14ac:dyDescent="0.25">
      <c r="B320" s="263"/>
      <c r="P320" s="264"/>
      <c r="S320" s="262"/>
      <c r="T320" s="262"/>
      <c r="U320" s="262"/>
      <c r="V320" s="262"/>
    </row>
    <row r="321" spans="2:22" s="261" customFormat="1" x14ac:dyDescent="0.25">
      <c r="S321" s="262"/>
      <c r="T321" s="262"/>
      <c r="U321" s="262"/>
      <c r="V321" s="262"/>
    </row>
    <row r="322" spans="2:22" s="261" customFormat="1" x14ac:dyDescent="0.25">
      <c r="S322" s="262"/>
      <c r="T322" s="262"/>
      <c r="U322" s="262"/>
      <c r="V322" s="262"/>
    </row>
    <row r="323" spans="2:22" s="261" customFormat="1" x14ac:dyDescent="0.25">
      <c r="B323" s="263"/>
      <c r="P323" s="264"/>
      <c r="S323" s="262"/>
      <c r="T323" s="262"/>
      <c r="U323" s="262"/>
      <c r="V323" s="262"/>
    </row>
    <row r="324" spans="2:22" s="261" customFormat="1" x14ac:dyDescent="0.25">
      <c r="S324" s="262"/>
      <c r="T324" s="262"/>
      <c r="U324" s="262"/>
      <c r="V324" s="262"/>
    </row>
    <row r="325" spans="2:22" s="261" customFormat="1" x14ac:dyDescent="0.25">
      <c r="S325" s="262"/>
      <c r="T325" s="262"/>
      <c r="U325" s="262"/>
      <c r="V325" s="262"/>
    </row>
    <row r="326" spans="2:22" s="261" customFormat="1" x14ac:dyDescent="0.25">
      <c r="B326" s="263"/>
      <c r="P326" s="264"/>
      <c r="S326" s="262"/>
      <c r="T326" s="262"/>
      <c r="U326" s="262"/>
      <c r="V326" s="262"/>
    </row>
    <row r="327" spans="2:22" s="261" customFormat="1" x14ac:dyDescent="0.25">
      <c r="S327" s="262"/>
      <c r="T327" s="262"/>
      <c r="U327" s="262"/>
      <c r="V327" s="262"/>
    </row>
    <row r="328" spans="2:22" s="261" customFormat="1" x14ac:dyDescent="0.25">
      <c r="S328" s="262"/>
      <c r="T328" s="262"/>
      <c r="U328" s="262"/>
      <c r="V328" s="262"/>
    </row>
    <row r="329" spans="2:22" s="261" customFormat="1" x14ac:dyDescent="0.25">
      <c r="B329" s="263"/>
      <c r="P329" s="264"/>
      <c r="S329" s="262"/>
      <c r="T329" s="262"/>
      <c r="U329" s="262"/>
      <c r="V329" s="262"/>
    </row>
    <row r="330" spans="2:22" s="261" customFormat="1" x14ac:dyDescent="0.25">
      <c r="S330" s="262"/>
      <c r="T330" s="262"/>
      <c r="U330" s="262"/>
      <c r="V330" s="262"/>
    </row>
    <row r="331" spans="2:22" s="261" customFormat="1" x14ac:dyDescent="0.25">
      <c r="S331" s="262"/>
      <c r="T331" s="262"/>
      <c r="U331" s="262"/>
      <c r="V331" s="262"/>
    </row>
    <row r="332" spans="2:22" s="261" customFormat="1" x14ac:dyDescent="0.25">
      <c r="B332" s="263"/>
      <c r="P332" s="264"/>
      <c r="S332" s="262"/>
      <c r="T332" s="262"/>
      <c r="U332" s="262"/>
      <c r="V332" s="262"/>
    </row>
    <row r="333" spans="2:22" s="261" customFormat="1" x14ac:dyDescent="0.25">
      <c r="S333" s="262"/>
      <c r="T333" s="262"/>
      <c r="U333" s="262"/>
      <c r="V333" s="262"/>
    </row>
    <row r="334" spans="2:22" s="261" customFormat="1" x14ac:dyDescent="0.25">
      <c r="S334" s="262"/>
      <c r="T334" s="262"/>
      <c r="U334" s="262"/>
      <c r="V334" s="262"/>
    </row>
    <row r="335" spans="2:22" s="261" customFormat="1" x14ac:dyDescent="0.25">
      <c r="B335" s="263"/>
      <c r="P335" s="264"/>
      <c r="S335" s="262"/>
      <c r="T335" s="262"/>
      <c r="U335" s="262"/>
      <c r="V335" s="262"/>
    </row>
    <row r="336" spans="2:22" s="261" customFormat="1" x14ac:dyDescent="0.25">
      <c r="S336" s="262"/>
      <c r="T336" s="262"/>
      <c r="U336" s="262"/>
      <c r="V336" s="262"/>
    </row>
    <row r="337" spans="2:22" s="261" customFormat="1" x14ac:dyDescent="0.25">
      <c r="S337" s="262"/>
      <c r="T337" s="262"/>
      <c r="U337" s="262"/>
      <c r="V337" s="262"/>
    </row>
    <row r="338" spans="2:22" s="261" customFormat="1" x14ac:dyDescent="0.25">
      <c r="B338" s="263"/>
      <c r="P338" s="264"/>
      <c r="S338" s="262"/>
      <c r="T338" s="262"/>
      <c r="U338" s="262"/>
      <c r="V338" s="262"/>
    </row>
    <row r="339" spans="2:22" s="261" customFormat="1" x14ac:dyDescent="0.25">
      <c r="S339" s="262"/>
      <c r="T339" s="262"/>
      <c r="U339" s="262"/>
      <c r="V339" s="262"/>
    </row>
    <row r="340" spans="2:22" s="261" customFormat="1" x14ac:dyDescent="0.25">
      <c r="S340" s="262"/>
      <c r="T340" s="262"/>
      <c r="U340" s="262"/>
      <c r="V340" s="262"/>
    </row>
    <row r="341" spans="2:22" s="261" customFormat="1" x14ac:dyDescent="0.25">
      <c r="B341" s="263"/>
      <c r="P341" s="264"/>
      <c r="S341" s="262"/>
      <c r="T341" s="262"/>
      <c r="U341" s="262"/>
      <c r="V341" s="262"/>
    </row>
    <row r="342" spans="2:22" s="261" customFormat="1" x14ac:dyDescent="0.25">
      <c r="S342" s="262"/>
      <c r="T342" s="262"/>
      <c r="U342" s="262"/>
      <c r="V342" s="262"/>
    </row>
    <row r="343" spans="2:22" s="261" customFormat="1" x14ac:dyDescent="0.25">
      <c r="S343" s="262"/>
      <c r="T343" s="262"/>
      <c r="U343" s="262"/>
      <c r="V343" s="262"/>
    </row>
    <row r="344" spans="2:22" s="261" customFormat="1" x14ac:dyDescent="0.25">
      <c r="B344" s="263"/>
      <c r="P344" s="264"/>
      <c r="S344" s="262"/>
      <c r="T344" s="262"/>
      <c r="U344" s="262"/>
      <c r="V344" s="262"/>
    </row>
    <row r="345" spans="2:22" s="261" customFormat="1" x14ac:dyDescent="0.25">
      <c r="S345" s="262"/>
      <c r="T345" s="262"/>
      <c r="U345" s="262"/>
      <c r="V345" s="262"/>
    </row>
    <row r="346" spans="2:22" s="261" customFormat="1" x14ac:dyDescent="0.25">
      <c r="S346" s="262"/>
      <c r="T346" s="262"/>
      <c r="U346" s="262"/>
      <c r="V346" s="262"/>
    </row>
    <row r="347" spans="2:22" s="261" customFormat="1" x14ac:dyDescent="0.25">
      <c r="B347" s="263"/>
      <c r="P347" s="264"/>
      <c r="S347" s="262"/>
      <c r="T347" s="262"/>
      <c r="U347" s="262"/>
      <c r="V347" s="262"/>
    </row>
    <row r="348" spans="2:22" s="261" customFormat="1" x14ac:dyDescent="0.25">
      <c r="S348" s="262"/>
      <c r="T348" s="262"/>
      <c r="U348" s="262"/>
      <c r="V348" s="262"/>
    </row>
    <row r="349" spans="2:22" s="261" customFormat="1" x14ac:dyDescent="0.25">
      <c r="S349" s="262"/>
      <c r="T349" s="262"/>
      <c r="U349" s="262"/>
      <c r="V349" s="262"/>
    </row>
    <row r="350" spans="2:22" s="261" customFormat="1" x14ac:dyDescent="0.25">
      <c r="B350" s="263"/>
      <c r="P350" s="264"/>
      <c r="S350" s="262"/>
      <c r="T350" s="262"/>
      <c r="U350" s="262"/>
      <c r="V350" s="262"/>
    </row>
    <row r="351" spans="2:22" s="261" customFormat="1" x14ac:dyDescent="0.25">
      <c r="S351" s="262"/>
      <c r="T351" s="262"/>
      <c r="U351" s="262"/>
      <c r="V351" s="262"/>
    </row>
    <row r="352" spans="2:22" s="261" customFormat="1" x14ac:dyDescent="0.25">
      <c r="S352" s="262"/>
      <c r="T352" s="262"/>
      <c r="U352" s="262"/>
      <c r="V352" s="262"/>
    </row>
    <row r="353" spans="2:22" s="261" customFormat="1" x14ac:dyDescent="0.25">
      <c r="B353" s="263"/>
      <c r="P353" s="264"/>
      <c r="S353" s="262"/>
      <c r="T353" s="262"/>
      <c r="U353" s="262"/>
      <c r="V353" s="262"/>
    </row>
    <row r="354" spans="2:22" s="261" customFormat="1" x14ac:dyDescent="0.25">
      <c r="S354" s="262"/>
      <c r="T354" s="262"/>
      <c r="U354" s="262"/>
      <c r="V354" s="262"/>
    </row>
    <row r="355" spans="2:22" s="261" customFormat="1" x14ac:dyDescent="0.25">
      <c r="S355" s="262"/>
      <c r="T355" s="262"/>
      <c r="U355" s="262"/>
      <c r="V355" s="262"/>
    </row>
    <row r="356" spans="2:22" s="261" customFormat="1" x14ac:dyDescent="0.25">
      <c r="B356" s="263"/>
      <c r="P356" s="264"/>
      <c r="S356" s="262"/>
      <c r="T356" s="262"/>
      <c r="U356" s="262"/>
      <c r="V356" s="262"/>
    </row>
    <row r="357" spans="2:22" s="261" customFormat="1" x14ac:dyDescent="0.25">
      <c r="S357" s="262"/>
      <c r="T357" s="262"/>
      <c r="U357" s="262"/>
      <c r="V357" s="262"/>
    </row>
    <row r="358" spans="2:22" s="261" customFormat="1" x14ac:dyDescent="0.25">
      <c r="S358" s="262"/>
      <c r="T358" s="262"/>
      <c r="U358" s="262"/>
      <c r="V358" s="262"/>
    </row>
    <row r="359" spans="2:22" s="261" customFormat="1" x14ac:dyDescent="0.25">
      <c r="B359" s="263"/>
      <c r="P359" s="264"/>
      <c r="S359" s="262"/>
      <c r="T359" s="262"/>
      <c r="U359" s="262"/>
      <c r="V359" s="262"/>
    </row>
    <row r="360" spans="2:22" s="261" customFormat="1" x14ac:dyDescent="0.25">
      <c r="S360" s="262"/>
      <c r="T360" s="262"/>
      <c r="U360" s="262"/>
      <c r="V360" s="262"/>
    </row>
    <row r="361" spans="2:22" s="261" customFormat="1" x14ac:dyDescent="0.25">
      <c r="S361" s="262"/>
      <c r="T361" s="262"/>
      <c r="U361" s="262"/>
      <c r="V361" s="262"/>
    </row>
    <row r="362" spans="2:22" s="261" customFormat="1" x14ac:dyDescent="0.25">
      <c r="B362" s="263"/>
      <c r="P362" s="264"/>
      <c r="S362" s="262"/>
      <c r="T362" s="262"/>
      <c r="U362" s="262"/>
      <c r="V362" s="262"/>
    </row>
    <row r="363" spans="2:22" s="261" customFormat="1" x14ac:dyDescent="0.25">
      <c r="S363" s="262"/>
      <c r="T363" s="262"/>
      <c r="U363" s="262"/>
      <c r="V363" s="262"/>
    </row>
    <row r="364" spans="2:22" s="261" customFormat="1" x14ac:dyDescent="0.25">
      <c r="S364" s="262"/>
      <c r="T364" s="262"/>
      <c r="U364" s="262"/>
      <c r="V364" s="262"/>
    </row>
    <row r="365" spans="2:22" s="261" customFormat="1" x14ac:dyDescent="0.25">
      <c r="B365" s="263"/>
      <c r="P365" s="264"/>
      <c r="S365" s="262"/>
      <c r="T365" s="262"/>
      <c r="U365" s="262"/>
      <c r="V365" s="262"/>
    </row>
    <row r="366" spans="2:22" s="261" customFormat="1" x14ac:dyDescent="0.25">
      <c r="S366" s="262"/>
      <c r="T366" s="262"/>
      <c r="U366" s="262"/>
      <c r="V366" s="262"/>
    </row>
    <row r="367" spans="2:22" s="261" customFormat="1" x14ac:dyDescent="0.25">
      <c r="S367" s="262"/>
      <c r="T367" s="262"/>
      <c r="U367" s="262"/>
      <c r="V367" s="262"/>
    </row>
    <row r="368" spans="2:22" s="261" customFormat="1" x14ac:dyDescent="0.25">
      <c r="B368" s="263"/>
      <c r="P368" s="264"/>
      <c r="S368" s="262"/>
      <c r="T368" s="262"/>
      <c r="U368" s="262"/>
      <c r="V368" s="262"/>
    </row>
    <row r="369" spans="2:22" s="261" customFormat="1" x14ac:dyDescent="0.25">
      <c r="S369" s="262"/>
      <c r="T369" s="262"/>
      <c r="U369" s="262"/>
      <c r="V369" s="262"/>
    </row>
    <row r="370" spans="2:22" s="261" customFormat="1" x14ac:dyDescent="0.25">
      <c r="S370" s="262"/>
      <c r="T370" s="262"/>
      <c r="U370" s="262"/>
      <c r="V370" s="262"/>
    </row>
    <row r="371" spans="2:22" s="261" customFormat="1" x14ac:dyDescent="0.25">
      <c r="B371" s="263"/>
      <c r="P371" s="264"/>
      <c r="S371" s="262"/>
      <c r="T371" s="262"/>
      <c r="U371" s="262"/>
      <c r="V371" s="262"/>
    </row>
    <row r="372" spans="2:22" s="261" customFormat="1" x14ac:dyDescent="0.25">
      <c r="S372" s="262"/>
      <c r="T372" s="262"/>
      <c r="U372" s="262"/>
      <c r="V372" s="262"/>
    </row>
    <row r="373" spans="2:22" s="261" customFormat="1" x14ac:dyDescent="0.25">
      <c r="S373" s="262"/>
      <c r="T373" s="262"/>
      <c r="U373" s="262"/>
      <c r="V373" s="262"/>
    </row>
    <row r="374" spans="2:22" s="261" customFormat="1" x14ac:dyDescent="0.25">
      <c r="B374" s="263"/>
      <c r="P374" s="264"/>
      <c r="S374" s="262"/>
      <c r="T374" s="262"/>
      <c r="U374" s="262"/>
      <c r="V374" s="262"/>
    </row>
    <row r="375" spans="2:22" s="261" customFormat="1" x14ac:dyDescent="0.25">
      <c r="S375" s="262"/>
      <c r="T375" s="262"/>
      <c r="U375" s="262"/>
      <c r="V375" s="262"/>
    </row>
    <row r="376" spans="2:22" s="261" customFormat="1" x14ac:dyDescent="0.25">
      <c r="S376" s="262"/>
      <c r="T376" s="262"/>
      <c r="U376" s="262"/>
      <c r="V376" s="262"/>
    </row>
    <row r="377" spans="2:22" s="261" customFormat="1" x14ac:dyDescent="0.25">
      <c r="B377" s="263"/>
      <c r="P377" s="264"/>
      <c r="S377" s="262"/>
      <c r="T377" s="262"/>
      <c r="U377" s="262"/>
      <c r="V377" s="262"/>
    </row>
    <row r="378" spans="2:22" s="261" customFormat="1" x14ac:dyDescent="0.25">
      <c r="S378" s="262"/>
      <c r="T378" s="262"/>
      <c r="U378" s="262"/>
      <c r="V378" s="262"/>
    </row>
    <row r="379" spans="2:22" s="261" customFormat="1" x14ac:dyDescent="0.25">
      <c r="S379" s="262"/>
      <c r="T379" s="262"/>
      <c r="U379" s="262"/>
      <c r="V379" s="262"/>
    </row>
    <row r="380" spans="2:22" s="261" customFormat="1" x14ac:dyDescent="0.25">
      <c r="B380" s="263"/>
      <c r="P380" s="264"/>
      <c r="S380" s="262"/>
      <c r="T380" s="262"/>
      <c r="U380" s="262"/>
      <c r="V380" s="262"/>
    </row>
    <row r="381" spans="2:22" s="261" customFormat="1" x14ac:dyDescent="0.25">
      <c r="S381" s="262"/>
      <c r="T381" s="262"/>
      <c r="U381" s="262"/>
      <c r="V381" s="262"/>
    </row>
    <row r="382" spans="2:22" s="261" customFormat="1" x14ac:dyDescent="0.25">
      <c r="S382" s="262"/>
      <c r="T382" s="262"/>
      <c r="U382" s="262"/>
      <c r="V382" s="262"/>
    </row>
    <row r="383" spans="2:22" s="261" customFormat="1" x14ac:dyDescent="0.25">
      <c r="B383" s="263"/>
      <c r="P383" s="264"/>
      <c r="S383" s="262"/>
      <c r="T383" s="262"/>
      <c r="U383" s="262"/>
      <c r="V383" s="262"/>
    </row>
    <row r="384" spans="2:22" s="261" customFormat="1" x14ac:dyDescent="0.25">
      <c r="S384" s="262"/>
      <c r="T384" s="262"/>
      <c r="U384" s="262"/>
      <c r="V384" s="262"/>
    </row>
    <row r="385" spans="2:22" s="261" customFormat="1" x14ac:dyDescent="0.25">
      <c r="S385" s="262"/>
      <c r="T385" s="262"/>
      <c r="U385" s="262"/>
      <c r="V385" s="262"/>
    </row>
    <row r="386" spans="2:22" s="261" customFormat="1" x14ac:dyDescent="0.25">
      <c r="B386" s="263"/>
      <c r="P386" s="264"/>
      <c r="S386" s="262"/>
      <c r="T386" s="262"/>
      <c r="U386" s="262"/>
      <c r="V386" s="262"/>
    </row>
    <row r="387" spans="2:22" s="261" customFormat="1" x14ac:dyDescent="0.25">
      <c r="S387" s="262"/>
      <c r="T387" s="262"/>
      <c r="U387" s="262"/>
      <c r="V387" s="262"/>
    </row>
    <row r="388" spans="2:22" s="261" customFormat="1" x14ac:dyDescent="0.25">
      <c r="S388" s="262"/>
      <c r="T388" s="262"/>
      <c r="U388" s="262"/>
      <c r="V388" s="262"/>
    </row>
    <row r="389" spans="2:22" s="261" customFormat="1" x14ac:dyDescent="0.25">
      <c r="B389" s="263"/>
      <c r="P389" s="264"/>
      <c r="S389" s="262"/>
      <c r="T389" s="262"/>
      <c r="U389" s="262"/>
      <c r="V389" s="262"/>
    </row>
    <row r="390" spans="2:22" s="261" customFormat="1" x14ac:dyDescent="0.25">
      <c r="S390" s="262"/>
      <c r="T390" s="262"/>
      <c r="U390" s="262"/>
      <c r="V390" s="262"/>
    </row>
    <row r="391" spans="2:22" s="261" customFormat="1" x14ac:dyDescent="0.25">
      <c r="S391" s="262"/>
      <c r="T391" s="262"/>
      <c r="U391" s="262"/>
      <c r="V391" s="262"/>
    </row>
    <row r="392" spans="2:22" s="261" customFormat="1" x14ac:dyDescent="0.25">
      <c r="B392" s="263"/>
      <c r="P392" s="264"/>
      <c r="S392" s="262"/>
      <c r="T392" s="262"/>
      <c r="U392" s="262"/>
      <c r="V392" s="262"/>
    </row>
    <row r="393" spans="2:22" s="261" customFormat="1" x14ac:dyDescent="0.25">
      <c r="S393" s="262"/>
      <c r="T393" s="262"/>
      <c r="U393" s="262"/>
      <c r="V393" s="262"/>
    </row>
    <row r="394" spans="2:22" s="261" customFormat="1" x14ac:dyDescent="0.25">
      <c r="S394" s="262"/>
      <c r="T394" s="262"/>
      <c r="U394" s="262"/>
      <c r="V394" s="262"/>
    </row>
    <row r="395" spans="2:22" s="261" customFormat="1" x14ac:dyDescent="0.25">
      <c r="B395" s="263"/>
      <c r="P395" s="264"/>
      <c r="S395" s="262"/>
      <c r="T395" s="262"/>
      <c r="U395" s="262"/>
      <c r="V395" s="262"/>
    </row>
    <row r="396" spans="2:22" s="261" customFormat="1" x14ac:dyDescent="0.25">
      <c r="S396" s="262"/>
      <c r="T396" s="262"/>
      <c r="U396" s="262"/>
      <c r="V396" s="262"/>
    </row>
    <row r="397" spans="2:22" s="261" customFormat="1" x14ac:dyDescent="0.25">
      <c r="S397" s="262"/>
      <c r="T397" s="262"/>
      <c r="U397" s="262"/>
      <c r="V397" s="262"/>
    </row>
    <row r="398" spans="2:22" s="261" customFormat="1" x14ac:dyDescent="0.25">
      <c r="B398" s="263"/>
      <c r="P398" s="264"/>
      <c r="S398" s="262"/>
      <c r="T398" s="262"/>
      <c r="U398" s="262"/>
      <c r="V398" s="262"/>
    </row>
    <row r="399" spans="2:22" s="261" customFormat="1" x14ac:dyDescent="0.25">
      <c r="S399" s="262"/>
      <c r="T399" s="262"/>
      <c r="U399" s="262"/>
      <c r="V399" s="262"/>
    </row>
    <row r="400" spans="2:22" s="261" customFormat="1" x14ac:dyDescent="0.25">
      <c r="S400" s="262"/>
      <c r="T400" s="262"/>
      <c r="U400" s="262"/>
      <c r="V400" s="262"/>
    </row>
    <row r="401" spans="2:22" s="261" customFormat="1" x14ac:dyDescent="0.25">
      <c r="B401" s="263"/>
      <c r="P401" s="264"/>
      <c r="S401" s="262"/>
      <c r="T401" s="262"/>
      <c r="U401" s="262"/>
      <c r="V401" s="262"/>
    </row>
    <row r="402" spans="2:22" s="261" customFormat="1" x14ac:dyDescent="0.25">
      <c r="S402" s="262"/>
      <c r="T402" s="262"/>
      <c r="U402" s="262"/>
      <c r="V402" s="262"/>
    </row>
    <row r="403" spans="2:22" s="261" customFormat="1" x14ac:dyDescent="0.25">
      <c r="S403" s="262"/>
      <c r="T403" s="262"/>
      <c r="U403" s="262"/>
      <c r="V403" s="262"/>
    </row>
    <row r="404" spans="2:22" s="261" customFormat="1" x14ac:dyDescent="0.25">
      <c r="B404" s="263"/>
      <c r="P404" s="264"/>
      <c r="S404" s="262"/>
      <c r="T404" s="262"/>
      <c r="U404" s="262"/>
      <c r="V404" s="262"/>
    </row>
    <row r="405" spans="2:22" s="261" customFormat="1" x14ac:dyDescent="0.25">
      <c r="S405" s="262"/>
      <c r="T405" s="262"/>
      <c r="U405" s="262"/>
      <c r="V405" s="262"/>
    </row>
    <row r="406" spans="2:22" s="261" customFormat="1" x14ac:dyDescent="0.25">
      <c r="S406" s="262"/>
      <c r="T406" s="262"/>
      <c r="U406" s="262"/>
      <c r="V406" s="262"/>
    </row>
    <row r="407" spans="2:22" s="261" customFormat="1" x14ac:dyDescent="0.25">
      <c r="B407" s="263"/>
      <c r="P407" s="264"/>
      <c r="S407" s="262"/>
      <c r="T407" s="262"/>
      <c r="U407" s="262"/>
      <c r="V407" s="262"/>
    </row>
    <row r="408" spans="2:22" s="261" customFormat="1" x14ac:dyDescent="0.25">
      <c r="S408" s="262"/>
      <c r="T408" s="262"/>
      <c r="U408" s="262"/>
      <c r="V408" s="262"/>
    </row>
    <row r="409" spans="2:22" s="261" customFormat="1" x14ac:dyDescent="0.25">
      <c r="S409" s="262"/>
      <c r="T409" s="262"/>
      <c r="U409" s="262"/>
      <c r="V409" s="262"/>
    </row>
    <row r="410" spans="2:22" s="261" customFormat="1" x14ac:dyDescent="0.25">
      <c r="B410" s="263"/>
      <c r="P410" s="264"/>
      <c r="S410" s="262"/>
      <c r="T410" s="262"/>
      <c r="U410" s="262"/>
      <c r="V410" s="262"/>
    </row>
    <row r="411" spans="2:22" s="261" customFormat="1" x14ac:dyDescent="0.25">
      <c r="S411" s="262"/>
      <c r="T411" s="262"/>
      <c r="U411" s="262"/>
      <c r="V411" s="262"/>
    </row>
    <row r="412" spans="2:22" s="261" customFormat="1" x14ac:dyDescent="0.25">
      <c r="S412" s="262"/>
      <c r="T412" s="262"/>
      <c r="U412" s="262"/>
      <c r="V412" s="262"/>
    </row>
    <row r="413" spans="2:22" s="261" customFormat="1" x14ac:dyDescent="0.25">
      <c r="B413" s="263"/>
      <c r="P413" s="264"/>
      <c r="S413" s="262"/>
      <c r="T413" s="262"/>
      <c r="U413" s="262"/>
      <c r="V413" s="262"/>
    </row>
    <row r="414" spans="2:22" s="261" customFormat="1" x14ac:dyDescent="0.25">
      <c r="S414" s="262"/>
      <c r="T414" s="262"/>
      <c r="U414" s="262"/>
      <c r="V414" s="262"/>
    </row>
    <row r="415" spans="2:22" s="261" customFormat="1" x14ac:dyDescent="0.25">
      <c r="S415" s="262"/>
      <c r="T415" s="262"/>
      <c r="U415" s="262"/>
      <c r="V415" s="262"/>
    </row>
    <row r="416" spans="2:22" s="261" customFormat="1" x14ac:dyDescent="0.25">
      <c r="B416" s="263"/>
      <c r="P416" s="264"/>
      <c r="S416" s="262"/>
      <c r="T416" s="262"/>
      <c r="U416" s="262"/>
      <c r="V416" s="262"/>
    </row>
    <row r="417" spans="2:22" s="261" customFormat="1" x14ac:dyDescent="0.25">
      <c r="S417" s="262"/>
      <c r="T417" s="262"/>
      <c r="U417" s="262"/>
      <c r="V417" s="262"/>
    </row>
    <row r="418" spans="2:22" s="261" customFormat="1" x14ac:dyDescent="0.25">
      <c r="S418" s="262"/>
      <c r="T418" s="262"/>
      <c r="U418" s="262"/>
      <c r="V418" s="262"/>
    </row>
    <row r="419" spans="2:22" s="261" customFormat="1" x14ac:dyDescent="0.25">
      <c r="B419" s="263"/>
      <c r="P419" s="264"/>
      <c r="S419" s="262"/>
      <c r="T419" s="262"/>
      <c r="U419" s="262"/>
      <c r="V419" s="262"/>
    </row>
    <row r="420" spans="2:22" s="261" customFormat="1" x14ac:dyDescent="0.25">
      <c r="S420" s="262"/>
      <c r="T420" s="262"/>
      <c r="U420" s="262"/>
      <c r="V420" s="262"/>
    </row>
    <row r="421" spans="2:22" s="261" customFormat="1" x14ac:dyDescent="0.25">
      <c r="S421" s="262"/>
      <c r="T421" s="262"/>
      <c r="U421" s="262"/>
      <c r="V421" s="262"/>
    </row>
    <row r="422" spans="2:22" s="261" customFormat="1" x14ac:dyDescent="0.25">
      <c r="B422" s="263"/>
      <c r="P422" s="264"/>
      <c r="S422" s="262"/>
      <c r="T422" s="262"/>
      <c r="U422" s="262"/>
      <c r="V422" s="262"/>
    </row>
    <row r="423" spans="2:22" s="261" customFormat="1" x14ac:dyDescent="0.25">
      <c r="S423" s="262"/>
      <c r="T423" s="262"/>
      <c r="U423" s="262"/>
      <c r="V423" s="262"/>
    </row>
    <row r="424" spans="2:22" s="261" customFormat="1" x14ac:dyDescent="0.25">
      <c r="S424" s="262"/>
      <c r="T424" s="262"/>
      <c r="U424" s="262"/>
      <c r="V424" s="262"/>
    </row>
    <row r="425" spans="2:22" s="261" customFormat="1" x14ac:dyDescent="0.25">
      <c r="B425" s="263"/>
      <c r="P425" s="264"/>
      <c r="S425" s="262"/>
      <c r="T425" s="262"/>
      <c r="U425" s="262"/>
      <c r="V425" s="262"/>
    </row>
    <row r="426" spans="2:22" s="261" customFormat="1" x14ac:dyDescent="0.25">
      <c r="S426" s="262"/>
      <c r="T426" s="262"/>
      <c r="U426" s="262"/>
      <c r="V426" s="262"/>
    </row>
    <row r="427" spans="2:22" s="261" customFormat="1" x14ac:dyDescent="0.25">
      <c r="S427" s="262"/>
      <c r="T427" s="262"/>
      <c r="U427" s="262"/>
      <c r="V427" s="262"/>
    </row>
    <row r="428" spans="2:22" s="261" customFormat="1" x14ac:dyDescent="0.25">
      <c r="B428" s="263"/>
      <c r="P428" s="264"/>
      <c r="S428" s="262"/>
      <c r="T428" s="262"/>
      <c r="U428" s="262"/>
      <c r="V428" s="262"/>
    </row>
    <row r="429" spans="2:22" s="261" customFormat="1" x14ac:dyDescent="0.25">
      <c r="S429" s="262"/>
      <c r="T429" s="262"/>
      <c r="U429" s="262"/>
      <c r="V429" s="262"/>
    </row>
    <row r="430" spans="2:22" s="261" customFormat="1" x14ac:dyDescent="0.25">
      <c r="S430" s="262"/>
      <c r="T430" s="262"/>
      <c r="U430" s="262"/>
      <c r="V430" s="262"/>
    </row>
    <row r="431" spans="2:22" s="261" customFormat="1" x14ac:dyDescent="0.25">
      <c r="B431" s="263"/>
      <c r="P431" s="264"/>
      <c r="S431" s="262"/>
      <c r="T431" s="262"/>
      <c r="U431" s="262"/>
      <c r="V431" s="262"/>
    </row>
    <row r="432" spans="2:22" s="261" customFormat="1" x14ac:dyDescent="0.25">
      <c r="S432" s="262"/>
      <c r="T432" s="262"/>
      <c r="U432" s="262"/>
      <c r="V432" s="262"/>
    </row>
    <row r="433" spans="2:22" s="261" customFormat="1" x14ac:dyDescent="0.25">
      <c r="S433" s="262"/>
      <c r="T433" s="262"/>
      <c r="U433" s="262"/>
      <c r="V433" s="262"/>
    </row>
    <row r="434" spans="2:22" s="261" customFormat="1" x14ac:dyDescent="0.25">
      <c r="B434" s="263"/>
      <c r="P434" s="264"/>
      <c r="S434" s="262"/>
      <c r="T434" s="262"/>
      <c r="U434" s="262"/>
      <c r="V434" s="262"/>
    </row>
    <row r="435" spans="2:22" s="261" customFormat="1" x14ac:dyDescent="0.25">
      <c r="S435" s="262"/>
      <c r="T435" s="262"/>
      <c r="U435" s="262"/>
      <c r="V435" s="262"/>
    </row>
    <row r="436" spans="2:22" s="261" customFormat="1" x14ac:dyDescent="0.25">
      <c r="S436" s="262"/>
      <c r="T436" s="262"/>
      <c r="U436" s="262"/>
      <c r="V436" s="262"/>
    </row>
    <row r="437" spans="2:22" s="261" customFormat="1" x14ac:dyDescent="0.25">
      <c r="B437" s="263"/>
      <c r="P437" s="264"/>
      <c r="S437" s="262"/>
      <c r="T437" s="262"/>
      <c r="U437" s="262"/>
      <c r="V437" s="262"/>
    </row>
    <row r="438" spans="2:22" s="261" customFormat="1" x14ac:dyDescent="0.25">
      <c r="S438" s="262"/>
      <c r="T438" s="262"/>
      <c r="U438" s="262"/>
      <c r="V438" s="262"/>
    </row>
    <row r="439" spans="2:22" s="261" customFormat="1" x14ac:dyDescent="0.25">
      <c r="S439" s="262"/>
      <c r="T439" s="262"/>
      <c r="U439" s="262"/>
      <c r="V439" s="262"/>
    </row>
    <row r="440" spans="2:22" s="261" customFormat="1" x14ac:dyDescent="0.25">
      <c r="B440" s="263"/>
      <c r="P440" s="264"/>
      <c r="S440" s="262"/>
      <c r="T440" s="262"/>
      <c r="U440" s="262"/>
      <c r="V440" s="262"/>
    </row>
    <row r="441" spans="2:22" s="261" customFormat="1" x14ac:dyDescent="0.25">
      <c r="S441" s="262"/>
      <c r="T441" s="262"/>
      <c r="U441" s="262"/>
      <c r="V441" s="262"/>
    </row>
    <row r="442" spans="2:22" s="261" customFormat="1" x14ac:dyDescent="0.25">
      <c r="S442" s="262"/>
      <c r="T442" s="262"/>
      <c r="U442" s="262"/>
      <c r="V442" s="262"/>
    </row>
    <row r="443" spans="2:22" s="261" customFormat="1" x14ac:dyDescent="0.25">
      <c r="B443" s="263"/>
      <c r="P443" s="264"/>
      <c r="S443" s="262"/>
      <c r="T443" s="262"/>
      <c r="U443" s="262"/>
      <c r="V443" s="262"/>
    </row>
    <row r="444" spans="2:22" s="261" customFormat="1" x14ac:dyDescent="0.25">
      <c r="S444" s="262"/>
      <c r="T444" s="262"/>
      <c r="U444" s="262"/>
      <c r="V444" s="262"/>
    </row>
    <row r="445" spans="2:22" s="261" customFormat="1" x14ac:dyDescent="0.25">
      <c r="S445" s="262"/>
      <c r="T445" s="262"/>
      <c r="U445" s="262"/>
      <c r="V445" s="262"/>
    </row>
    <row r="446" spans="2:22" s="261" customFormat="1" x14ac:dyDescent="0.25">
      <c r="B446" s="263"/>
      <c r="P446" s="264"/>
      <c r="S446" s="262"/>
      <c r="T446" s="262"/>
      <c r="U446" s="262"/>
      <c r="V446" s="262"/>
    </row>
    <row r="447" spans="2:22" s="261" customFormat="1" x14ac:dyDescent="0.25">
      <c r="S447" s="262"/>
      <c r="T447" s="262"/>
      <c r="U447" s="262"/>
      <c r="V447" s="262"/>
    </row>
    <row r="448" spans="2:22" s="261" customFormat="1" x14ac:dyDescent="0.25">
      <c r="S448" s="262"/>
      <c r="T448" s="262"/>
      <c r="U448" s="262"/>
      <c r="V448" s="262"/>
    </row>
    <row r="449" spans="2:22" s="261" customFormat="1" x14ac:dyDescent="0.25">
      <c r="B449" s="263"/>
      <c r="P449" s="264"/>
      <c r="S449" s="262"/>
      <c r="T449" s="262"/>
      <c r="U449" s="262"/>
      <c r="V449" s="262"/>
    </row>
    <row r="450" spans="2:22" s="261" customFormat="1" x14ac:dyDescent="0.25">
      <c r="S450" s="262"/>
      <c r="T450" s="262"/>
      <c r="U450" s="262"/>
      <c r="V450" s="262"/>
    </row>
    <row r="451" spans="2:22" s="261" customFormat="1" x14ac:dyDescent="0.25">
      <c r="S451" s="262"/>
      <c r="T451" s="262"/>
      <c r="U451" s="262"/>
      <c r="V451" s="262"/>
    </row>
    <row r="452" spans="2:22" s="261" customFormat="1" x14ac:dyDescent="0.25">
      <c r="B452" s="263"/>
      <c r="P452" s="264"/>
      <c r="S452" s="262"/>
      <c r="T452" s="262"/>
      <c r="U452" s="262"/>
      <c r="V452" s="262"/>
    </row>
    <row r="453" spans="2:22" s="261" customFormat="1" x14ac:dyDescent="0.25">
      <c r="S453" s="262"/>
      <c r="T453" s="262"/>
      <c r="U453" s="262"/>
      <c r="V453" s="262"/>
    </row>
    <row r="454" spans="2:22" s="261" customFormat="1" x14ac:dyDescent="0.25">
      <c r="S454" s="262"/>
      <c r="T454" s="262"/>
      <c r="U454" s="262"/>
      <c r="V454" s="262"/>
    </row>
    <row r="455" spans="2:22" s="261" customFormat="1" x14ac:dyDescent="0.25">
      <c r="B455" s="263"/>
      <c r="P455" s="264"/>
      <c r="S455" s="262"/>
      <c r="T455" s="262"/>
      <c r="U455" s="262"/>
      <c r="V455" s="262"/>
    </row>
    <row r="456" spans="2:22" s="261" customFormat="1" x14ac:dyDescent="0.25">
      <c r="S456" s="262"/>
      <c r="T456" s="262"/>
      <c r="U456" s="262"/>
      <c r="V456" s="262"/>
    </row>
    <row r="457" spans="2:22" s="261" customFormat="1" x14ac:dyDescent="0.25">
      <c r="S457" s="262"/>
      <c r="T457" s="262"/>
      <c r="U457" s="262"/>
      <c r="V457" s="262"/>
    </row>
    <row r="458" spans="2:22" s="261" customFormat="1" x14ac:dyDescent="0.25">
      <c r="B458" s="263"/>
      <c r="P458" s="264"/>
      <c r="S458" s="262"/>
      <c r="T458" s="262"/>
      <c r="U458" s="262"/>
      <c r="V458" s="262"/>
    </row>
    <row r="459" spans="2:22" s="261" customFormat="1" x14ac:dyDescent="0.25">
      <c r="S459" s="262"/>
      <c r="T459" s="262"/>
      <c r="U459" s="262"/>
      <c r="V459" s="262"/>
    </row>
    <row r="460" spans="2:22" s="261" customFormat="1" x14ac:dyDescent="0.25">
      <c r="S460" s="262"/>
      <c r="T460" s="262"/>
      <c r="U460" s="262"/>
      <c r="V460" s="262"/>
    </row>
    <row r="461" spans="2:22" s="261" customFormat="1" x14ac:dyDescent="0.25">
      <c r="B461" s="263"/>
      <c r="P461" s="264"/>
      <c r="S461" s="262"/>
      <c r="T461" s="262"/>
      <c r="U461" s="262"/>
      <c r="V461" s="262"/>
    </row>
    <row r="462" spans="2:22" s="261" customFormat="1" x14ac:dyDescent="0.25">
      <c r="S462" s="262"/>
      <c r="T462" s="262"/>
      <c r="U462" s="262"/>
      <c r="V462" s="262"/>
    </row>
    <row r="463" spans="2:22" s="261" customFormat="1" x14ac:dyDescent="0.25">
      <c r="S463" s="262"/>
      <c r="T463" s="262"/>
      <c r="U463" s="262"/>
      <c r="V463" s="262"/>
    </row>
    <row r="464" spans="2:22" s="261" customFormat="1" x14ac:dyDescent="0.25">
      <c r="B464" s="263"/>
      <c r="P464" s="264"/>
      <c r="S464" s="262"/>
      <c r="T464" s="262"/>
      <c r="U464" s="262"/>
      <c r="V464" s="262"/>
    </row>
    <row r="465" spans="2:22" s="261" customFormat="1" x14ac:dyDescent="0.25">
      <c r="S465" s="262"/>
      <c r="T465" s="262"/>
      <c r="U465" s="262"/>
      <c r="V465" s="262"/>
    </row>
    <row r="466" spans="2:22" s="261" customFormat="1" x14ac:dyDescent="0.25">
      <c r="S466" s="262"/>
      <c r="T466" s="262"/>
      <c r="U466" s="262"/>
      <c r="V466" s="262"/>
    </row>
    <row r="467" spans="2:22" s="261" customFormat="1" x14ac:dyDescent="0.25">
      <c r="B467" s="263"/>
      <c r="P467" s="264"/>
      <c r="S467" s="262"/>
      <c r="T467" s="262"/>
      <c r="U467" s="262"/>
      <c r="V467" s="262"/>
    </row>
    <row r="468" spans="2:22" s="261" customFormat="1" x14ac:dyDescent="0.25">
      <c r="S468" s="262"/>
      <c r="T468" s="262"/>
      <c r="U468" s="262"/>
      <c r="V468" s="262"/>
    </row>
    <row r="469" spans="2:22" s="261" customFormat="1" x14ac:dyDescent="0.25">
      <c r="S469" s="262"/>
      <c r="T469" s="262"/>
      <c r="U469" s="262"/>
      <c r="V469" s="262"/>
    </row>
    <row r="470" spans="2:22" s="261" customFormat="1" x14ac:dyDescent="0.25">
      <c r="B470" s="263"/>
      <c r="P470" s="264"/>
      <c r="S470" s="262"/>
      <c r="T470" s="262"/>
      <c r="U470" s="262"/>
      <c r="V470" s="262"/>
    </row>
    <row r="471" spans="2:22" s="261" customFormat="1" x14ac:dyDescent="0.25">
      <c r="S471" s="262"/>
      <c r="T471" s="262"/>
      <c r="U471" s="262"/>
      <c r="V471" s="262"/>
    </row>
    <row r="472" spans="2:22" s="261" customFormat="1" x14ac:dyDescent="0.25">
      <c r="S472" s="262"/>
      <c r="T472" s="262"/>
      <c r="U472" s="262"/>
      <c r="V472" s="262"/>
    </row>
    <row r="473" spans="2:22" s="261" customFormat="1" x14ac:dyDescent="0.25">
      <c r="B473" s="263"/>
      <c r="P473" s="264"/>
      <c r="S473" s="262"/>
      <c r="T473" s="262"/>
      <c r="U473" s="262"/>
      <c r="V473" s="262"/>
    </row>
    <row r="474" spans="2:22" s="261" customFormat="1" x14ac:dyDescent="0.25">
      <c r="S474" s="262"/>
      <c r="T474" s="262"/>
      <c r="U474" s="262"/>
      <c r="V474" s="262"/>
    </row>
    <row r="475" spans="2:22" s="261" customFormat="1" x14ac:dyDescent="0.25">
      <c r="S475" s="262"/>
      <c r="T475" s="262"/>
      <c r="U475" s="262"/>
      <c r="V475" s="262"/>
    </row>
    <row r="476" spans="2:22" s="261" customFormat="1" x14ac:dyDescent="0.25">
      <c r="B476" s="263"/>
      <c r="P476" s="264"/>
      <c r="S476" s="262"/>
      <c r="T476" s="262"/>
      <c r="U476" s="262"/>
      <c r="V476" s="262"/>
    </row>
    <row r="477" spans="2:22" s="261" customFormat="1" x14ac:dyDescent="0.25">
      <c r="S477" s="262"/>
      <c r="T477" s="262"/>
      <c r="U477" s="262"/>
      <c r="V477" s="262"/>
    </row>
    <row r="478" spans="2:22" s="261" customFormat="1" x14ac:dyDescent="0.25">
      <c r="S478" s="262"/>
      <c r="T478" s="262"/>
      <c r="U478" s="262"/>
      <c r="V478" s="262"/>
    </row>
    <row r="479" spans="2:22" s="261" customFormat="1" x14ac:dyDescent="0.25">
      <c r="B479" s="263"/>
      <c r="P479" s="264"/>
      <c r="S479" s="262"/>
      <c r="T479" s="262"/>
      <c r="U479" s="262"/>
      <c r="V479" s="262"/>
    </row>
    <row r="480" spans="2:22" s="261" customFormat="1" x14ac:dyDescent="0.25">
      <c r="S480" s="262"/>
      <c r="T480" s="262"/>
      <c r="U480" s="262"/>
      <c r="V480" s="262"/>
    </row>
    <row r="481" spans="2:22" s="261" customFormat="1" x14ac:dyDescent="0.25">
      <c r="S481" s="262"/>
      <c r="T481" s="262"/>
      <c r="U481" s="262"/>
      <c r="V481" s="262"/>
    </row>
    <row r="482" spans="2:22" s="261" customFormat="1" x14ac:dyDescent="0.25">
      <c r="B482" s="263"/>
      <c r="P482" s="264"/>
      <c r="S482" s="262"/>
      <c r="T482" s="262"/>
      <c r="U482" s="262"/>
      <c r="V482" s="262"/>
    </row>
    <row r="483" spans="2:22" s="261" customFormat="1" x14ac:dyDescent="0.25">
      <c r="S483" s="262"/>
      <c r="T483" s="262"/>
      <c r="U483" s="262"/>
      <c r="V483" s="262"/>
    </row>
    <row r="484" spans="2:22" s="261" customFormat="1" x14ac:dyDescent="0.25">
      <c r="S484" s="262"/>
      <c r="T484" s="262"/>
      <c r="U484" s="262"/>
      <c r="V484" s="262"/>
    </row>
    <row r="485" spans="2:22" s="261" customFormat="1" x14ac:dyDescent="0.25">
      <c r="B485" s="263"/>
      <c r="P485" s="264"/>
      <c r="S485" s="262"/>
      <c r="T485" s="262"/>
      <c r="U485" s="262"/>
      <c r="V485" s="262"/>
    </row>
    <row r="486" spans="2:22" s="261" customFormat="1" x14ac:dyDescent="0.25">
      <c r="S486" s="262"/>
      <c r="T486" s="262"/>
      <c r="U486" s="262"/>
      <c r="V486" s="262"/>
    </row>
    <row r="487" spans="2:22" s="261" customFormat="1" x14ac:dyDescent="0.25">
      <c r="S487" s="262"/>
      <c r="T487" s="262"/>
      <c r="U487" s="262"/>
      <c r="V487" s="262"/>
    </row>
    <row r="488" spans="2:22" s="261" customFormat="1" x14ac:dyDescent="0.25">
      <c r="B488" s="263"/>
      <c r="P488" s="264"/>
      <c r="S488" s="262"/>
      <c r="T488" s="262"/>
      <c r="U488" s="262"/>
      <c r="V488" s="262"/>
    </row>
    <row r="489" spans="2:22" s="261" customFormat="1" x14ac:dyDescent="0.25">
      <c r="S489" s="262"/>
      <c r="T489" s="262"/>
      <c r="U489" s="262"/>
      <c r="V489" s="262"/>
    </row>
    <row r="490" spans="2:22" s="261" customFormat="1" x14ac:dyDescent="0.25">
      <c r="S490" s="262"/>
      <c r="T490" s="262"/>
      <c r="U490" s="262"/>
      <c r="V490" s="262"/>
    </row>
    <row r="491" spans="2:22" s="261" customFormat="1" x14ac:dyDescent="0.25">
      <c r="B491" s="263"/>
      <c r="P491" s="264"/>
      <c r="S491" s="262"/>
      <c r="T491" s="262"/>
      <c r="U491" s="262"/>
      <c r="V491" s="262"/>
    </row>
    <row r="492" spans="2:22" s="261" customFormat="1" x14ac:dyDescent="0.25">
      <c r="S492" s="262"/>
      <c r="T492" s="262"/>
      <c r="U492" s="262"/>
      <c r="V492" s="262"/>
    </row>
    <row r="493" spans="2:22" s="261" customFormat="1" x14ac:dyDescent="0.25">
      <c r="S493" s="262"/>
      <c r="T493" s="262"/>
      <c r="U493" s="262"/>
      <c r="V493" s="262"/>
    </row>
    <row r="494" spans="2:22" s="261" customFormat="1" x14ac:dyDescent="0.25">
      <c r="B494" s="263"/>
      <c r="P494" s="264"/>
      <c r="S494" s="262"/>
      <c r="T494" s="262"/>
      <c r="U494" s="262"/>
      <c r="V494" s="262"/>
    </row>
    <row r="495" spans="2:22" s="261" customFormat="1" x14ac:dyDescent="0.25">
      <c r="S495" s="262"/>
      <c r="T495" s="262"/>
      <c r="U495" s="262"/>
      <c r="V495" s="262"/>
    </row>
    <row r="496" spans="2:22" s="261" customFormat="1" x14ac:dyDescent="0.25">
      <c r="S496" s="262"/>
      <c r="T496" s="262"/>
      <c r="U496" s="262"/>
      <c r="V496" s="262"/>
    </row>
    <row r="497" spans="2:22" s="261" customFormat="1" x14ac:dyDescent="0.25">
      <c r="B497" s="263"/>
      <c r="P497" s="264"/>
      <c r="S497" s="262"/>
      <c r="T497" s="262"/>
      <c r="U497" s="262"/>
      <c r="V497" s="262"/>
    </row>
    <row r="498" spans="2:22" s="261" customFormat="1" x14ac:dyDescent="0.25">
      <c r="S498" s="262"/>
      <c r="T498" s="262"/>
      <c r="U498" s="262"/>
      <c r="V498" s="262"/>
    </row>
    <row r="499" spans="2:22" s="261" customFormat="1" x14ac:dyDescent="0.25">
      <c r="S499" s="262"/>
      <c r="T499" s="262"/>
      <c r="U499" s="262"/>
      <c r="V499" s="262"/>
    </row>
    <row r="500" spans="2:22" s="261" customFormat="1" x14ac:dyDescent="0.25">
      <c r="B500" s="263"/>
      <c r="P500" s="264"/>
      <c r="S500" s="262"/>
      <c r="T500" s="262"/>
      <c r="U500" s="262"/>
      <c r="V500" s="262"/>
    </row>
    <row r="501" spans="2:22" s="261" customFormat="1" x14ac:dyDescent="0.25">
      <c r="S501" s="262"/>
      <c r="T501" s="262"/>
      <c r="U501" s="262"/>
      <c r="V501" s="262"/>
    </row>
    <row r="502" spans="2:22" s="261" customFormat="1" x14ac:dyDescent="0.25">
      <c r="S502" s="262"/>
      <c r="T502" s="262"/>
      <c r="U502" s="262"/>
      <c r="V502" s="262"/>
    </row>
    <row r="503" spans="2:22" s="261" customFormat="1" x14ac:dyDescent="0.25">
      <c r="B503" s="263"/>
      <c r="P503" s="264"/>
      <c r="S503" s="262"/>
      <c r="T503" s="262"/>
      <c r="U503" s="262"/>
      <c r="V503" s="262"/>
    </row>
    <row r="504" spans="2:22" s="261" customFormat="1" x14ac:dyDescent="0.25">
      <c r="S504" s="262"/>
      <c r="T504" s="262"/>
      <c r="U504" s="262"/>
      <c r="V504" s="262"/>
    </row>
    <row r="505" spans="2:22" s="261" customFormat="1" x14ac:dyDescent="0.25">
      <c r="S505" s="262"/>
      <c r="T505" s="262"/>
      <c r="U505" s="262"/>
      <c r="V505" s="262"/>
    </row>
    <row r="506" spans="2:22" s="261" customFormat="1" x14ac:dyDescent="0.25">
      <c r="B506" s="263"/>
      <c r="P506" s="264"/>
      <c r="S506" s="262"/>
      <c r="T506" s="262"/>
      <c r="U506" s="262"/>
      <c r="V506" s="262"/>
    </row>
    <row r="507" spans="2:22" s="261" customFormat="1" x14ac:dyDescent="0.25">
      <c r="S507" s="262"/>
      <c r="T507" s="262"/>
      <c r="U507" s="262"/>
      <c r="V507" s="262"/>
    </row>
    <row r="508" spans="2:22" s="261" customFormat="1" x14ac:dyDescent="0.25">
      <c r="S508" s="262"/>
      <c r="T508" s="262"/>
      <c r="U508" s="262"/>
      <c r="V508" s="262"/>
    </row>
    <row r="509" spans="2:22" s="261" customFormat="1" x14ac:dyDescent="0.25">
      <c r="B509" s="263"/>
      <c r="P509" s="264"/>
      <c r="S509" s="262"/>
      <c r="T509" s="262"/>
      <c r="U509" s="262"/>
      <c r="V509" s="262"/>
    </row>
    <row r="510" spans="2:22" s="261" customFormat="1" x14ac:dyDescent="0.25">
      <c r="S510" s="262"/>
      <c r="T510" s="262"/>
      <c r="U510" s="262"/>
      <c r="V510" s="262"/>
    </row>
    <row r="511" spans="2:22" s="261" customFormat="1" x14ac:dyDescent="0.25">
      <c r="S511" s="262"/>
      <c r="T511" s="262"/>
      <c r="U511" s="262"/>
      <c r="V511" s="262"/>
    </row>
    <row r="512" spans="2:22" s="261" customFormat="1" x14ac:dyDescent="0.25">
      <c r="B512" s="263"/>
      <c r="P512" s="264"/>
      <c r="S512" s="262"/>
      <c r="T512" s="262"/>
      <c r="U512" s="262"/>
      <c r="V512" s="262"/>
    </row>
    <row r="513" spans="2:22" s="261" customFormat="1" x14ac:dyDescent="0.25">
      <c r="S513" s="262"/>
      <c r="T513" s="262"/>
      <c r="U513" s="262"/>
      <c r="V513" s="262"/>
    </row>
    <row r="514" spans="2:22" s="261" customFormat="1" x14ac:dyDescent="0.25">
      <c r="S514" s="262"/>
      <c r="T514" s="262"/>
      <c r="U514" s="262"/>
      <c r="V514" s="262"/>
    </row>
    <row r="515" spans="2:22" s="261" customFormat="1" x14ac:dyDescent="0.25">
      <c r="B515" s="263"/>
      <c r="P515" s="264"/>
      <c r="S515" s="262"/>
      <c r="T515" s="262"/>
      <c r="U515" s="262"/>
      <c r="V515" s="262"/>
    </row>
    <row r="516" spans="2:22" s="261" customFormat="1" x14ac:dyDescent="0.25">
      <c r="S516" s="262"/>
      <c r="T516" s="262"/>
      <c r="U516" s="262"/>
      <c r="V516" s="262"/>
    </row>
    <row r="517" spans="2:22" s="261" customFormat="1" x14ac:dyDescent="0.25">
      <c r="S517" s="262"/>
      <c r="T517" s="262"/>
      <c r="U517" s="262"/>
      <c r="V517" s="262"/>
    </row>
    <row r="518" spans="2:22" s="261" customFormat="1" x14ac:dyDescent="0.25">
      <c r="B518" s="263"/>
      <c r="P518" s="264"/>
      <c r="S518" s="262"/>
      <c r="T518" s="262"/>
      <c r="U518" s="262"/>
      <c r="V518" s="262"/>
    </row>
    <row r="519" spans="2:22" s="261" customFormat="1" x14ac:dyDescent="0.25">
      <c r="S519" s="262"/>
      <c r="T519" s="262"/>
      <c r="U519" s="262"/>
      <c r="V519" s="262"/>
    </row>
    <row r="520" spans="2:22" s="261" customFormat="1" x14ac:dyDescent="0.25">
      <c r="S520" s="262"/>
      <c r="T520" s="262"/>
      <c r="U520" s="262"/>
      <c r="V520" s="262"/>
    </row>
    <row r="521" spans="2:22" s="261" customFormat="1" x14ac:dyDescent="0.25">
      <c r="B521" s="263"/>
      <c r="P521" s="264"/>
      <c r="S521" s="262"/>
      <c r="T521" s="262"/>
      <c r="U521" s="262"/>
      <c r="V521" s="262"/>
    </row>
    <row r="522" spans="2:22" s="261" customFormat="1" x14ac:dyDescent="0.25">
      <c r="S522" s="262"/>
      <c r="T522" s="262"/>
      <c r="U522" s="262"/>
      <c r="V522" s="262"/>
    </row>
    <row r="523" spans="2:22" s="261" customFormat="1" x14ac:dyDescent="0.25">
      <c r="S523" s="262"/>
      <c r="T523" s="262"/>
      <c r="U523" s="262"/>
      <c r="V523" s="262"/>
    </row>
    <row r="524" spans="2:22" s="261" customFormat="1" x14ac:dyDescent="0.25">
      <c r="B524" s="263"/>
      <c r="P524" s="264"/>
      <c r="S524" s="262"/>
      <c r="T524" s="262"/>
      <c r="U524" s="262"/>
      <c r="V524" s="262"/>
    </row>
    <row r="525" spans="2:22" s="261" customFormat="1" x14ac:dyDescent="0.25">
      <c r="S525" s="262"/>
      <c r="T525" s="262"/>
      <c r="U525" s="262"/>
      <c r="V525" s="262"/>
    </row>
    <row r="526" spans="2:22" s="261" customFormat="1" x14ac:dyDescent="0.25">
      <c r="S526" s="262"/>
      <c r="T526" s="262"/>
      <c r="U526" s="262"/>
      <c r="V526" s="262"/>
    </row>
    <row r="527" spans="2:22" s="261" customFormat="1" x14ac:dyDescent="0.25">
      <c r="B527" s="263"/>
      <c r="P527" s="264"/>
      <c r="S527" s="262"/>
      <c r="T527" s="262"/>
      <c r="U527" s="262"/>
      <c r="V527" s="262"/>
    </row>
    <row r="528" spans="2:22" s="261" customFormat="1" x14ac:dyDescent="0.25">
      <c r="S528" s="262"/>
      <c r="T528" s="262"/>
      <c r="U528" s="262"/>
      <c r="V528" s="262"/>
    </row>
    <row r="529" spans="2:22" s="261" customFormat="1" x14ac:dyDescent="0.25">
      <c r="S529" s="262"/>
      <c r="T529" s="262"/>
      <c r="U529" s="262"/>
      <c r="V529" s="262"/>
    </row>
    <row r="530" spans="2:22" s="261" customFormat="1" x14ac:dyDescent="0.25">
      <c r="B530" s="263"/>
      <c r="P530" s="264"/>
      <c r="S530" s="262"/>
      <c r="T530" s="262"/>
      <c r="U530" s="262"/>
      <c r="V530" s="262"/>
    </row>
    <row r="531" spans="2:22" s="261" customFormat="1" x14ac:dyDescent="0.25">
      <c r="S531" s="262"/>
      <c r="T531" s="262"/>
      <c r="U531" s="262"/>
      <c r="V531" s="262"/>
    </row>
    <row r="532" spans="2:22" s="261" customFormat="1" x14ac:dyDescent="0.25">
      <c r="S532" s="262"/>
      <c r="T532" s="262"/>
      <c r="U532" s="262"/>
      <c r="V532" s="262"/>
    </row>
    <row r="533" spans="2:22" s="261" customFormat="1" x14ac:dyDescent="0.25">
      <c r="B533" s="263"/>
      <c r="P533" s="264"/>
      <c r="S533" s="262"/>
      <c r="T533" s="262"/>
      <c r="U533" s="262"/>
      <c r="V533" s="262"/>
    </row>
    <row r="534" spans="2:22" s="261" customFormat="1" x14ac:dyDescent="0.25">
      <c r="S534" s="262"/>
      <c r="T534" s="262"/>
      <c r="U534" s="262"/>
      <c r="V534" s="262"/>
    </row>
    <row r="535" spans="2:22" s="261" customFormat="1" x14ac:dyDescent="0.25">
      <c r="S535" s="262"/>
      <c r="T535" s="262"/>
      <c r="U535" s="262"/>
      <c r="V535" s="262"/>
    </row>
    <row r="536" spans="2:22" s="261" customFormat="1" x14ac:dyDescent="0.25">
      <c r="B536" s="263"/>
      <c r="P536" s="264"/>
      <c r="S536" s="262"/>
      <c r="T536" s="262"/>
      <c r="U536" s="262"/>
      <c r="V536" s="262"/>
    </row>
    <row r="537" spans="2:22" s="261" customFormat="1" x14ac:dyDescent="0.25">
      <c r="S537" s="262"/>
      <c r="T537" s="262"/>
      <c r="U537" s="262"/>
      <c r="V537" s="262"/>
    </row>
    <row r="538" spans="2:22" s="261" customFormat="1" x14ac:dyDescent="0.25">
      <c r="S538" s="262"/>
      <c r="T538" s="262"/>
      <c r="U538" s="262"/>
      <c r="V538" s="262"/>
    </row>
    <row r="539" spans="2:22" s="261" customFormat="1" x14ac:dyDescent="0.25">
      <c r="B539" s="263"/>
      <c r="P539" s="264"/>
      <c r="S539" s="262"/>
      <c r="T539" s="262"/>
      <c r="U539" s="262"/>
      <c r="V539" s="262"/>
    </row>
    <row r="540" spans="2:22" s="261" customFormat="1" x14ac:dyDescent="0.25">
      <c r="S540" s="262"/>
      <c r="T540" s="262"/>
      <c r="U540" s="262"/>
      <c r="V540" s="262"/>
    </row>
    <row r="541" spans="2:22" s="261" customFormat="1" x14ac:dyDescent="0.25">
      <c r="S541" s="262"/>
      <c r="T541" s="262"/>
      <c r="U541" s="262"/>
      <c r="V541" s="262"/>
    </row>
    <row r="542" spans="2:22" s="261" customFormat="1" x14ac:dyDescent="0.25">
      <c r="B542" s="263"/>
      <c r="P542" s="264"/>
      <c r="S542" s="262"/>
      <c r="T542" s="262"/>
      <c r="U542" s="262"/>
      <c r="V542" s="262"/>
    </row>
    <row r="543" spans="2:22" s="261" customFormat="1" x14ac:dyDescent="0.25">
      <c r="S543" s="262"/>
      <c r="T543" s="262"/>
      <c r="U543" s="262"/>
      <c r="V543" s="262"/>
    </row>
    <row r="544" spans="2:22" s="261" customFormat="1" x14ac:dyDescent="0.25">
      <c r="S544" s="262"/>
      <c r="T544" s="262"/>
      <c r="U544" s="262"/>
      <c r="V544" s="262"/>
    </row>
    <row r="545" spans="2:22" s="261" customFormat="1" x14ac:dyDescent="0.25">
      <c r="B545" s="263"/>
      <c r="P545" s="264"/>
      <c r="S545" s="262"/>
      <c r="T545" s="262"/>
      <c r="U545" s="262"/>
      <c r="V545" s="262"/>
    </row>
    <row r="546" spans="2:22" s="261" customFormat="1" x14ac:dyDescent="0.25">
      <c r="S546" s="262"/>
      <c r="T546" s="262"/>
      <c r="U546" s="262"/>
      <c r="V546" s="262"/>
    </row>
    <row r="547" spans="2:22" s="261" customFormat="1" x14ac:dyDescent="0.25">
      <c r="S547" s="262"/>
      <c r="T547" s="262"/>
      <c r="U547" s="262"/>
      <c r="V547" s="262"/>
    </row>
    <row r="548" spans="2:22" s="261" customFormat="1" x14ac:dyDescent="0.25">
      <c r="B548" s="263"/>
      <c r="P548" s="264"/>
      <c r="S548" s="262"/>
      <c r="T548" s="262"/>
      <c r="U548" s="262"/>
      <c r="V548" s="262"/>
    </row>
    <row r="549" spans="2:22" s="261" customFormat="1" x14ac:dyDescent="0.25">
      <c r="S549" s="262"/>
      <c r="T549" s="262"/>
      <c r="U549" s="262"/>
      <c r="V549" s="262"/>
    </row>
    <row r="550" spans="2:22" s="261" customFormat="1" x14ac:dyDescent="0.25">
      <c r="S550" s="262"/>
      <c r="T550" s="262"/>
      <c r="U550" s="262"/>
      <c r="V550" s="262"/>
    </row>
    <row r="551" spans="2:22" s="261" customFormat="1" x14ac:dyDescent="0.25">
      <c r="B551" s="263"/>
      <c r="P551" s="264"/>
      <c r="S551" s="262"/>
      <c r="T551" s="262"/>
      <c r="U551" s="262"/>
      <c r="V551" s="262"/>
    </row>
    <row r="552" spans="2:22" s="261" customFormat="1" x14ac:dyDescent="0.25">
      <c r="S552" s="262"/>
      <c r="T552" s="262"/>
      <c r="U552" s="262"/>
      <c r="V552" s="262"/>
    </row>
    <row r="553" spans="2:22" s="261" customFormat="1" x14ac:dyDescent="0.25">
      <c r="S553" s="262"/>
      <c r="T553" s="262"/>
      <c r="U553" s="262"/>
      <c r="V553" s="262"/>
    </row>
    <row r="554" spans="2:22" s="261" customFormat="1" x14ac:dyDescent="0.25">
      <c r="B554" s="263"/>
      <c r="P554" s="264"/>
      <c r="S554" s="262"/>
      <c r="T554" s="262"/>
      <c r="U554" s="262"/>
      <c r="V554" s="262"/>
    </row>
    <row r="555" spans="2:22" s="261" customFormat="1" x14ac:dyDescent="0.25">
      <c r="S555" s="262"/>
      <c r="T555" s="262"/>
      <c r="U555" s="262"/>
      <c r="V555" s="262"/>
    </row>
    <row r="556" spans="2:22" s="261" customFormat="1" x14ac:dyDescent="0.25">
      <c r="S556" s="262"/>
      <c r="T556" s="262"/>
      <c r="U556" s="262"/>
      <c r="V556" s="262"/>
    </row>
    <row r="557" spans="2:22" s="261" customFormat="1" x14ac:dyDescent="0.25">
      <c r="B557" s="263"/>
      <c r="P557" s="264"/>
      <c r="S557" s="262"/>
      <c r="T557" s="262"/>
      <c r="U557" s="262"/>
      <c r="V557" s="262"/>
    </row>
    <row r="558" spans="2:22" s="261" customFormat="1" x14ac:dyDescent="0.25">
      <c r="S558" s="262"/>
      <c r="T558" s="262"/>
      <c r="U558" s="262"/>
      <c r="V558" s="262"/>
    </row>
    <row r="559" spans="2:22" s="261" customFormat="1" x14ac:dyDescent="0.25">
      <c r="S559" s="262"/>
      <c r="T559" s="262"/>
      <c r="U559" s="262"/>
      <c r="V559" s="262"/>
    </row>
    <row r="560" spans="2:22" s="261" customFormat="1" x14ac:dyDescent="0.25">
      <c r="B560" s="263"/>
      <c r="P560" s="264"/>
      <c r="S560" s="262"/>
      <c r="T560" s="262"/>
      <c r="U560" s="262"/>
      <c r="V560" s="262"/>
    </row>
    <row r="561" spans="2:22" s="261" customFormat="1" x14ac:dyDescent="0.25">
      <c r="S561" s="262"/>
      <c r="T561" s="262"/>
      <c r="U561" s="262"/>
      <c r="V561" s="262"/>
    </row>
    <row r="562" spans="2:22" s="261" customFormat="1" x14ac:dyDescent="0.25">
      <c r="S562" s="262"/>
      <c r="T562" s="262"/>
      <c r="U562" s="262"/>
      <c r="V562" s="262"/>
    </row>
    <row r="563" spans="2:22" s="261" customFormat="1" x14ac:dyDescent="0.25">
      <c r="B563" s="263"/>
      <c r="P563" s="264"/>
      <c r="S563" s="262"/>
      <c r="T563" s="262"/>
      <c r="U563" s="262"/>
      <c r="V563" s="262"/>
    </row>
    <row r="564" spans="2:22" s="261" customFormat="1" x14ac:dyDescent="0.25">
      <c r="S564" s="262"/>
      <c r="T564" s="262"/>
      <c r="U564" s="262"/>
      <c r="V564" s="262"/>
    </row>
    <row r="565" spans="2:22" s="261" customFormat="1" x14ac:dyDescent="0.25">
      <c r="S565" s="262"/>
      <c r="T565" s="262"/>
      <c r="U565" s="262"/>
      <c r="V565" s="262"/>
    </row>
    <row r="566" spans="2:22" s="261" customFormat="1" x14ac:dyDescent="0.25">
      <c r="B566" s="263"/>
      <c r="P566" s="264"/>
      <c r="S566" s="262"/>
      <c r="T566" s="262"/>
      <c r="U566" s="262"/>
      <c r="V566" s="262"/>
    </row>
    <row r="567" spans="2:22" s="261" customFormat="1" x14ac:dyDescent="0.25">
      <c r="S567" s="262"/>
      <c r="T567" s="262"/>
      <c r="U567" s="262"/>
      <c r="V567" s="262"/>
    </row>
    <row r="568" spans="2:22" s="261" customFormat="1" x14ac:dyDescent="0.25">
      <c r="S568" s="262"/>
      <c r="T568" s="262"/>
      <c r="U568" s="262"/>
      <c r="V568" s="262"/>
    </row>
    <row r="569" spans="2:22" s="261" customFormat="1" x14ac:dyDescent="0.25">
      <c r="B569" s="263"/>
      <c r="P569" s="264"/>
      <c r="S569" s="262"/>
      <c r="T569" s="262"/>
      <c r="U569" s="262"/>
      <c r="V569" s="262"/>
    </row>
    <row r="570" spans="2:22" s="261" customFormat="1" x14ac:dyDescent="0.25">
      <c r="S570" s="262"/>
      <c r="T570" s="262"/>
      <c r="U570" s="262"/>
      <c r="V570" s="262"/>
    </row>
    <row r="571" spans="2:22" s="261" customFormat="1" x14ac:dyDescent="0.25">
      <c r="S571" s="262"/>
      <c r="T571" s="262"/>
      <c r="U571" s="262"/>
      <c r="V571" s="262"/>
    </row>
    <row r="572" spans="2:22" s="261" customFormat="1" x14ac:dyDescent="0.25">
      <c r="B572" s="263"/>
      <c r="P572" s="264"/>
      <c r="S572" s="262"/>
      <c r="T572" s="262"/>
      <c r="U572" s="262"/>
      <c r="V572" s="262"/>
    </row>
    <row r="573" spans="2:22" s="261" customFormat="1" x14ac:dyDescent="0.25">
      <c r="S573" s="262"/>
      <c r="T573" s="262"/>
      <c r="U573" s="262"/>
      <c r="V573" s="262"/>
    </row>
    <row r="574" spans="2:22" s="261" customFormat="1" x14ac:dyDescent="0.25">
      <c r="S574" s="262"/>
      <c r="T574" s="262"/>
      <c r="U574" s="262"/>
      <c r="V574" s="262"/>
    </row>
    <row r="575" spans="2:22" s="261" customFormat="1" x14ac:dyDescent="0.25">
      <c r="B575" s="263"/>
      <c r="P575" s="264"/>
      <c r="S575" s="262"/>
      <c r="T575" s="262"/>
      <c r="U575" s="262"/>
      <c r="V575" s="262"/>
    </row>
    <row r="576" spans="2:22" s="261" customFormat="1" x14ac:dyDescent="0.25">
      <c r="S576" s="262"/>
      <c r="T576" s="262"/>
      <c r="U576" s="262"/>
      <c r="V576" s="262"/>
    </row>
    <row r="577" spans="2:22" s="261" customFormat="1" x14ac:dyDescent="0.25">
      <c r="S577" s="262"/>
      <c r="T577" s="262"/>
      <c r="U577" s="262"/>
      <c r="V577" s="262"/>
    </row>
    <row r="578" spans="2:22" s="261" customFormat="1" x14ac:dyDescent="0.25">
      <c r="B578" s="263"/>
      <c r="P578" s="264"/>
      <c r="S578" s="262"/>
      <c r="T578" s="262"/>
      <c r="U578" s="262"/>
      <c r="V578" s="262"/>
    </row>
    <row r="579" spans="2:22" s="261" customFormat="1" x14ac:dyDescent="0.25">
      <c r="S579" s="262"/>
      <c r="T579" s="262"/>
      <c r="U579" s="262"/>
      <c r="V579" s="262"/>
    </row>
    <row r="580" spans="2:22" s="261" customFormat="1" x14ac:dyDescent="0.25">
      <c r="S580" s="262"/>
      <c r="T580" s="262"/>
      <c r="U580" s="262"/>
      <c r="V580" s="262"/>
    </row>
    <row r="581" spans="2:22" s="261" customFormat="1" x14ac:dyDescent="0.25">
      <c r="B581" s="263"/>
      <c r="P581" s="264"/>
      <c r="S581" s="262"/>
      <c r="T581" s="262"/>
      <c r="U581" s="262"/>
      <c r="V581" s="262"/>
    </row>
    <row r="582" spans="2:22" s="261" customFormat="1" x14ac:dyDescent="0.25">
      <c r="S582" s="262"/>
      <c r="T582" s="262"/>
      <c r="U582" s="262"/>
      <c r="V582" s="262"/>
    </row>
    <row r="583" spans="2:22" s="261" customFormat="1" x14ac:dyDescent="0.25">
      <c r="S583" s="262"/>
      <c r="T583" s="262"/>
      <c r="U583" s="262"/>
      <c r="V583" s="262"/>
    </row>
    <row r="584" spans="2:22" s="261" customFormat="1" x14ac:dyDescent="0.25">
      <c r="B584" s="263"/>
      <c r="P584" s="264"/>
      <c r="S584" s="262"/>
      <c r="T584" s="262"/>
      <c r="U584" s="262"/>
      <c r="V584" s="262"/>
    </row>
    <row r="585" spans="2:22" s="261" customFormat="1" x14ac:dyDescent="0.25">
      <c r="S585" s="262"/>
      <c r="T585" s="262"/>
      <c r="U585" s="262"/>
      <c r="V585" s="262"/>
    </row>
    <row r="586" spans="2:22" s="261" customFormat="1" x14ac:dyDescent="0.25">
      <c r="S586" s="262"/>
      <c r="T586" s="262"/>
      <c r="U586" s="262"/>
      <c r="V586" s="262"/>
    </row>
    <row r="587" spans="2:22" s="261" customFormat="1" x14ac:dyDescent="0.25">
      <c r="B587" s="263"/>
      <c r="P587" s="264"/>
      <c r="S587" s="262"/>
      <c r="T587" s="262"/>
      <c r="U587" s="262"/>
      <c r="V587" s="262"/>
    </row>
    <row r="588" spans="2:22" s="261" customFormat="1" x14ac:dyDescent="0.25">
      <c r="S588" s="262"/>
      <c r="T588" s="262"/>
      <c r="U588" s="262"/>
      <c r="V588" s="262"/>
    </row>
    <row r="589" spans="2:22" s="261" customFormat="1" x14ac:dyDescent="0.25">
      <c r="S589" s="262"/>
      <c r="T589" s="262"/>
      <c r="U589" s="262"/>
      <c r="V589" s="262"/>
    </row>
    <row r="590" spans="2:22" s="261" customFormat="1" x14ac:dyDescent="0.25">
      <c r="B590" s="263"/>
      <c r="P590" s="264"/>
      <c r="S590" s="262"/>
      <c r="T590" s="262"/>
      <c r="U590" s="262"/>
      <c r="V590" s="262"/>
    </row>
    <row r="591" spans="2:22" s="261" customFormat="1" x14ac:dyDescent="0.25">
      <c r="S591" s="262"/>
      <c r="T591" s="262"/>
      <c r="U591" s="262"/>
      <c r="V591" s="262"/>
    </row>
    <row r="592" spans="2:22" s="261" customFormat="1" x14ac:dyDescent="0.25">
      <c r="S592" s="262"/>
      <c r="T592" s="262"/>
      <c r="U592" s="262"/>
      <c r="V592" s="262"/>
    </row>
    <row r="593" spans="2:22" s="261" customFormat="1" x14ac:dyDescent="0.25">
      <c r="B593" s="263"/>
      <c r="P593" s="264"/>
      <c r="S593" s="262"/>
      <c r="T593" s="262"/>
      <c r="U593" s="262"/>
      <c r="V593" s="262"/>
    </row>
    <row r="594" spans="2:22" s="261" customFormat="1" x14ac:dyDescent="0.25">
      <c r="S594" s="262"/>
      <c r="T594" s="262"/>
      <c r="U594" s="262"/>
      <c r="V594" s="262"/>
    </row>
    <row r="595" spans="2:22" s="261" customFormat="1" x14ac:dyDescent="0.25">
      <c r="S595" s="262"/>
      <c r="T595" s="262"/>
      <c r="U595" s="262"/>
      <c r="V595" s="262"/>
    </row>
    <row r="596" spans="2:22" s="261" customFormat="1" x14ac:dyDescent="0.25">
      <c r="B596" s="263"/>
      <c r="P596" s="264"/>
      <c r="S596" s="262"/>
      <c r="T596" s="262"/>
      <c r="U596" s="262"/>
      <c r="V596" s="262"/>
    </row>
    <row r="597" spans="2:22" s="261" customFormat="1" x14ac:dyDescent="0.25">
      <c r="S597" s="262"/>
      <c r="T597" s="262"/>
      <c r="U597" s="262"/>
      <c r="V597" s="262"/>
    </row>
    <row r="598" spans="2:22" s="261" customFormat="1" x14ac:dyDescent="0.25">
      <c r="S598" s="262"/>
      <c r="T598" s="262"/>
      <c r="U598" s="262"/>
      <c r="V598" s="262"/>
    </row>
    <row r="599" spans="2:22" s="261" customFormat="1" x14ac:dyDescent="0.25">
      <c r="B599" s="263"/>
      <c r="P599" s="264"/>
      <c r="S599" s="262"/>
      <c r="T599" s="262"/>
      <c r="U599" s="262"/>
      <c r="V599" s="262"/>
    </row>
    <row r="600" spans="2:22" s="261" customFormat="1" x14ac:dyDescent="0.25">
      <c r="S600" s="262"/>
      <c r="T600" s="262"/>
      <c r="U600" s="262"/>
      <c r="V600" s="262"/>
    </row>
    <row r="601" spans="2:22" s="261" customFormat="1" x14ac:dyDescent="0.25">
      <c r="S601" s="262"/>
      <c r="T601" s="262"/>
      <c r="U601" s="262"/>
      <c r="V601" s="262"/>
    </row>
    <row r="602" spans="2:22" s="261" customFormat="1" x14ac:dyDescent="0.25">
      <c r="B602" s="263"/>
      <c r="P602" s="264"/>
      <c r="S602" s="262"/>
      <c r="T602" s="262"/>
      <c r="U602" s="262"/>
      <c r="V602" s="262"/>
    </row>
    <row r="603" spans="2:22" s="261" customFormat="1" x14ac:dyDescent="0.25">
      <c r="S603" s="262"/>
      <c r="T603" s="262"/>
      <c r="U603" s="262"/>
      <c r="V603" s="262"/>
    </row>
    <row r="604" spans="2:22" s="261" customFormat="1" x14ac:dyDescent="0.25">
      <c r="S604" s="262"/>
      <c r="T604" s="262"/>
      <c r="U604" s="262"/>
      <c r="V604" s="262"/>
    </row>
    <row r="605" spans="2:22" s="261" customFormat="1" x14ac:dyDescent="0.25">
      <c r="B605" s="263"/>
      <c r="P605" s="264"/>
      <c r="S605" s="262"/>
      <c r="T605" s="262"/>
      <c r="U605" s="262"/>
      <c r="V605" s="262"/>
    </row>
    <row r="606" spans="2:22" s="261" customFormat="1" x14ac:dyDescent="0.25">
      <c r="S606" s="262"/>
      <c r="T606" s="262"/>
      <c r="U606" s="262"/>
      <c r="V606" s="262"/>
    </row>
    <row r="607" spans="2:22" s="261" customFormat="1" x14ac:dyDescent="0.25">
      <c r="S607" s="262"/>
      <c r="T607" s="262"/>
      <c r="U607" s="262"/>
      <c r="V607" s="262"/>
    </row>
    <row r="608" spans="2:22" s="261" customFormat="1" x14ac:dyDescent="0.25">
      <c r="B608" s="263"/>
      <c r="P608" s="264"/>
      <c r="S608" s="262"/>
      <c r="T608" s="262"/>
      <c r="U608" s="262"/>
      <c r="V608" s="262"/>
    </row>
    <row r="609" spans="2:22" s="261" customFormat="1" x14ac:dyDescent="0.25">
      <c r="S609" s="262"/>
      <c r="T609" s="262"/>
      <c r="U609" s="262"/>
      <c r="V609" s="262"/>
    </row>
    <row r="610" spans="2:22" s="261" customFormat="1" x14ac:dyDescent="0.25">
      <c r="S610" s="262"/>
      <c r="T610" s="262"/>
      <c r="U610" s="262"/>
      <c r="V610" s="262"/>
    </row>
    <row r="611" spans="2:22" s="261" customFormat="1" x14ac:dyDescent="0.25">
      <c r="B611" s="263"/>
      <c r="P611" s="264"/>
      <c r="S611" s="262"/>
      <c r="T611" s="262"/>
      <c r="U611" s="262"/>
      <c r="V611" s="262"/>
    </row>
    <row r="612" spans="2:22" s="261" customFormat="1" x14ac:dyDescent="0.25">
      <c r="S612" s="262"/>
      <c r="T612" s="262"/>
      <c r="U612" s="262"/>
      <c r="V612" s="262"/>
    </row>
    <row r="613" spans="2:22" s="261" customFormat="1" x14ac:dyDescent="0.25">
      <c r="S613" s="262"/>
      <c r="T613" s="262"/>
      <c r="U613" s="262"/>
      <c r="V613" s="262"/>
    </row>
    <row r="614" spans="2:22" s="261" customFormat="1" x14ac:dyDescent="0.25">
      <c r="B614" s="263"/>
      <c r="P614" s="264"/>
      <c r="S614" s="262"/>
      <c r="T614" s="262"/>
      <c r="U614" s="262"/>
      <c r="V614" s="262"/>
    </row>
    <row r="615" spans="2:22" s="261" customFormat="1" x14ac:dyDescent="0.25">
      <c r="S615" s="262"/>
      <c r="T615" s="262"/>
      <c r="U615" s="262"/>
      <c r="V615" s="262"/>
    </row>
    <row r="616" spans="2:22" s="261" customFormat="1" x14ac:dyDescent="0.25">
      <c r="S616" s="262"/>
      <c r="T616" s="262"/>
      <c r="U616" s="262"/>
      <c r="V616" s="262"/>
    </row>
    <row r="617" spans="2:22" s="261" customFormat="1" x14ac:dyDescent="0.25">
      <c r="B617" s="263"/>
      <c r="P617" s="264"/>
      <c r="S617" s="262"/>
      <c r="T617" s="262"/>
      <c r="U617" s="262"/>
      <c r="V617" s="262"/>
    </row>
    <row r="618" spans="2:22" s="261" customFormat="1" x14ac:dyDescent="0.25"/>
    <row r="619" spans="2:22" s="261" customFormat="1" x14ac:dyDescent="0.25"/>
    <row r="620" spans="2:22" s="261" customFormat="1" x14ac:dyDescent="0.25"/>
    <row r="621" spans="2:22" s="261" customFormat="1" x14ac:dyDescent="0.25"/>
    <row r="622" spans="2:22" s="261" customFormat="1" x14ac:dyDescent="0.25"/>
    <row r="623" spans="2:22" s="261" customFormat="1" x14ac:dyDescent="0.25"/>
    <row r="624" spans="2:22" s="261" customFormat="1" x14ac:dyDescent="0.25"/>
    <row r="625" s="261" customFormat="1" x14ac:dyDescent="0.25"/>
    <row r="626" s="261" customFormat="1" x14ac:dyDescent="0.25"/>
    <row r="627" s="261" customFormat="1" x14ac:dyDescent="0.25"/>
    <row r="628" s="261" customFormat="1" x14ac:dyDescent="0.25"/>
    <row r="629" s="261" customFormat="1" x14ac:dyDescent="0.25"/>
    <row r="630" s="261" customFormat="1" x14ac:dyDescent="0.25"/>
    <row r="631" s="261" customFormat="1" x14ac:dyDescent="0.25"/>
    <row r="632" s="261" customFormat="1" x14ac:dyDescent="0.25"/>
    <row r="633" s="261" customFormat="1" x14ac:dyDescent="0.25"/>
    <row r="634" s="261" customFormat="1" x14ac:dyDescent="0.25"/>
    <row r="635" s="261" customFormat="1" x14ac:dyDescent="0.25"/>
    <row r="636" s="261" customFormat="1" x14ac:dyDescent="0.25"/>
    <row r="637" s="261" customFormat="1" x14ac:dyDescent="0.25"/>
    <row r="638" s="261" customFormat="1" x14ac:dyDescent="0.25"/>
    <row r="639" s="261" customFormat="1" x14ac:dyDescent="0.25"/>
    <row r="640" s="261" customFormat="1" x14ac:dyDescent="0.25"/>
    <row r="641" s="261" customFormat="1" x14ac:dyDescent="0.25"/>
    <row r="642" s="261" customFormat="1" x14ac:dyDescent="0.25"/>
    <row r="643" s="261" customFormat="1" x14ac:dyDescent="0.25"/>
    <row r="644" s="261" customFormat="1" x14ac:dyDescent="0.25"/>
    <row r="645" s="261" customFormat="1" x14ac:dyDescent="0.25"/>
    <row r="646" s="261" customFormat="1" x14ac:dyDescent="0.25"/>
    <row r="647" s="261" customFormat="1" x14ac:dyDescent="0.25"/>
    <row r="648" s="261" customFormat="1" x14ac:dyDescent="0.25"/>
    <row r="649" s="261" customFormat="1" x14ac:dyDescent="0.25"/>
    <row r="650" s="261" customFormat="1" x14ac:dyDescent="0.25"/>
    <row r="651" s="261" customFormat="1" x14ac:dyDescent="0.25"/>
    <row r="652" s="261" customFormat="1" x14ac:dyDescent="0.25"/>
    <row r="653" s="261" customFormat="1" x14ac:dyDescent="0.25"/>
    <row r="654" s="261" customFormat="1" x14ac:dyDescent="0.25"/>
    <row r="655" s="261" customFormat="1" x14ac:dyDescent="0.25"/>
    <row r="656" s="261" customFormat="1" x14ac:dyDescent="0.25"/>
    <row r="657" s="261" customFormat="1" x14ac:dyDescent="0.25"/>
    <row r="658" s="261" customFormat="1" x14ac:dyDescent="0.25"/>
    <row r="659" s="261" customFormat="1" x14ac:dyDescent="0.25"/>
    <row r="660" s="261" customFormat="1" x14ac:dyDescent="0.25"/>
    <row r="661" s="261" customFormat="1" x14ac:dyDescent="0.25"/>
    <row r="662" s="261" customFormat="1" x14ac:dyDescent="0.25"/>
    <row r="663" s="261" customFormat="1" x14ac:dyDescent="0.25"/>
    <row r="664" s="261" customFormat="1" x14ac:dyDescent="0.25"/>
    <row r="665" s="261" customFormat="1" x14ac:dyDescent="0.25"/>
    <row r="666" s="261" customFormat="1" x14ac:dyDescent="0.25"/>
    <row r="667" s="261" customFormat="1" x14ac:dyDescent="0.25"/>
    <row r="668" s="261" customFormat="1" x14ac:dyDescent="0.25"/>
    <row r="669" s="261" customFormat="1" x14ac:dyDescent="0.25"/>
    <row r="670" s="261" customFormat="1" x14ac:dyDescent="0.25"/>
    <row r="671" s="261" customFormat="1" x14ac:dyDescent="0.25"/>
    <row r="672" s="261" customFormat="1" x14ac:dyDescent="0.25"/>
    <row r="673" s="261" customFormat="1" x14ac:dyDescent="0.25"/>
    <row r="674" s="261" customFormat="1" x14ac:dyDescent="0.25"/>
    <row r="675" s="261" customFormat="1" x14ac:dyDescent="0.25"/>
    <row r="676" s="261" customFormat="1" x14ac:dyDescent="0.25"/>
    <row r="677" s="261" customFormat="1" x14ac:dyDescent="0.25"/>
    <row r="678" s="261" customFormat="1" x14ac:dyDescent="0.25"/>
    <row r="679" s="261" customFormat="1" x14ac:dyDescent="0.25"/>
    <row r="680" s="261" customFormat="1" x14ac:dyDescent="0.25"/>
    <row r="681" s="261" customFormat="1" x14ac:dyDescent="0.25"/>
    <row r="682" s="261" customFormat="1" x14ac:dyDescent="0.25"/>
    <row r="683" s="261" customFormat="1" x14ac:dyDescent="0.25"/>
    <row r="684" s="261" customFormat="1" x14ac:dyDescent="0.25"/>
    <row r="685" s="261" customFormat="1" x14ac:dyDescent="0.25"/>
    <row r="686" s="261" customFormat="1" x14ac:dyDescent="0.25"/>
    <row r="687" s="261" customFormat="1" x14ac:dyDescent="0.25"/>
    <row r="688" s="261" customFormat="1" x14ac:dyDescent="0.25"/>
    <row r="689" s="261" customFormat="1" x14ac:dyDescent="0.25"/>
    <row r="690" s="261" customFormat="1" x14ac:dyDescent="0.25"/>
    <row r="691" s="261" customFormat="1" x14ac:dyDescent="0.25"/>
    <row r="692" s="261" customFormat="1" x14ac:dyDescent="0.25"/>
    <row r="693" s="261" customFormat="1" x14ac:dyDescent="0.25"/>
    <row r="694" s="261" customFormat="1" x14ac:dyDescent="0.25"/>
    <row r="695" s="261" customFormat="1" x14ac:dyDescent="0.25"/>
    <row r="696" s="261" customFormat="1" x14ac:dyDescent="0.25"/>
    <row r="697" s="261" customFormat="1" x14ac:dyDescent="0.25"/>
    <row r="698" s="261" customFormat="1" x14ac:dyDescent="0.25"/>
    <row r="699" s="261" customFormat="1" x14ac:dyDescent="0.25"/>
    <row r="700" s="261" customFormat="1" x14ac:dyDescent="0.25"/>
    <row r="701" s="261" customFormat="1" x14ac:dyDescent="0.25"/>
    <row r="702" s="261" customFormat="1" x14ac:dyDescent="0.25"/>
    <row r="703" s="261" customFormat="1" x14ac:dyDescent="0.25"/>
    <row r="704" s="261" customFormat="1" x14ac:dyDescent="0.25"/>
    <row r="705" s="261" customFormat="1" x14ac:dyDescent="0.25"/>
    <row r="706" s="261" customFormat="1" x14ac:dyDescent="0.25"/>
    <row r="707" s="261" customFormat="1" x14ac:dyDescent="0.25"/>
    <row r="708" s="261" customFormat="1" x14ac:dyDescent="0.25"/>
    <row r="709" s="261" customFormat="1" x14ac:dyDescent="0.25"/>
    <row r="710" s="261" customFormat="1" x14ac:dyDescent="0.25"/>
    <row r="711" s="261" customFormat="1" x14ac:dyDescent="0.25"/>
    <row r="712" s="261" customFormat="1" x14ac:dyDescent="0.25"/>
    <row r="713" s="261" customFormat="1" x14ac:dyDescent="0.25"/>
    <row r="714" s="261" customFormat="1" x14ac:dyDescent="0.25"/>
    <row r="715" s="261" customFormat="1" x14ac:dyDescent="0.25"/>
    <row r="716" s="261" customFormat="1" x14ac:dyDescent="0.25"/>
    <row r="717" s="261" customFormat="1" x14ac:dyDescent="0.25"/>
    <row r="718" s="261" customFormat="1" x14ac:dyDescent="0.25"/>
    <row r="719" s="261" customFormat="1" x14ac:dyDescent="0.25"/>
    <row r="720" s="261" customFormat="1" x14ac:dyDescent="0.25"/>
    <row r="721" s="261" customFormat="1" x14ac:dyDescent="0.25"/>
    <row r="722" s="261" customFormat="1" x14ac:dyDescent="0.25"/>
    <row r="723" s="261" customFormat="1" x14ac:dyDescent="0.25"/>
    <row r="724" s="261" customFormat="1" x14ac:dyDescent="0.25"/>
    <row r="725" s="261" customFormat="1" x14ac:dyDescent="0.25"/>
    <row r="726" s="261" customFormat="1" x14ac:dyDescent="0.25"/>
    <row r="727" s="261" customFormat="1" x14ac:dyDescent="0.25"/>
    <row r="728" s="261" customFormat="1" x14ac:dyDescent="0.25"/>
    <row r="729" s="261" customFormat="1" x14ac:dyDescent="0.25"/>
    <row r="730" s="261" customFormat="1" x14ac:dyDescent="0.25"/>
    <row r="731" s="261" customFormat="1" x14ac:dyDescent="0.25"/>
    <row r="732" s="261" customFormat="1" x14ac:dyDescent="0.25"/>
    <row r="733" s="261" customFormat="1" x14ac:dyDescent="0.25"/>
    <row r="734" s="261" customFormat="1" x14ac:dyDescent="0.25"/>
    <row r="735" s="261" customFormat="1" x14ac:dyDescent="0.25"/>
    <row r="736" s="261" customFormat="1" x14ac:dyDescent="0.25"/>
    <row r="737" s="261" customFormat="1" x14ac:dyDescent="0.25"/>
    <row r="738" s="261" customFormat="1" x14ac:dyDescent="0.25"/>
    <row r="739" s="261" customFormat="1" x14ac:dyDescent="0.25"/>
    <row r="740" s="261" customFormat="1" x14ac:dyDescent="0.25"/>
    <row r="741" s="261" customFormat="1" x14ac:dyDescent="0.25"/>
    <row r="742" s="261" customFormat="1" x14ac:dyDescent="0.25"/>
    <row r="743" s="261" customFormat="1" x14ac:dyDescent="0.25"/>
    <row r="744" s="261" customFormat="1" x14ac:dyDescent="0.25"/>
    <row r="745" s="261" customFormat="1" x14ac:dyDescent="0.25"/>
    <row r="746" s="261" customFormat="1" x14ac:dyDescent="0.25"/>
    <row r="747" s="261" customFormat="1" x14ac:dyDescent="0.25"/>
    <row r="748" s="261" customFormat="1" x14ac:dyDescent="0.25"/>
    <row r="749" s="261" customFormat="1" x14ac:dyDescent="0.25"/>
    <row r="750" s="261" customFormat="1" x14ac:dyDescent="0.25"/>
    <row r="751" s="261" customFormat="1" x14ac:dyDescent="0.25"/>
    <row r="752" s="261" customFormat="1" x14ac:dyDescent="0.25"/>
    <row r="753" s="261" customFormat="1" x14ac:dyDescent="0.25"/>
    <row r="754" s="261" customFormat="1" x14ac:dyDescent="0.25"/>
    <row r="755" s="261" customFormat="1" x14ac:dyDescent="0.25"/>
    <row r="756" s="261" customFormat="1" x14ac:dyDescent="0.25"/>
    <row r="757" s="261" customFormat="1" x14ac:dyDescent="0.25"/>
    <row r="758" s="261" customFormat="1" x14ac:dyDescent="0.25"/>
    <row r="759" s="261" customFormat="1" x14ac:dyDescent="0.25"/>
    <row r="760" s="261" customFormat="1" x14ac:dyDescent="0.25"/>
    <row r="761" s="261" customFormat="1" x14ac:dyDescent="0.25"/>
    <row r="762" s="261" customFormat="1" x14ac:dyDescent="0.25"/>
    <row r="763" s="261" customFormat="1" x14ac:dyDescent="0.25"/>
    <row r="764" s="261" customFormat="1" x14ac:dyDescent="0.25"/>
    <row r="765" s="261" customFormat="1" x14ac:dyDescent="0.25"/>
    <row r="766" s="261" customFormat="1" x14ac:dyDescent="0.25"/>
    <row r="767" s="261" customFormat="1" x14ac:dyDescent="0.25"/>
    <row r="768" s="261" customFormat="1" x14ac:dyDescent="0.25"/>
    <row r="769" s="261" customFormat="1" x14ac:dyDescent="0.25"/>
    <row r="770" s="261" customFormat="1" x14ac:dyDescent="0.25"/>
    <row r="771" s="261" customFormat="1" x14ac:dyDescent="0.25"/>
    <row r="772" s="261" customFormat="1" x14ac:dyDescent="0.25"/>
    <row r="773" s="261" customFormat="1" x14ac:dyDescent="0.25"/>
    <row r="774" s="261" customFormat="1" x14ac:dyDescent="0.25"/>
    <row r="775" s="261" customFormat="1" x14ac:dyDescent="0.25"/>
    <row r="776" s="261" customFormat="1" x14ac:dyDescent="0.25"/>
    <row r="777" s="261" customFormat="1" x14ac:dyDescent="0.25"/>
    <row r="778" s="261" customFormat="1" x14ac:dyDescent="0.25"/>
    <row r="779" s="261" customFormat="1" x14ac:dyDescent="0.25"/>
    <row r="780" s="261" customFormat="1" x14ac:dyDescent="0.25"/>
    <row r="781" s="261" customFormat="1" x14ac:dyDescent="0.25"/>
    <row r="782" s="261" customFormat="1" x14ac:dyDescent="0.25"/>
    <row r="783" s="261" customFormat="1" x14ac:dyDescent="0.25"/>
    <row r="784" s="261" customFormat="1" x14ac:dyDescent="0.25"/>
    <row r="785" s="261" customFormat="1" x14ac:dyDescent="0.25"/>
    <row r="786" s="261" customFormat="1" x14ac:dyDescent="0.25"/>
    <row r="787" s="261" customFormat="1" x14ac:dyDescent="0.25"/>
    <row r="788" s="261" customFormat="1" x14ac:dyDescent="0.25"/>
    <row r="789" s="261" customFormat="1" x14ac:dyDescent="0.25"/>
    <row r="790" s="261" customFormat="1" x14ac:dyDescent="0.25"/>
    <row r="791" s="261" customFormat="1" x14ac:dyDescent="0.25"/>
    <row r="792" s="261" customFormat="1" x14ac:dyDescent="0.25"/>
    <row r="793" s="261" customFormat="1" x14ac:dyDescent="0.25"/>
    <row r="794" s="261" customFormat="1" x14ac:dyDescent="0.25"/>
    <row r="795" s="261" customFormat="1" x14ac:dyDescent="0.25"/>
    <row r="796" s="261" customFormat="1" x14ac:dyDescent="0.25"/>
    <row r="797" s="261" customFormat="1" x14ac:dyDescent="0.25"/>
    <row r="798" s="261" customFormat="1" x14ac:dyDescent="0.25"/>
    <row r="799" s="261" customFormat="1" x14ac:dyDescent="0.25"/>
    <row r="800" s="261" customFormat="1" x14ac:dyDescent="0.25"/>
    <row r="801" s="261" customFormat="1" x14ac:dyDescent="0.25"/>
    <row r="802" s="261" customFormat="1" x14ac:dyDescent="0.25"/>
    <row r="803" s="261" customFormat="1" x14ac:dyDescent="0.25"/>
    <row r="804" s="261" customFormat="1" x14ac:dyDescent="0.25"/>
    <row r="805" s="261" customFormat="1" x14ac:dyDescent="0.25"/>
    <row r="806" s="261" customFormat="1" x14ac:dyDescent="0.25"/>
    <row r="807" s="261" customFormat="1" x14ac:dyDescent="0.25"/>
    <row r="808" s="261" customFormat="1" x14ac:dyDescent="0.25"/>
    <row r="809" s="261" customFormat="1" x14ac:dyDescent="0.25"/>
    <row r="810" s="261" customFormat="1" x14ac:dyDescent="0.25"/>
    <row r="811" s="261" customFormat="1" x14ac:dyDescent="0.25"/>
    <row r="812" s="261" customFormat="1" x14ac:dyDescent="0.25"/>
    <row r="813" s="261" customFormat="1" x14ac:dyDescent="0.25"/>
    <row r="814" s="261" customFormat="1" x14ac:dyDescent="0.25"/>
    <row r="815" s="261" customFormat="1" x14ac:dyDescent="0.25"/>
    <row r="816" s="261" customFormat="1" x14ac:dyDescent="0.25"/>
    <row r="817" s="261" customFormat="1" x14ac:dyDescent="0.25"/>
    <row r="818" s="261" customFormat="1" x14ac:dyDescent="0.25"/>
    <row r="819" s="261" customFormat="1" x14ac:dyDescent="0.25"/>
    <row r="820" s="261" customFormat="1" x14ac:dyDescent="0.25"/>
    <row r="821" s="261" customFormat="1" x14ac:dyDescent="0.25"/>
    <row r="822" s="261" customFormat="1" x14ac:dyDescent="0.25"/>
    <row r="823" s="261" customFormat="1" x14ac:dyDescent="0.25"/>
    <row r="824" s="261" customFormat="1" x14ac:dyDescent="0.25"/>
    <row r="825" s="261" customFormat="1" x14ac:dyDescent="0.25"/>
    <row r="826" s="261" customFormat="1" x14ac:dyDescent="0.25"/>
    <row r="827" s="261" customFormat="1" x14ac:dyDescent="0.25"/>
    <row r="828" s="261" customFormat="1" x14ac:dyDescent="0.25"/>
    <row r="829" s="261" customFormat="1" x14ac:dyDescent="0.25"/>
    <row r="830" s="261" customFormat="1" x14ac:dyDescent="0.25"/>
    <row r="831" s="261" customFormat="1" x14ac:dyDescent="0.25"/>
    <row r="832" s="261" customFormat="1" x14ac:dyDescent="0.25"/>
    <row r="833" s="261" customFormat="1" x14ac:dyDescent="0.25"/>
    <row r="834" s="261" customFormat="1" x14ac:dyDescent="0.25"/>
    <row r="835" s="261" customFormat="1" x14ac:dyDescent="0.25"/>
    <row r="836" s="261" customFormat="1" x14ac:dyDescent="0.25"/>
    <row r="837" s="261" customFormat="1" x14ac:dyDescent="0.25"/>
    <row r="838" s="261" customFormat="1" x14ac:dyDescent="0.25"/>
    <row r="839" s="261" customFormat="1" x14ac:dyDescent="0.25"/>
    <row r="840" s="261" customFormat="1" x14ac:dyDescent="0.25"/>
    <row r="841" s="261" customFormat="1" x14ac:dyDescent="0.25"/>
    <row r="842" s="261" customFormat="1" x14ac:dyDescent="0.25"/>
    <row r="843" s="261" customFormat="1" x14ac:dyDescent="0.25"/>
    <row r="844" s="261" customFormat="1" x14ac:dyDescent="0.25"/>
    <row r="845" s="261" customFormat="1" x14ac:dyDescent="0.25"/>
    <row r="846" s="261" customFormat="1" x14ac:dyDescent="0.25"/>
    <row r="847" s="261" customFormat="1" x14ac:dyDescent="0.25"/>
    <row r="848" s="261" customFormat="1" x14ac:dyDescent="0.25"/>
    <row r="849" s="261" customFormat="1" x14ac:dyDescent="0.25"/>
    <row r="850" s="261" customFormat="1" x14ac:dyDescent="0.25"/>
    <row r="851" s="261" customFormat="1" x14ac:dyDescent="0.25"/>
    <row r="852" s="261" customFormat="1" x14ac:dyDescent="0.25"/>
    <row r="853" s="261" customFormat="1" x14ac:dyDescent="0.25"/>
    <row r="854" s="261" customFormat="1" x14ac:dyDescent="0.25"/>
    <row r="855" s="261" customFormat="1" x14ac:dyDescent="0.25"/>
    <row r="856" s="261" customFormat="1" x14ac:dyDescent="0.25"/>
    <row r="857" s="261" customFormat="1" x14ac:dyDescent="0.25"/>
    <row r="858" s="261" customFormat="1" x14ac:dyDescent="0.25"/>
    <row r="859" s="261" customFormat="1" x14ac:dyDescent="0.25"/>
    <row r="860" s="261" customFormat="1" x14ac:dyDescent="0.25"/>
    <row r="861" s="261" customFormat="1" x14ac:dyDescent="0.25"/>
    <row r="862" s="261" customFormat="1" x14ac:dyDescent="0.25"/>
    <row r="863" s="261" customFormat="1" x14ac:dyDescent="0.25"/>
    <row r="864" s="261" customFormat="1" x14ac:dyDescent="0.25"/>
    <row r="865" s="261" customFormat="1" x14ac:dyDescent="0.25"/>
    <row r="866" s="261" customFormat="1" x14ac:dyDescent="0.25"/>
    <row r="867" s="261" customFormat="1" x14ac:dyDescent="0.25"/>
    <row r="868" s="261" customFormat="1" x14ac:dyDescent="0.25"/>
    <row r="869" s="261" customFormat="1" x14ac:dyDescent="0.25"/>
    <row r="870" s="261" customFormat="1" x14ac:dyDescent="0.25"/>
    <row r="871" s="261" customFormat="1" x14ac:dyDescent="0.25"/>
    <row r="872" s="261" customFormat="1" x14ac:dyDescent="0.25"/>
    <row r="873" s="261" customFormat="1" x14ac:dyDescent="0.25"/>
    <row r="874" s="261" customFormat="1" x14ac:dyDescent="0.25"/>
    <row r="875" s="261" customFormat="1" x14ac:dyDescent="0.25"/>
    <row r="876" s="261" customFormat="1" x14ac:dyDescent="0.25"/>
    <row r="877" s="261" customFormat="1" x14ac:dyDescent="0.25"/>
    <row r="878" s="261" customFormat="1" x14ac:dyDescent="0.25"/>
    <row r="879" s="261" customFormat="1" x14ac:dyDescent="0.25"/>
    <row r="880" s="261" customFormat="1" x14ac:dyDescent="0.25"/>
    <row r="881" s="261" customFormat="1" x14ac:dyDescent="0.25"/>
    <row r="882" s="261" customForma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NEW...Tables 87-90</vt:lpstr>
      <vt:lpstr>OLD...Tables</vt:lpstr>
      <vt:lpstr>NEW...Tables 91-112</vt:lpstr>
      <vt:lpstr>OLD...Tabs</vt:lpstr>
      <vt:lpstr>Pivot Table for Data Exchange</vt:lpstr>
      <vt:lpstr>E-learning credit hours</vt:lpstr>
      <vt:lpstr>Format for DE pivot</vt:lpstr>
      <vt:lpstr>Summary Table for Fact Book</vt:lpstr>
      <vt:lpstr>Pivot Table for Fact Book</vt:lpstr>
      <vt:lpstr>Format for FB Pivot Tab</vt:lpstr>
      <vt:lpstr>'NEW...Tables 87-90'!Print_Area</vt:lpstr>
      <vt:lpstr>'NEW...Tables 91-112'!Print_Area</vt:lpstr>
      <vt:lpstr>OLD...Tables!Print_Area</vt:lpstr>
      <vt:lpstr>OLD...Tabs!Print_Area</vt:lpstr>
    </vt:vector>
  </TitlesOfParts>
  <Company>SREB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Susan Lounsbury</cp:lastModifiedBy>
  <cp:lastPrinted>2014-03-07T14:42:22Z</cp:lastPrinted>
  <dcterms:created xsi:type="dcterms:W3CDTF">2010-11-24T15:25:05Z</dcterms:created>
  <dcterms:modified xsi:type="dcterms:W3CDTF">2014-03-19T18:26:03Z</dcterms:modified>
</cp:coreProperties>
</file>